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housingkern.sharepoint.com/sites/Properties/Shared Documents/Bak Senior Cntr Aff Hsing &amp; Facility/TCAC-CDLAC/1. TCAC 4% - -8-25/"/>
    </mc:Choice>
  </mc:AlternateContent>
  <xr:revisionPtr revIDLastSave="87" documentId="13_ncr:1_{9A64A4ED-0331-4874-B517-F8231E08E200}" xr6:coauthVersionLast="47" xr6:coauthVersionMax="47" xr10:uidLastSave="{82E2C9CA-8B88-45A9-B143-7AB9B7D537E9}"/>
  <bookViews>
    <workbookView xWindow="-2892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48" i="3" l="1"/>
  <c r="E83" i="4"/>
  <c r="G54" i="7" l="1"/>
  <c r="I54" i="7" s="1"/>
  <c r="K54" i="7" s="1"/>
  <c r="M54" i="7" s="1"/>
  <c r="O54" i="7" s="1"/>
  <c r="Q54" i="7" s="1"/>
  <c r="S54" i="7" s="1"/>
  <c r="U54" i="7" s="1"/>
  <c r="W54" i="7" s="1"/>
  <c r="Y54" i="7" s="1"/>
  <c r="AA54" i="7" s="1"/>
  <c r="AC54" i="7" s="1"/>
  <c r="AE54" i="7" s="1"/>
  <c r="AG54" i="7" s="1"/>
  <c r="G53" i="7" l="1"/>
  <c r="E99" i="4" l="1"/>
  <c r="C53" i="4"/>
  <c r="E30" i="4" l="1"/>
  <c r="E43" i="4"/>
  <c r="E31" i="4" l="1"/>
  <c r="E32" i="4"/>
  <c r="E33" i="4"/>
  <c r="E34" i="4"/>
  <c r="E35" i="4"/>
  <c r="E36" i="4"/>
  <c r="E37" i="4"/>
  <c r="E29"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9" i="13"/>
  <c r="E48" i="13"/>
  <c r="E47" i="13"/>
  <c r="E46" i="13"/>
  <c r="E45"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S95" i="4" s="1"/>
  <c r="E95" i="13" s="1"/>
  <c r="R94" i="4"/>
  <c r="S94" i="4" s="1"/>
  <c r="E94" i="13" s="1"/>
  <c r="R93" i="4"/>
  <c r="E93" i="13" s="1"/>
  <c r="R92" i="4"/>
  <c r="S92" i="4" s="1"/>
  <c r="E92" i="13" s="1"/>
  <c r="R90" i="4"/>
  <c r="E90" i="13" s="1"/>
  <c r="R89" i="4"/>
  <c r="S89" i="4" s="1"/>
  <c r="E89" i="13" s="1"/>
  <c r="R88" i="4"/>
  <c r="R87" i="4"/>
  <c r="S87" i="4" s="1"/>
  <c r="E87" i="13" s="1"/>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R50" i="4"/>
  <c r="S50" i="4" s="1"/>
  <c r="E50" i="13" s="1"/>
  <c r="R49" i="4"/>
  <c r="R48" i="4"/>
  <c r="R47" i="4"/>
  <c r="R46" i="4"/>
  <c r="R45" i="4"/>
  <c r="R43" i="4"/>
  <c r="S43" i="4" s="1"/>
  <c r="E43" i="13" s="1"/>
  <c r="R41" i="4"/>
  <c r="S41" i="4" s="1"/>
  <c r="E41" i="13" s="1"/>
  <c r="R40" i="4"/>
  <c r="S40" i="4" s="1"/>
  <c r="E40" i="13" s="1"/>
  <c r="R37" i="4"/>
  <c r="R35" i="4"/>
  <c r="S35" i="4" s="1"/>
  <c r="E35" i="13" s="1"/>
  <c r="R34" i="4"/>
  <c r="S34" i="4" s="1"/>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c r="B26" i="4" l="1"/>
  <c r="J6" i="8"/>
  <c r="S70" i="4"/>
  <c r="E70" i="13" s="1"/>
  <c r="S54" i="4"/>
  <c r="E54" i="13" s="1"/>
  <c r="E51" i="13"/>
  <c r="S81" i="4"/>
  <c r="E81" i="13" s="1"/>
  <c r="S96" i="4"/>
  <c r="E96" i="13" s="1"/>
  <c r="S42" i="4"/>
  <c r="E42" i="13" s="1"/>
  <c r="S38" i="4"/>
  <c r="E38" i="13" s="1"/>
  <c r="E99"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O22" i="21"/>
  <c r="P22" i="21" s="1" a="1"/>
  <c r="P22" i="21" s="1"/>
  <c r="S22" i="21" s="1"/>
  <c r="O21" i="2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S105" i="4"/>
  <c r="S107" i="4" s="1"/>
  <c r="AB266" i="20"/>
  <c r="AG268" i="20" s="1"/>
  <c r="AG270" i="20" s="1"/>
  <c r="AK273" i="20" s="1"/>
  <c r="T812" i="20" s="1"/>
  <c r="AF812" i="20" s="1"/>
  <c r="BE77" i="3" s="1"/>
  <c r="AC454" i="3"/>
  <c r="AB47" i="15"/>
  <c r="AB49" i="15" s="1"/>
  <c r="AB54" i="15" s="1"/>
  <c r="AB55" i="15" s="1"/>
  <c r="T805" i="20"/>
  <c r="AF805" i="20" s="1"/>
  <c r="BE72" i="3" s="1"/>
  <c r="N185" i="23"/>
  <c r="BE22" i="3"/>
  <c r="BA1056" i="3"/>
  <c r="AZ1051" i="3"/>
  <c r="H105" i="13"/>
  <c r="T107" i="4"/>
  <c r="H107" i="13" s="1"/>
  <c r="Q58" i="7"/>
  <c r="S53" i="7"/>
  <c r="G45" i="21"/>
  <c r="G47" i="21" s="1"/>
  <c r="E10" i="21" s="1"/>
  <c r="E11" i="21"/>
  <c r="AP705" i="20"/>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C456" i="3" l="1"/>
  <c r="E105" i="1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62" i="7" s="1"/>
  <c r="G47" i="7"/>
  <c r="G48" i="7"/>
  <c r="Q22" i="7"/>
  <c r="Q35" i="7" s="1"/>
  <c r="S15" i="7"/>
  <c r="G79" i="21"/>
  <c r="G31" i="21"/>
  <c r="G33" i="21" s="1"/>
  <c r="E9" i="21" s="1"/>
  <c r="G88" i="21"/>
  <c r="G90" i="21" s="1"/>
  <c r="E16" i="21" s="1"/>
  <c r="G111" i="21"/>
  <c r="G96" i="21"/>
  <c r="Q9" i="7"/>
  <c r="S8" i="7"/>
  <c r="E69" i="7" l="1"/>
  <c r="G69" i="7" s="1"/>
  <c r="I69" i="7" s="1"/>
  <c r="K69" i="7" s="1"/>
  <c r="M69" i="7" s="1"/>
  <c r="O69" i="7" s="1"/>
  <c r="Q69" i="7" s="1"/>
  <c r="S69" i="7" s="1"/>
  <c r="U69" i="7" s="1"/>
  <c r="W69" i="7" s="1"/>
  <c r="Y69" i="7" s="1"/>
  <c r="AA69" i="7" s="1"/>
  <c r="AC69" i="7" s="1"/>
  <c r="AE69" i="7" s="1"/>
  <c r="AG69" i="7" s="1"/>
  <c r="E68" i="7"/>
  <c r="G68" i="7" s="1"/>
  <c r="I68" i="7" s="1"/>
  <c r="K68" i="7" s="1"/>
  <c r="M68" i="7" s="1"/>
  <c r="O68" i="7" s="1"/>
  <c r="Q68" i="7" s="1"/>
  <c r="S68" i="7" s="1"/>
  <c r="U68" i="7" s="1"/>
  <c r="W68" i="7" s="1"/>
  <c r="Y68" i="7" s="1"/>
  <c r="AA68" i="7" s="1"/>
  <c r="AC68" i="7" s="1"/>
  <c r="AE68" i="7" s="1"/>
  <c r="AG68" i="7" s="1"/>
  <c r="E67" i="7"/>
  <c r="E66" i="7"/>
  <c r="E62" i="7"/>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<sst xmlns="http://schemas.openxmlformats.org/spreadsheetml/2006/main" count="5020" uniqueCount="2745">
  <si>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</si>
  <si>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</si>
  <si>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</si>
  <si>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</si>
  <si>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</si>
  <si>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</si>
  <si>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</si>
  <si>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</si>
  <si>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</si>
  <si>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</si>
  <si>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</si>
  <si>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</si>
  <si>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</si>
  <si>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</si>
  <si>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</si>
  <si>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</si>
  <si>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</si>
  <si>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</si>
  <si>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</si>
  <si>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</si>
  <si>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</si>
  <si>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</si>
  <si>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</si>
  <si>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</si>
  <si>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</si>
  <si>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</si>
  <si>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</si>
  <si>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</si>
  <si>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</si>
  <si>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</si>
  <si>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</si>
  <si>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</si>
  <si>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</si>
  <si>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</si>
  <si>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</si>
  <si>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</si>
  <si>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</si>
  <si>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</si>
  <si>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</si>
  <si>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</si>
  <si>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</si>
  <si>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</si>
  <si>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</si>
  <si>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</si>
  <si>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</si>
  <si>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</si>
  <si>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</si>
  <si>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</si>
  <si>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</si>
  <si>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</si>
  <si>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</si>
  <si>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</si>
  <si>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</si>
  <si>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</si>
  <si>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</si>
  <si>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</si>
  <si>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</si>
  <si>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</si>
  <si>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</si>
  <si>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</si>
  <si>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</si>
  <si>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</si>
  <si>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</si>
  <si>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</si>
  <si>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</si>
  <si>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</si>
  <si>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</si>
  <si>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</si>
  <si>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</si>
  <si>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</si>
  <si>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</si>
  <si>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</si>
  <si>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</si>
  <si>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</si>
  <si>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</si>
  <si>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</si>
  <si>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</si>
  <si>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</si>
  <si>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</si>
  <si>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</si>
  <si>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</si>
  <si>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</si>
  <si>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</si>
  <si>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</si>
  <si>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</si>
  <si>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</si>
  <si>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</si>
  <si>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</si>
  <si>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</si>
  <si>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</si>
  <si>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</si>
  <si>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</si>
  <si>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</si>
  <si>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</si>
  <si>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</si>
  <si>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</si>
  <si>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</si>
  <si>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</si>
  <si>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</si>
  <si>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</si>
  <si>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</si>
  <si>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</si>
  <si>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</si>
  <si>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</si>
  <si>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</si>
  <si>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</si>
  <si>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</si>
  <si>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</si>
  <si>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</si>
  <si>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</si>
  <si>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</si>
  <si>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</si>
  <si>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</si>
  <si>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</si>
  <si>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</si>
  <si>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</si>
  <si>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</si>
  <si>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</si>
  <si>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</si>
  <si>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</si>
  <si>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</si>
  <si>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</si>
  <si>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</si>
  <si>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</si>
  <si>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</si>
  <si>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</si>
  <si>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</si>
  <si>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</si>
  <si>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</si>
  <si>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</si>
  <si>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</si>
  <si>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</si>
  <si>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</si>
  <si>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</si>
  <si>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</si>
  <si>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</si>
  <si>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</si>
  <si>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</si>
  <si>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</si>
  <si>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</si>
  <si>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</si>
  <si>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</si>
  <si>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</si>
  <si>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</si>
  <si>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</si>
  <si>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</si>
  <si>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</si>
  <si>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</si>
  <si>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</si>
  <si>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</si>
  <si>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</si>
  <si>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</si>
  <si>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</si>
  <si>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</si>
  <si>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</si>
  <si>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</si>
  <si>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</si>
  <si>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</si>
  <si>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</si>
  <si>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</si>
  <si>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</si>
  <si>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</si>
  <si>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</si>
  <si>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</si>
  <si>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</si>
  <si>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</si>
  <si>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</si>
  <si>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</si>
  <si>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</si>
  <si>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</si>
  <si>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</si>
  <si>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</si>
  <si>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</si>
  <si>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</si>
  <si>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</si>
  <si>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</si>
  <si>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</si>
  <si>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</si>
  <si>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</si>
  <si>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</si>
  <si>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</si>
  <si>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</si>
  <si>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</si>
  <si>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</si>
  <si>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</si>
  <si>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</si>
  <si>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</si>
  <si>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</si>
  <si>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</si>
  <si>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</si>
  <si>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</si>
  <si>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</si>
  <si>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</si>
  <si>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</si>
  <si>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</si>
  <si>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</si>
  <si>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</si>
  <si>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</si>
  <si>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</si>
  <si>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</si>
  <si>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</si>
  <si>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</si>
  <si>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</si>
  <si>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</si>
  <si>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</si>
  <si>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</si>
  <si>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</si>
  <si>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</si>
  <si>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</si>
  <si>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</si>
  <si>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</si>
  <si>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</si>
  <si>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</si>
  <si>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</si>
  <si>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</si>
  <si>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</si>
  <si>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</si>
  <si>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</si>
  <si>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</si>
  <si>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</si>
  <si>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</si>
  <si>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</si>
  <si>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</si>
  <si>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</si>
  <si>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</si>
  <si>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</si>
  <si>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</si>
  <si>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</si>
  <si>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</si>
  <si>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</si>
  <si>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</si>
  <si>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</si>
  <si>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</si>
  <si>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</si>
  <si>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</si>
  <si>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</si>
  <si>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</si>
  <si>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</si>
  <si>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</si>
  <si>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</si>
  <si>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</si>
  <si>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</si>
  <si>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</si>
  <si>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</si>
  <si>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</si>
  <si>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</si>
  <si>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</si>
  <si>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</si>
  <si>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</si>
  <si>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</si>
  <si>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</si>
  <si>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</si>
  <si>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</si>
  <si>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</si>
  <si>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</si>
  <si>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</si>
  <si>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</si>
  <si>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</si>
  <si>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</si>
  <si>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</si>
  <si>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</si>
  <si>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</si>
  <si>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</si>
  <si>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</si>
  <si>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</si>
  <si>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</si>
  <si>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</si>
  <si>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</si>
  <si>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</si>
  <si>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</si>
  <si>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</si>
  <si>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</si>
  <si>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</si>
  <si>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</si>
  <si>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</si>
  <si>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</si>
  <si>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</si>
  <si>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</si>
  <si>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</si>
  <si>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</si>
  <si>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</si>
  <si>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</si>
  <si>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</si>
  <si>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</si>
  <si>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</si>
  <si>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</si>
  <si>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</si>
  <si>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</si>
  <si>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</si>
  <si>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</si>
  <si>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</si>
  <si>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</si>
  <si>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</si>
  <si>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</si>
  <si>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</si>
  <si>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</si>
  <si>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</si>
  <si>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</si>
  <si>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</si>
  <si>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</si>
  <si>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</si>
  <si>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</si>
  <si>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</si>
  <si>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</si>
  <si>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</si>
  <si>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</si>
  <si>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</si>
  <si>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</si>
  <si>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</si>
  <si>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</si>
  <si>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</si>
  <si>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</si>
  <si>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</si>
  <si>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</si>
  <si>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</si>
  <si>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</si>
  <si>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</si>
  <si>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</si>
  <si>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</si>
  <si>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</si>
  <si>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</si>
  <si>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</si>
  <si>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</si>
  <si>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</si>
  <si>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</si>
  <si>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</si>
  <si>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</si>
  <si>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</si>
  <si>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</si>
  <si>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</si>
  <si>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</si>
  <si>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</si>
  <si>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</si>
  <si>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</si>
  <si>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</si>
  <si>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</si>
  <si>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</si>
  <si>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</si>
  <si>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</si>
  <si>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</si>
  <si>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</si>
  <si>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</si>
  <si>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</si>
  <si>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</si>
  <si>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</si>
  <si>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</si>
  <si>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</si>
  <si>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</si>
  <si>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</si>
  <si>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</si>
  <si>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</si>
  <si>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</si>
  <si>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</si>
  <si>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</si>
  <si>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</si>
  <si>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</si>
  <si>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</si>
  <si>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</si>
  <si>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</si>
  <si>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</si>
  <si>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</si>
  <si>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</si>
  <si>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</si>
  <si>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</si>
  <si>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</si>
  <si>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</si>
  <si>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</si>
  <si>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</si>
  <si>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</si>
  <si>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</si>
  <si>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</si>
  <si>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</si>
  <si>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</si>
  <si>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</si>
  <si>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</si>
  <si>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</si>
  <si>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</si>
  <si>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</si>
  <si>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</si>
  <si>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</si>
  <si>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</si>
  <si>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</si>
  <si>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</si>
  <si>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</si>
  <si>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</si>
  <si>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</si>
  <si>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</si>
  <si>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</si>
  <si>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</si>
  <si>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</si>
  <si>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</si>
  <si>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</si>
  <si>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(select one)</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</si>
  <si>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</si>
  <si>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</si>
  <si>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</si>
  <si>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</si>
  <si>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</si>
  <si>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</si>
  <si>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</si>
  <si>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</si>
  <si>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</si>
  <si>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</si>
  <si>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</si>
  <si>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</si>
  <si>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</si>
  <si>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</si>
  <si>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</si>
  <si>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</si>
  <si>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</si>
  <si>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</si>
  <si>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</si>
  <si>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</si>
  <si>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</si>
  <si>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</si>
  <si>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</si>
  <si>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</si>
  <si>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</si>
  <si>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</si>
  <si>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</si>
  <si>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</si>
  <si>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</si>
  <si>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</si>
  <si>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</si>
  <si>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</si>
  <si>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</si>
  <si>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</si>
  <si>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</si>
  <si>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</si>
  <si>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</si>
  <si>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</si>
  <si>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</si>
  <si>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</si>
  <si>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</si>
  <si>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</si>
  <si>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</si>
  <si>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</si>
  <si>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</si>
  <si>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</si>
  <si>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</si>
  <si>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</si>
  <si>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</si>
  <si>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</si>
  <si>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</si>
  <si>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</si>
  <si>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</si>
  <si>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</si>
  <si>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</si>
  <si>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</si>
  <si>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</si>
  <si>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</si>
  <si>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</si>
  <si>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</si>
  <si>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</si>
  <si>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</si>
  <si>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</si>
  <si>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</si>
  <si>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</si>
  <si>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</si>
  <si>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</si>
  <si>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</si>
  <si>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</si>
  <si>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</si>
  <si>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</si>
  <si>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</si>
  <si>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</si>
  <si>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</si>
  <si>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</si>
  <si>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</si>
  <si>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</si>
  <si>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</si>
  <si>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</si>
  <si>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</si>
  <si>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</si>
  <si>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</si>
  <si>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</si>
  <si>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</si>
  <si>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</si>
  <si>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</si>
  <si>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</si>
  <si>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</si>
  <si>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</si>
  <si>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</si>
  <si>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</si>
  <si>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</si>
  <si>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</si>
  <si>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</si>
  <si>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</si>
  <si>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</si>
  <si>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</si>
  <si>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</si>
  <si>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</si>
  <si>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</si>
  <si>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</si>
  <si>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</si>
  <si>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</si>
  <si>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</si>
  <si>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</si>
  <si>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</si>
  <si>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</si>
  <si>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</si>
  <si>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</si>
  <si>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</si>
  <si>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</si>
  <si>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</si>
  <si>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</si>
  <si>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</si>
  <si>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</si>
  <si>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</si>
  <si>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</si>
  <si>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</si>
  <si>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</si>
  <si>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</si>
  <si>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</si>
  <si>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</si>
  <si>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</si>
  <si>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</si>
  <si>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</si>
  <si>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</si>
  <si>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</si>
  <si>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</si>
  <si>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</si>
  <si>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</si>
  <si>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</si>
  <si>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</si>
  <si>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</si>
  <si>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</si>
  <si>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</si>
  <si>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</si>
  <si>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</si>
  <si>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</si>
  <si>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</si>
  <si>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</si>
  <si>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</si>
  <si>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</si>
  <si>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</si>
  <si>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</si>
  <si>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</si>
  <si>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</si>
  <si>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</si>
  <si>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</si>
  <si>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</si>
  <si>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</si>
  <si>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</si>
  <si>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</si>
  <si>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</si>
  <si>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</si>
  <si>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</si>
  <si>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</si>
  <si>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</si>
  <si>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</si>
  <si>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</si>
  <si>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</si>
  <si>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</si>
  <si>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</si>
  <si>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</si>
  <si>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</si>
  <si>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</si>
  <si>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</si>
  <si>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</si>
  <si>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</si>
  <si>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</si>
  <si>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</si>
  <si>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</si>
  <si>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</si>
  <si>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</si>
  <si>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</si>
  <si>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</si>
  <si>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</si>
  <si>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</si>
  <si>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</si>
  <si>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</si>
  <si>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</si>
  <si>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</si>
  <si>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</si>
  <si>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</si>
  <si>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</si>
  <si>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</si>
  <si>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</si>
  <si>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</si>
  <si>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</si>
  <si>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</si>
  <si>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</si>
  <si>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</si>
  <si>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</si>
  <si>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</si>
  <si>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</si>
  <si>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</si>
  <si>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</si>
  <si>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</si>
  <si>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</si>
  <si>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</si>
  <si>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</si>
  <si>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</si>
  <si>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</si>
  <si>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</si>
  <si>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</si>
  <si>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</si>
  <si>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</si>
  <si>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</si>
  <si>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</si>
  <si>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</si>
  <si>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</si>
  <si>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</si>
  <si>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</si>
  <si>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</si>
  <si>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</si>
  <si>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</si>
  <si>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</si>
  <si>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</si>
  <si>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</si>
  <si>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</si>
  <si>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</si>
  <si>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</si>
  <si>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</si>
  <si>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</si>
  <si>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</si>
  <si>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</si>
  <si>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</si>
  <si>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</si>
  <si>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</si>
  <si>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</si>
  <si>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</si>
  <si>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</si>
  <si>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</si>
  <si>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</si>
  <si>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</si>
  <si>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</si>
  <si>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</si>
  <si>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</si>
  <si>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</si>
  <si>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</si>
  <si>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</si>
  <si>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</si>
  <si>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</si>
  <si>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</si>
  <si>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</si>
  <si>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</si>
  <si>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</si>
  <si>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</si>
  <si>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</si>
  <si>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</si>
  <si>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</si>
  <si>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</si>
  <si>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</si>
  <si>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</si>
  <si>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</si>
  <si>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</si>
  <si>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</si>
  <si>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</si>
  <si>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</si>
  <si>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</si>
  <si>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</si>
  <si>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</si>
  <si>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</si>
  <si>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</si>
  <si>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</si>
  <si>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</si>
  <si>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</si>
  <si>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</si>
  <si>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</si>
  <si>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</si>
  <si>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</si>
  <si>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</si>
  <si>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</si>
  <si>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</si>
  <si>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</si>
  <si>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Housing Authority of the County of Kern</t>
  </si>
  <si>
    <t>MIP Amount</t>
  </si>
  <si>
    <t>PROJECT NAME:</t>
  </si>
  <si>
    <t xml:space="preserve">Bakersfield Senior Affordable Housing </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</si>
  <si>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</si>
  <si>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</si>
  <si>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</si>
  <si>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</si>
  <si>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</si>
  <si>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</si>
  <si>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</si>
  <si>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</si>
  <si>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</si>
  <si>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</si>
  <si>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</si>
  <si>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</si>
  <si>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</si>
  <si>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</si>
  <si>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</si>
  <si>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</si>
  <si>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</si>
  <si>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</si>
  <si>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</si>
  <si>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</si>
  <si>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</si>
  <si>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</si>
  <si>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</si>
  <si>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</si>
  <si>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</si>
  <si>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</si>
  <si>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</si>
  <si>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</si>
  <si>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</si>
  <si>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</si>
  <si>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</si>
  <si>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</si>
  <si>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</si>
  <si>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</si>
  <si>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</si>
  <si>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</si>
  <si>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</si>
  <si>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</si>
  <si>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</si>
  <si>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</si>
  <si>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</si>
  <si>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</si>
  <si>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</si>
  <si>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</si>
  <si>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</si>
  <si>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</si>
  <si>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</si>
  <si>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</si>
  <si>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</si>
  <si>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</si>
  <si>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</si>
  <si>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</si>
  <si>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</si>
  <si>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</si>
  <si>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</si>
  <si>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</si>
  <si>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</si>
  <si>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</si>
  <si>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</si>
  <si>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</si>
  <si>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</si>
  <si>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</si>
  <si>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</si>
  <si>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</si>
  <si>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</si>
  <si>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</si>
  <si>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</si>
  <si>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</si>
  <si>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</si>
  <si>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</si>
  <si>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</si>
  <si>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</si>
  <si>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</si>
  <si>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</si>
  <si>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</si>
  <si>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</si>
  <si>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</si>
  <si>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</si>
  <si>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</si>
  <si>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</si>
  <si>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</si>
  <si>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</si>
  <si>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</si>
  <si>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</si>
  <si>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</si>
  <si>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</si>
  <si>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</si>
  <si>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</si>
  <si>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</si>
  <si>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</si>
  <si>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</si>
  <si>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</si>
  <si>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</si>
  <si>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</si>
  <si>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</si>
  <si>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</si>
  <si>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</si>
  <si>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</si>
  <si>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</si>
  <si>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</si>
  <si>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</si>
  <si>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</si>
  <si>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</si>
  <si>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</si>
  <si>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</si>
  <si>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</si>
  <si>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</si>
  <si>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</si>
  <si>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</si>
  <si>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</si>
  <si>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</si>
  <si>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</si>
  <si>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</si>
  <si>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</si>
  <si>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</si>
  <si>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</si>
  <si>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</si>
  <si>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</si>
  <si>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</si>
  <si>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Stephen M. Pelz</t>
  </si>
  <si>
    <t>(Typed or printed name)</t>
  </si>
  <si>
    <t xml:space="preserve">Application type: </t>
  </si>
  <si>
    <t>4%</t>
  </si>
  <si>
    <t xml:space="preserve">Please select your county: </t>
  </si>
  <si>
    <t>Executive Director</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</si>
  <si>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</si>
  <si>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</si>
  <si>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</si>
  <si>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</si>
  <si>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</si>
  <si>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</si>
  <si>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Bakersfield</t>
  </si>
  <si>
    <t>Inland (Fresno, Imperial, Kern, Kings, Madera, Merced, Riverside, San Bernardino, Stanislaus, and Tulare Counties)</t>
  </si>
  <si>
    <t>4% 2025 TBLs</t>
  </si>
  <si>
    <t>9% 2025 TBLs</t>
  </si>
  <si>
    <t>City Manager:</t>
  </si>
  <si>
    <t>Christian Clegg</t>
  </si>
  <si>
    <t>Northern (Butte, El Dorado, Placer, Sacramento, San Joaquin, Shasta, Solano, Sutter, Yuba, and Yolo Counties)</t>
  </si>
  <si>
    <t>Title:</t>
  </si>
  <si>
    <t>City Manager</t>
  </si>
  <si>
    <t>N/A</t>
  </si>
  <si>
    <t xml:space="preserve">Mailing Address: </t>
  </si>
  <si>
    <t>1600 Truxtun Ave.</t>
  </si>
  <si>
    <t>2025 100% RENTS</t>
  </si>
  <si>
    <t>2025 FAIR MARKET RENTS</t>
  </si>
  <si>
    <t xml:space="preserve">City: </t>
  </si>
  <si>
    <t>Bakersfield</t>
  </si>
  <si>
    <t>ALAMEDA</t>
  </si>
  <si>
    <t>Alameda</t>
  </si>
  <si>
    <t>California Tax Credit Allocation Committee</t>
  </si>
  <si>
    <t>Housing and Urban Development</t>
  </si>
  <si>
    <t xml:space="preserve">Zip Code: </t>
  </si>
  <si>
    <t>ALPINE</t>
  </si>
  <si>
    <t>Alpine</t>
  </si>
  <si>
    <t>Phone Number:</t>
  </si>
  <si>
    <t>661-326-3751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</si>
  <si>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</si>
  <si>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</si>
  <si>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</si>
  <si>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</si>
  <si>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</si>
  <si>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</si>
  <si>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</si>
  <si>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</si>
  <si>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</si>
  <si>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</si>
  <si>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</si>
  <si>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</si>
  <si>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</si>
  <si>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</si>
  <si>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</si>
  <si>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</si>
  <si>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AdmMgr@bakersfieldcity.us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</si>
  <si>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</si>
  <si>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</si>
  <si>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</si>
  <si>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</si>
  <si>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</si>
  <si>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</si>
  <si>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</si>
  <si>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</si>
  <si>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</si>
  <si>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</si>
  <si>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</si>
  <si>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</si>
  <si>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</si>
  <si>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</si>
  <si>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</si>
  <si>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</si>
  <si>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</si>
  <si>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</si>
  <si>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</si>
  <si>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</si>
  <si>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</si>
  <si>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</si>
  <si>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</si>
  <si>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</si>
  <si>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</si>
  <si>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</si>
  <si>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</si>
  <si>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</si>
  <si>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</si>
  <si>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</si>
  <si>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</si>
  <si>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</si>
  <si>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</si>
  <si>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</si>
  <si>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</si>
  <si>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</si>
  <si>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</si>
  <si>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</si>
  <si>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</si>
  <si>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</si>
  <si>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</si>
  <si>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</si>
  <si>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</si>
  <si>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</si>
  <si>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</si>
  <si>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</si>
  <si>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</si>
  <si>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</si>
  <si>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</si>
  <si>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</si>
  <si>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</si>
  <si>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</si>
  <si>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</si>
  <si>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</si>
  <si>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</si>
  <si>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</si>
  <si>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</si>
  <si>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</si>
  <si>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</si>
  <si>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</si>
  <si>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</si>
  <si>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</si>
  <si>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</si>
  <si>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</si>
  <si>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</si>
  <si>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</si>
  <si>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</si>
  <si>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</si>
  <si>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</si>
  <si>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</si>
  <si>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</si>
  <si>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</si>
  <si>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</si>
  <si>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</si>
  <si>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</si>
  <si>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</si>
  <si>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530 4th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</si>
  <si>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</si>
  <si>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</si>
  <si>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</si>
  <si>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</si>
  <si>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</si>
  <si>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</si>
  <si>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</si>
  <si>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</si>
  <si>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</si>
  <si>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</si>
  <si>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</si>
  <si>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</si>
  <si>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</si>
  <si>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</si>
  <si>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</si>
  <si>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</si>
  <si>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</si>
  <si>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</si>
  <si>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</si>
  <si>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</si>
  <si>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 xml:space="preserve"> 009-403-24, 009-403-22, 009-403-12, 009-403-11, 009-403-10, 009-402-07, 009-401-06</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</si>
  <si>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</si>
  <si>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</si>
  <si>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</si>
  <si>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</si>
  <si>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</si>
  <si>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</si>
  <si>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</si>
  <si>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</si>
  <si>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</si>
  <si>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</si>
  <si>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</si>
  <si>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</si>
  <si>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</si>
  <si>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</si>
  <si>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</si>
  <si>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</si>
  <si>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</si>
  <si>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</si>
  <si>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</si>
  <si>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</si>
  <si>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</si>
  <si>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</si>
  <si>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</si>
  <si>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</si>
  <si>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</si>
  <si>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</si>
  <si>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</si>
  <si>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</si>
  <si>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</si>
  <si>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NA</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</si>
  <si>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</si>
  <si>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</si>
  <si>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</si>
  <si>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</si>
  <si>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</si>
  <si>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</si>
  <si>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</si>
  <si>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</si>
  <si>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</si>
  <si>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</si>
  <si>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</si>
  <si>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</si>
  <si>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</si>
  <si>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</si>
  <si>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</si>
  <si>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</si>
  <si>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</si>
  <si>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</si>
  <si>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</si>
  <si>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</si>
  <si>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</si>
  <si>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</si>
  <si>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</si>
  <si>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</si>
  <si>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</si>
  <si>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</si>
  <si>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</si>
  <si>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</si>
  <si>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</si>
  <si>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</si>
  <si>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</si>
  <si>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</si>
  <si>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</si>
  <si>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</si>
  <si>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</si>
  <si>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</si>
  <si>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</si>
  <si>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</si>
  <si>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</si>
  <si>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</si>
  <si>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</si>
  <si>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</si>
  <si>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</si>
  <si>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</si>
  <si>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</si>
  <si>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</si>
  <si>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</si>
  <si>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</si>
  <si>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</si>
  <si>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</si>
  <si>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</si>
  <si>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</si>
  <si>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</si>
  <si>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</si>
  <si>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</si>
  <si>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</si>
  <si>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</si>
  <si>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</si>
  <si>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</si>
  <si>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</si>
  <si>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</si>
  <si>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</si>
  <si>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</si>
  <si>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</si>
  <si>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</si>
  <si>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</si>
  <si>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</si>
  <si>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</si>
  <si>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</si>
  <si>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</si>
  <si>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</si>
  <si>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</si>
  <si>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</si>
  <si>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</si>
  <si>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</si>
  <si>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</si>
  <si>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</si>
  <si>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</si>
  <si>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</si>
  <si>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</si>
  <si>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</si>
  <si>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</si>
  <si>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</si>
  <si>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</si>
  <si>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</si>
  <si>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</si>
  <si>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</si>
  <si>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</si>
  <si>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</si>
  <si>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</si>
  <si>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</si>
  <si>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</si>
  <si>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601 24th Street</t>
  </si>
  <si>
    <t>State:</t>
  </si>
  <si>
    <t>CA</t>
  </si>
  <si>
    <t>Contact Person:</t>
  </si>
  <si>
    <t>Phone:</t>
  </si>
  <si>
    <t>661-631-8500</t>
  </si>
  <si>
    <t>Ext.:</t>
  </si>
  <si>
    <t>Fax:</t>
  </si>
  <si>
    <t>661-631-9500</t>
  </si>
  <si>
    <t>both nonprofits</t>
  </si>
  <si>
    <t xml:space="preserve">Email: </t>
  </si>
  <si>
    <t>spelz@kernha.org</t>
  </si>
  <si>
    <t>Legal Status of Applicant:</t>
  </si>
  <si>
    <t>Parent Company:</t>
  </si>
  <si>
    <t>If Other, Specify:</t>
  </si>
  <si>
    <t>both for-profit</t>
  </si>
  <si>
    <t>General Partner(s) Information (post-closing GPs):</t>
  </si>
  <si>
    <t>D(1)</t>
  </si>
  <si>
    <t>General Partner Name:</t>
  </si>
  <si>
    <t>Golden Empire Affordable Housing</t>
  </si>
  <si>
    <t>Managing GP</t>
  </si>
  <si>
    <t>601 24th Street, Suite B</t>
  </si>
  <si>
    <t>OWNERSHIP</t>
  </si>
  <si>
    <t>Nonprofit</t>
  </si>
  <si>
    <t>INTEREST (%):</t>
  </si>
  <si>
    <t>currently exists</t>
  </si>
  <si>
    <t>to be formed</t>
  </si>
  <si>
    <t>For Profit</t>
  </si>
  <si>
    <t>Nonprofit/For Profit:</t>
  </si>
  <si>
    <t>D(2)</t>
  </si>
  <si>
    <t>General Partner Name:*</t>
  </si>
  <si>
    <t xml:space="preserve">Housing Authority of the County of Kern </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</si>
  <si>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</si>
  <si>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</si>
  <si>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</si>
  <si>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</si>
  <si>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</si>
  <si>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</si>
  <si>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</si>
  <si>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</si>
  <si>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</si>
  <si>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</si>
  <si>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</si>
  <si>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 and Developer</t>
  </si>
  <si>
    <t>(e.g., General Partner, Consultant, etc.)</t>
  </si>
  <si>
    <t>II. APPLICATION - SECTION 4: DEVELOPMENT TEAM INFORMATION</t>
  </si>
  <si>
    <t>Indicate and List All Development Team Members</t>
  </si>
  <si>
    <t>Developer:</t>
  </si>
  <si>
    <t>Architect:</t>
  </si>
  <si>
    <t>HPI Architecture</t>
  </si>
  <si>
    <t>Address:</t>
  </si>
  <si>
    <t>115 22nd Street</t>
  </si>
  <si>
    <t>City, State, Zip</t>
  </si>
  <si>
    <t>Bakersfield, CA 93301</t>
  </si>
  <si>
    <t>City, State, Zip:</t>
  </si>
  <si>
    <t>Newport</t>
  </si>
  <si>
    <t>Stephanie Lucero</t>
  </si>
  <si>
    <t>858-925-3276</t>
  </si>
  <si>
    <t>Email:</t>
  </si>
  <si>
    <t>slucero@hpiarchitecture.com</t>
  </si>
  <si>
    <t>Attorney:</t>
  </si>
  <si>
    <t>Goldfarb &amp; Lipman LLP</t>
  </si>
  <si>
    <t>General Contractor:</t>
  </si>
  <si>
    <t>Wallace &amp; Smith</t>
  </si>
  <si>
    <t>1300 Clay Street 11th Floor</t>
  </si>
  <si>
    <t>3325 Landco Dr</t>
  </si>
  <si>
    <t>Oakland, CA 94612</t>
  </si>
  <si>
    <t>Bakersfield, CA 93308</t>
  </si>
  <si>
    <t>M David Kroot</t>
  </si>
  <si>
    <t>Mike Hunter</t>
  </si>
  <si>
    <t>510-836-6336</t>
  </si>
  <si>
    <t>661-327-1436</t>
  </si>
  <si>
    <t>661-322-9382</t>
  </si>
  <si>
    <t>mkroot@goldfarblipman.com</t>
  </si>
  <si>
    <t>Mhunter@wallacesmith.com</t>
  </si>
  <si>
    <t>Tax Professional:</t>
  </si>
  <si>
    <t>Energy Consultant:</t>
  </si>
  <si>
    <t>Margaret Jung</t>
  </si>
  <si>
    <t>mjung@goldfarblipman.com</t>
  </si>
  <si>
    <t>CPA:</t>
  </si>
  <si>
    <t>Daniells Phillips Vaughan &amp; Bock</t>
  </si>
  <si>
    <t>Investor:</t>
  </si>
  <si>
    <t>To be Determined</t>
  </si>
  <si>
    <t>300 New Stine Road</t>
  </si>
  <si>
    <t>Bakersfield, CA 93309</t>
  </si>
  <si>
    <t>Patrick Paggi</t>
  </si>
  <si>
    <t>661-834-7411</t>
  </si>
  <si>
    <t>patrick@dpvb.com</t>
  </si>
  <si>
    <t>Consultant:</t>
  </si>
  <si>
    <t>Market Analyst:</t>
  </si>
  <si>
    <t>Kinetic Valuation</t>
  </si>
  <si>
    <t>PO Box 628</t>
  </si>
  <si>
    <t>Corona del Mar, CA 92625</t>
  </si>
  <si>
    <t>Jay Wortman</t>
  </si>
  <si>
    <t>402-202-0771</t>
  </si>
  <si>
    <t>jay@kvgteam.com</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</si>
  <si>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</si>
  <si>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</si>
  <si>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</si>
  <si>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</si>
  <si>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</si>
  <si>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</si>
  <si>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</si>
  <si>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</si>
  <si>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</si>
  <si>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</si>
  <si>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</si>
  <si>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</si>
  <si>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</si>
  <si>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</si>
  <si>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</si>
  <si>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</si>
  <si>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</si>
  <si>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</si>
  <si>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</si>
  <si>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</si>
  <si>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</si>
  <si>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</si>
  <si>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</si>
  <si>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</si>
  <si>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</si>
  <si>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</si>
  <si>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</si>
  <si>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</si>
  <si>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</si>
  <si>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</si>
  <si>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</si>
  <si>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</si>
  <si>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</si>
  <si>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</si>
  <si>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</si>
  <si>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</si>
  <si>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</si>
  <si>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Bakersfield Senior Center, Inc.</t>
  </si>
  <si>
    <t>Signatory of Seller:</t>
  </si>
  <si>
    <t>Lilli J. Parker</t>
  </si>
  <si>
    <t>Seller Principal:</t>
  </si>
  <si>
    <t>Seller Address:</t>
  </si>
  <si>
    <t>530 4th Street, Bakersfield, CA 93304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</si>
  <si>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</si>
  <si>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</si>
  <si>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</si>
  <si>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</si>
  <si>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</si>
  <si>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</si>
  <si>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661-325-1113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</si>
  <si>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</si>
  <si>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</si>
  <si>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</si>
  <si>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</si>
  <si>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</si>
  <si>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</si>
  <si>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</si>
  <si>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</si>
  <si>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</si>
  <si>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</si>
  <si>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</si>
  <si>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</si>
  <si>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</si>
  <si>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</si>
  <si>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</si>
  <si>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</si>
  <si>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</si>
  <si>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</si>
  <si>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</si>
  <si>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</si>
  <si>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</si>
  <si>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</si>
  <si>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</si>
  <si>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</si>
  <si>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</si>
  <si>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</si>
  <si>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</si>
  <si>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</si>
  <si>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</si>
  <si>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</si>
  <si>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</si>
  <si>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</si>
  <si>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</si>
  <si>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</si>
  <si>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</si>
  <si>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</si>
  <si>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</si>
  <si>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</si>
  <si>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</si>
  <si>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</si>
  <si>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</si>
  <si>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</si>
  <si>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</si>
  <si>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</si>
  <si>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</si>
  <si>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</si>
  <si>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</si>
  <si>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</si>
  <si>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</si>
  <si>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</si>
  <si>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</si>
  <si>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</si>
  <si>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</si>
  <si>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</si>
  <si>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</si>
  <si>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</si>
  <si>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</si>
  <si>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</si>
  <si>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</si>
  <si>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</si>
  <si>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</si>
  <si>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</si>
  <si>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</si>
  <si>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</si>
  <si>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</si>
  <si>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</si>
  <si>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</si>
  <si>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</si>
  <si>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</si>
  <si>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</si>
  <si>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</si>
  <si>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</si>
  <si>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</si>
  <si>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</si>
  <si>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</si>
  <si>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</si>
  <si>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</si>
  <si>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</si>
  <si>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Residential</t>
  </si>
  <si>
    <t>Current Zoning and Maximum Density</t>
  </si>
  <si>
    <t xml:space="preserve">R3 (High Density Residential) </t>
  </si>
  <si>
    <t>Proposed Zoning and Maximum Density</t>
  </si>
  <si>
    <t>No changes</t>
  </si>
  <si>
    <t>Occupancy restrictions that run with the land due to CUP’s or density bonuses?</t>
  </si>
  <si>
    <t>(if yes, explain here)</t>
  </si>
  <si>
    <t>Subject to Inclusionary Zoning?</t>
  </si>
  <si>
    <t>Building Height Requirements</t>
  </si>
  <si>
    <t>City approved 58.4 feet building height</t>
  </si>
  <si>
    <t>Required Parking Ratio</t>
  </si>
  <si>
    <t>City approved total of 63 spaces through Density Bonus for project</t>
  </si>
  <si>
    <t>Total Number of Parking Spaces</t>
  </si>
  <si>
    <t>63 with 22 being reserved for senior residents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</si>
  <si>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</si>
  <si>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</si>
  <si>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</si>
  <si>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</si>
  <si>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</si>
  <si>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</si>
  <si>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</si>
  <si>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</si>
  <si>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</si>
  <si>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</si>
  <si>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</si>
  <si>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</si>
  <si>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</si>
  <si>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</si>
  <si>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</si>
  <si>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</si>
  <si>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</si>
  <si>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</si>
  <si>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</si>
  <si>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</si>
  <si>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</si>
  <si>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</si>
  <si>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</si>
  <si>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</si>
  <si>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</si>
  <si>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</si>
  <si>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</si>
  <si>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</si>
  <si>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</si>
  <si>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</si>
  <si>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</si>
  <si>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</si>
  <si>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</si>
  <si>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</si>
  <si>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</si>
  <si>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</si>
  <si>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</si>
  <si>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</si>
  <si>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</si>
  <si>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City of Bakersfield - REAP 2</t>
  </si>
  <si>
    <t>Loan, Equity Bridge</t>
  </si>
  <si>
    <t>Loan, Residual Receipts</t>
  </si>
  <si>
    <t>Loan, Seller Note</t>
  </si>
  <si>
    <t>Loan, General Partner</t>
  </si>
  <si>
    <t>Loan, Taxable</t>
  </si>
  <si>
    <t>Loan, Tax-Exempt</t>
  </si>
  <si>
    <t>Transformative Climate Communities (TCC)</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</si>
  <si>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</si>
  <si>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</si>
  <si>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</si>
  <si>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</si>
  <si>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</si>
  <si>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</si>
  <si>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</si>
  <si>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</si>
  <si>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</si>
  <si>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</si>
  <si>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</si>
  <si>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</si>
  <si>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</si>
  <si>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</si>
  <si>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</si>
  <si>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</si>
  <si>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</si>
  <si>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</si>
  <si>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</si>
  <si>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</si>
  <si>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</si>
  <si>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</si>
  <si>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</si>
  <si>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</si>
  <si>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</si>
  <si>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Banc of California </t>
  </si>
  <si>
    <t>Fixed</t>
  </si>
  <si>
    <t>City of Bakersfield REAP 2022</t>
  </si>
  <si>
    <t>City of Bakersfield AHTF 22-23</t>
  </si>
  <si>
    <t>Tax Credit Equity</t>
  </si>
  <si>
    <t>6)</t>
  </si>
  <si>
    <t xml:space="preserve">City of Bakersfield -Transformative Climate Communities </t>
  </si>
  <si>
    <t>7)</t>
  </si>
  <si>
    <t>City of Bakersfield AHTF 25-26</t>
  </si>
  <si>
    <t>8)</t>
  </si>
  <si>
    <t>Deferred Costs</t>
  </si>
  <si>
    <t>9)</t>
  </si>
  <si>
    <t>10)</t>
  </si>
  <si>
    <t>11)</t>
  </si>
  <si>
    <t>12)</t>
  </si>
  <si>
    <t>Total Funds For Construction:</t>
  </si>
  <si>
    <t>Lender/Source:</t>
  </si>
  <si>
    <t>776 E Shaw Ave. Suite 101</t>
  </si>
  <si>
    <t>Contact Name:</t>
  </si>
  <si>
    <t>Ryan Dhindsa</t>
  </si>
  <si>
    <t>559-224-9024</t>
  </si>
  <si>
    <t>Type of Financing:</t>
  </si>
  <si>
    <t>Construction Loan Tax Exempt</t>
  </si>
  <si>
    <t>Construction Loan Taxable</t>
  </si>
  <si>
    <t>Variable Rate Index (if applicable):</t>
  </si>
  <si>
    <t>Is the Lender/Source Committed?</t>
  </si>
  <si>
    <t>1600 Truxtun Av e.</t>
  </si>
  <si>
    <t>Jennifer Byers</t>
  </si>
  <si>
    <t>661-852-7099</t>
  </si>
  <si>
    <t>Loan - Residdual Receipts</t>
  </si>
  <si>
    <t>121 SW Morrison Ste 1300</t>
  </si>
  <si>
    <t>Portland, Oregon 97204</t>
  </si>
  <si>
    <t>Matt Harrington</t>
  </si>
  <si>
    <t>503-366-4275</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</si>
  <si>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</si>
  <si>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</si>
  <si>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</si>
  <si>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</si>
  <si>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</si>
  <si>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</si>
  <si>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Banc of California</t>
  </si>
  <si>
    <t>City of Bakersfield  AHTF 25-26</t>
  </si>
  <si>
    <t>City of Bakersfeild - REAP 2022</t>
  </si>
  <si>
    <t>City of Bakersfield - TCC</t>
  </si>
  <si>
    <t>Deferred Developer Fee</t>
  </si>
  <si>
    <t>Deferred</t>
  </si>
  <si>
    <t>Residual</t>
  </si>
  <si>
    <t>Required</t>
  </si>
  <si>
    <t>Total Permanent Financing:</t>
  </si>
  <si>
    <t>Total Tax Credit Equity:</t>
  </si>
  <si>
    <t>Total Sources of Project Funds:</t>
  </si>
  <si>
    <t xml:space="preserve">776 E Shaw Suite 101 </t>
  </si>
  <si>
    <t>Fresno, CA 93710</t>
  </si>
  <si>
    <t>Jason Cater</t>
  </si>
  <si>
    <t>661-326-3609</t>
  </si>
  <si>
    <t>Permanent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</si>
  <si>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</si>
  <si>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</si>
  <si>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</si>
  <si>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</si>
  <si>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</si>
  <si>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</si>
  <si>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</si>
  <si>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</si>
  <si>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</si>
  <si>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</si>
  <si>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</si>
  <si>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</si>
  <si>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</si>
  <si>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</si>
  <si>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</si>
  <si>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</si>
  <si>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</si>
  <si>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</si>
  <si>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</si>
  <si>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</si>
  <si>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</si>
  <si>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</si>
  <si>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</si>
  <si>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</si>
  <si>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</si>
  <si>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</si>
  <si>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</si>
  <si>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</si>
  <si>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</si>
  <si>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</si>
  <si>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</si>
  <si>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</si>
  <si>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</si>
  <si>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</si>
  <si>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</si>
  <si>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</si>
  <si>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</si>
  <si>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</si>
  <si>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</si>
  <si>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</si>
  <si>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</si>
  <si>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</si>
  <si>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</si>
  <si>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</si>
  <si>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</si>
  <si>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</si>
  <si>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</si>
  <si>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</si>
  <si>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</si>
  <si>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</si>
  <si>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</si>
  <si>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</si>
  <si>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</si>
  <si>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</si>
  <si>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</si>
  <si>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</si>
  <si>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</si>
  <si>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</si>
  <si>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</si>
  <si>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</si>
  <si>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</si>
  <si>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</si>
  <si>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</si>
  <si>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</si>
  <si>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</si>
  <si>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</si>
  <si>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</si>
  <si>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</si>
  <si>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</si>
  <si>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</si>
  <si>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</si>
  <si>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</si>
  <si>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</si>
  <si>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</si>
  <si>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</si>
  <si>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</si>
  <si>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</si>
  <si>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</si>
  <si>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</si>
  <si>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</si>
  <si>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</si>
  <si>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</si>
  <si>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</si>
  <si>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</si>
  <si>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</si>
  <si>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</si>
  <si>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</si>
  <si>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</si>
  <si>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</si>
  <si>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</si>
  <si>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</si>
  <si>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</si>
  <si>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</si>
  <si>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</si>
  <si>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</si>
  <si>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</si>
  <si>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</si>
  <si>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</si>
  <si>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</si>
  <si>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</si>
  <si>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</si>
  <si>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</si>
  <si>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</si>
  <si>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</si>
  <si>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</si>
  <si>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</si>
  <si>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</si>
  <si>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</si>
  <si>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</si>
  <si>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</si>
  <si>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</si>
  <si>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</si>
  <si>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</si>
  <si>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</si>
  <si>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</si>
  <si>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</si>
  <si>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</si>
  <si>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</si>
  <si>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</si>
  <si>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</si>
  <si>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Misc. Operating/Maintenance</t>
  </si>
  <si>
    <t>Total Maintenance:</t>
  </si>
  <si>
    <t>Other Operating</t>
  </si>
  <si>
    <t>Property Liability Insurance</t>
  </si>
  <si>
    <t>Expenses</t>
  </si>
  <si>
    <t xml:space="preserve">Telephone </t>
  </si>
  <si>
    <t>Business Taxes</t>
  </si>
  <si>
    <t>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</si>
  <si>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</si>
  <si>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</si>
  <si>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</si>
  <si>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</si>
  <si>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</si>
  <si>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</si>
  <si>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</si>
  <si>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</si>
  <si>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</si>
  <si>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</si>
  <si>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</si>
  <si>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</si>
  <si>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</si>
  <si>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</si>
  <si>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</si>
  <si>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</si>
  <si>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</si>
  <si>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</si>
  <si>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</si>
  <si>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</si>
  <si>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</si>
  <si>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</si>
  <si>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</si>
  <si>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</si>
  <si>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</si>
  <si>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</si>
  <si>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</si>
  <si>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</si>
  <si>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</si>
  <si>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</si>
  <si>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</si>
  <si>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</si>
  <si>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</si>
  <si>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</si>
  <si>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</si>
  <si>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</si>
  <si>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</si>
  <si>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</si>
  <si>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</si>
  <si>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</si>
  <si>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</si>
  <si>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</si>
  <si>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</si>
  <si>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</si>
  <si>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</si>
  <si>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</si>
  <si>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</si>
  <si>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</si>
  <si>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</si>
  <si>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</si>
  <si>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</si>
  <si>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</si>
  <si>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</si>
  <si>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</si>
  <si>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</si>
  <si>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</si>
  <si>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</si>
  <si>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</si>
  <si>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</si>
  <si>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</si>
  <si>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</si>
  <si>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HUD</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</si>
  <si>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</si>
  <si>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</si>
  <si>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</si>
  <si>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</si>
  <si>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</si>
  <si>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</si>
  <si>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</si>
  <si>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</si>
  <si>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</si>
  <si>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</si>
  <si>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</si>
  <si>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</si>
  <si>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</si>
  <si>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</si>
  <si>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</si>
  <si>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</si>
  <si>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</si>
  <si>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</si>
  <si>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</si>
  <si>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</si>
  <si>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</si>
  <si>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</si>
  <si>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</si>
  <si>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</si>
  <si>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</si>
  <si>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</si>
  <si>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</si>
  <si>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</si>
  <si>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</si>
  <si>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</si>
  <si>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</si>
  <si>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</si>
  <si>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</si>
  <si>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</si>
  <si>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</si>
  <si>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</si>
  <si>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</si>
  <si>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</si>
  <si>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</si>
  <si>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</si>
  <si>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</si>
  <si>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</si>
  <si>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</si>
  <si>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</si>
  <si>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</si>
  <si>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</si>
  <si>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</si>
  <si>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</si>
  <si>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</si>
  <si>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</si>
  <si>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</si>
  <si>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</si>
  <si>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</si>
  <si>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</si>
  <si>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</si>
  <si>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</si>
  <si>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</si>
  <si>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</si>
  <si>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</si>
  <si>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</si>
  <si>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</si>
  <si>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</si>
  <si>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</si>
  <si>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</si>
  <si>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</si>
  <si>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</si>
  <si>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</si>
  <si>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</si>
  <si>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</si>
  <si>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</si>
  <si>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</si>
  <si>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</si>
  <si>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</si>
  <si>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</si>
  <si>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</si>
  <si>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</si>
  <si>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</si>
  <si>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</si>
  <si>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</si>
  <si>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</si>
  <si>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</si>
  <si>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</si>
  <si>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</si>
  <si>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</si>
  <si>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</si>
  <si>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</si>
  <si>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</si>
  <si>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</si>
  <si>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</si>
  <si>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</si>
  <si>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</si>
  <si>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</si>
  <si>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</si>
  <si>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</si>
  <si>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</si>
  <si>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</si>
  <si>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</si>
  <si>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</si>
  <si>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</si>
  <si>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</si>
  <si>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</si>
  <si>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</si>
  <si>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</si>
  <si>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</si>
  <si>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</si>
  <si>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</si>
  <si>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</si>
  <si>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</si>
  <si>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</si>
  <si>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</si>
  <si>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</si>
  <si>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</si>
  <si>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</si>
  <si>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</si>
  <si>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</si>
  <si>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</si>
  <si>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</si>
  <si>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</si>
  <si>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</si>
  <si>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</si>
  <si>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</si>
  <si>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</si>
  <si>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</si>
  <si>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</si>
  <si>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</si>
  <si>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</si>
  <si>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</si>
  <si>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</si>
  <si>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</si>
  <si>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</si>
  <si>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</si>
  <si>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</si>
  <si>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</si>
  <si>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</si>
  <si>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</si>
  <si>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</si>
  <si>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</si>
  <si>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</si>
  <si>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</si>
  <si>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</si>
  <si>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</si>
  <si>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</si>
  <si>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</si>
  <si>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</si>
  <si>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</si>
  <si>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</si>
  <si>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</si>
  <si>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</si>
  <si>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</si>
  <si>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</si>
  <si>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</si>
  <si>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</si>
  <si>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</si>
  <si>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</si>
  <si>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</si>
  <si>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</si>
  <si>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</si>
  <si>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</si>
  <si>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</si>
  <si>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</si>
  <si>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</si>
  <si>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</si>
  <si>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</si>
  <si>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Bank Insepection and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</si>
  <si>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</si>
  <si>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</si>
  <si>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</si>
  <si>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</si>
  <si>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</si>
  <si>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</si>
  <si>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</si>
  <si>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</si>
  <si>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</si>
  <si>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Bond  Counsel &amp; Legal Fees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</si>
  <si>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</si>
  <si>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</si>
  <si>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</si>
  <si>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</si>
  <si>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</si>
  <si>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</si>
  <si>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</si>
  <si>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</si>
  <si>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</si>
  <si>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</si>
  <si>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</si>
  <si>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</si>
  <si>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</si>
  <si>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</si>
  <si>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</si>
  <si>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</si>
  <si>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</si>
  <si>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</si>
  <si>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</si>
  <si>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</si>
  <si>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</si>
  <si>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</si>
  <si>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Audit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</si>
  <si>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</si>
  <si>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</si>
  <si>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</si>
  <si>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</si>
  <si>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</si>
  <si>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</si>
  <si>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</si>
  <si>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</si>
  <si>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</si>
  <si>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</si>
  <si>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</si>
  <si>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</si>
  <si>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</si>
  <si>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</si>
  <si>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</si>
  <si>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</si>
  <si>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</si>
  <si>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</si>
  <si>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</si>
  <si>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</si>
  <si>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</si>
  <si>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</si>
  <si>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</si>
  <si>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</si>
  <si>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</si>
  <si>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</si>
  <si>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</si>
  <si>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</si>
  <si>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</si>
  <si>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</si>
  <si>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</si>
  <si>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</si>
  <si>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</si>
  <si>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</si>
  <si>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</si>
  <si>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</si>
  <si>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</si>
  <si>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</si>
  <si>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</si>
  <si>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</si>
  <si>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</si>
  <si>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</si>
  <si>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</si>
  <si>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</si>
  <si>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</si>
  <si>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</si>
  <si>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</si>
  <si>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</si>
  <si>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</si>
  <si>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</si>
  <si>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</si>
  <si>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</si>
  <si>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</si>
  <si>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</si>
  <si>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</si>
  <si>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</si>
  <si>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</si>
  <si>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</si>
  <si>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</si>
  <si>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</si>
  <si>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</si>
  <si>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</si>
  <si>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</si>
  <si>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</si>
  <si>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</si>
  <si>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</si>
  <si>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</si>
  <si>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</si>
  <si>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</si>
  <si>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</si>
  <si>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</si>
  <si>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</si>
  <si>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</si>
  <si>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</si>
  <si>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</si>
  <si>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</si>
  <si>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</si>
  <si>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</si>
  <si>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</si>
  <si>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</si>
  <si>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</si>
  <si>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</si>
  <si>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</si>
  <si>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</si>
  <si>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</si>
  <si>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</si>
  <si>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</si>
  <si>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</si>
  <si>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</si>
  <si>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</si>
  <si>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</si>
  <si>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</si>
  <si>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</si>
  <si>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</si>
  <si>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</si>
  <si>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</si>
  <si>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</si>
  <si>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</si>
  <si>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</si>
  <si>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</si>
  <si>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</si>
  <si>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</si>
  <si>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</si>
  <si>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</si>
  <si>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</si>
  <si>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</si>
  <si>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</si>
  <si>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</si>
  <si>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</si>
  <si>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</si>
  <si>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</si>
  <si>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</si>
  <si>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</si>
  <si>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</si>
  <si>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</si>
  <si>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</si>
  <si>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</si>
  <si>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</si>
  <si>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</si>
  <si>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</si>
  <si>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</si>
  <si>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</si>
  <si>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</si>
  <si>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</si>
  <si>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</si>
  <si>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</si>
  <si>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</si>
  <si>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</si>
  <si>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</si>
  <si>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</si>
  <si>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</si>
  <si>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</si>
  <si>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</si>
  <si>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</si>
  <si>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</si>
  <si>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</si>
  <si>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</si>
  <si>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</si>
  <si>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</si>
  <si>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</si>
  <si>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</si>
  <si>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</si>
  <si>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</si>
  <si>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</si>
  <si>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</si>
  <si>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</si>
  <si>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</si>
  <si>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</si>
  <si>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</si>
  <si>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</si>
  <si>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</si>
  <si>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</si>
  <si>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</si>
  <si>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</si>
  <si>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</si>
  <si>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</si>
  <si>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</si>
  <si>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</si>
  <si>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</si>
  <si>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</si>
  <si>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</si>
  <si>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</si>
  <si>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</si>
  <si>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</si>
  <si>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</si>
  <si>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</si>
  <si>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</si>
  <si>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</si>
  <si>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</si>
  <si>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</si>
  <si>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</si>
  <si>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</si>
  <si>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</si>
  <si>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</si>
  <si>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</si>
  <si>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</si>
  <si>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</si>
  <si>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</si>
  <si>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</si>
  <si>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</si>
  <si>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</si>
  <si>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</si>
  <si>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</si>
  <si>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</si>
  <si>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</si>
  <si>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</si>
  <si>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</si>
  <si>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</si>
  <si>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</si>
  <si>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</si>
  <si>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</si>
  <si>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</si>
  <si>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</si>
  <si>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</si>
  <si>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</si>
  <si>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</si>
  <si>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</si>
  <si>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</si>
  <si>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</si>
  <si>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</si>
  <si>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</si>
  <si>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</si>
  <si>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</si>
  <si>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</si>
  <si>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</si>
  <si>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</si>
  <si>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</si>
  <si>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</si>
  <si>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</si>
  <si>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</si>
  <si>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</si>
  <si>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</si>
  <si>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</si>
  <si>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</si>
  <si>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</si>
  <si>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</si>
  <si>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</si>
  <si>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</si>
  <si>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</si>
  <si>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</si>
  <si>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</si>
  <si>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</si>
  <si>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</si>
  <si>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</si>
  <si>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</si>
  <si>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</si>
  <si>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</si>
  <si>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</si>
  <si>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</si>
  <si>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</si>
  <si>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</si>
  <si>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</si>
  <si>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</si>
  <si>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</si>
  <si>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</si>
  <si>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</si>
  <si>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</si>
  <si>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</si>
  <si>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</si>
  <si>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</si>
  <si>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</si>
  <si>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</si>
  <si>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</si>
  <si>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</si>
  <si>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</si>
  <si>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</si>
  <si>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</si>
  <si>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</si>
  <si>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</si>
  <si>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</si>
  <si>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</si>
  <si>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</si>
  <si>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</si>
  <si>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</si>
  <si>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</si>
  <si>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</si>
  <si>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</si>
  <si>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</si>
  <si>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</si>
  <si>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</si>
  <si>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</si>
  <si>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</si>
  <si>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</si>
  <si>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</si>
  <si>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</si>
  <si>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</si>
  <si>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</si>
  <si>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</si>
  <si>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</si>
  <si>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</si>
  <si>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</si>
  <si>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</si>
  <si>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</si>
  <si>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</si>
  <si>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</si>
  <si>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</si>
  <si>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</si>
  <si>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</si>
  <si>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</si>
  <si>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</si>
  <si>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</si>
  <si>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</si>
  <si>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</si>
  <si>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</si>
  <si>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</si>
  <si>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</si>
  <si>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</si>
  <si>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</si>
  <si>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</si>
  <si>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</si>
  <si>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</si>
  <si>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</si>
  <si>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</si>
  <si>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</si>
  <si>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</si>
  <si>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</si>
  <si>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</si>
  <si>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</si>
  <si>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</si>
  <si>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</si>
  <si>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</si>
  <si>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</si>
  <si>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</si>
  <si>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</si>
  <si>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</si>
  <si>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</si>
  <si>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</si>
  <si>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</si>
  <si>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</si>
  <si>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</si>
  <si>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</si>
  <si>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</si>
  <si>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</si>
  <si>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</si>
  <si>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</si>
  <si>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</si>
  <si>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</si>
  <si>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</si>
  <si>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</si>
  <si>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</si>
  <si>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</si>
  <si>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</si>
  <si>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</si>
  <si>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</si>
  <si>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</si>
  <si>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</si>
  <si>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</si>
  <si>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</si>
  <si>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</si>
  <si>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</si>
  <si>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</si>
  <si>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</si>
  <si>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</si>
  <si>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</si>
  <si>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</si>
  <si>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</si>
  <si>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</si>
  <si>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</si>
  <si>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</si>
  <si>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</si>
  <si>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</si>
  <si>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</si>
  <si>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</si>
  <si>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</si>
  <si>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</si>
  <si>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</si>
  <si>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</si>
  <si>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</si>
  <si>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</si>
  <si>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</si>
  <si>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</si>
  <si>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</si>
  <si>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</si>
  <si>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</si>
  <si>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</si>
  <si>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</si>
  <si>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</si>
  <si>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</si>
  <si>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</si>
  <si>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</si>
  <si>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</si>
  <si>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</si>
  <si>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</si>
  <si>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</si>
  <si>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</si>
  <si>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</si>
  <si>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</si>
  <si>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</si>
  <si>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</si>
  <si>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</si>
  <si>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</si>
  <si>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</si>
  <si>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</si>
  <si>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</si>
  <si>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</si>
  <si>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</si>
  <si>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</si>
  <si>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</si>
  <si>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</si>
  <si>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</si>
  <si>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</si>
  <si>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</si>
  <si>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</si>
  <si>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</si>
  <si>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</si>
  <si>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</si>
  <si>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</si>
  <si>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</si>
  <si>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</si>
  <si>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</si>
  <si>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</si>
  <si>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</si>
  <si>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</si>
  <si>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</si>
  <si>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</si>
  <si>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</si>
  <si>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</si>
  <si>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</si>
  <si>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</si>
  <si>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</si>
  <si>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</si>
  <si>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</si>
  <si>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Bakersfield AHTF</t>
  </si>
  <si>
    <t>City of Bakersfield - REAP 2022</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</si>
  <si>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</si>
  <si>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</si>
  <si>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</si>
  <si>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</si>
  <si>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</si>
  <si>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</si>
  <si>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</si>
  <si>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</si>
  <si>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</si>
  <si>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</si>
  <si>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</si>
  <si>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</si>
  <si>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</si>
  <si>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</si>
  <si>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</si>
  <si>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</si>
  <si>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</si>
  <si>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</si>
  <si>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</si>
  <si>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</si>
  <si>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</si>
  <si>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</si>
  <si>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</si>
  <si>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</si>
  <si>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</si>
  <si>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</si>
  <si>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</si>
  <si>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</si>
  <si>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</si>
  <si>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</si>
  <si>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</si>
  <si>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</si>
  <si>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</si>
  <si>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</si>
  <si>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</si>
  <si>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</si>
  <si>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</si>
  <si>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</si>
  <si>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</si>
  <si>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</si>
  <si>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</si>
  <si>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</si>
  <si>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</si>
  <si>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</si>
  <si>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</si>
  <si>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</si>
  <si>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</si>
  <si>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</si>
  <si>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</si>
  <si>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</si>
  <si>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</si>
  <si>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</si>
  <si>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</si>
  <si>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</si>
  <si>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</si>
  <si>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</si>
  <si>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</si>
  <si>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</si>
  <si>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</si>
  <si>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</si>
  <si>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</si>
  <si>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</si>
  <si>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</si>
  <si>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</si>
  <si>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</si>
  <si>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</si>
  <si>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</si>
  <si>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</si>
  <si>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</si>
  <si>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</si>
  <si>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</si>
  <si>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</si>
  <si>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</si>
  <si>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</si>
  <si>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</si>
  <si>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</si>
  <si>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</si>
  <si>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</si>
  <si>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</si>
  <si>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</si>
  <si>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</si>
  <si>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</si>
  <si>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</si>
  <si>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</si>
  <si>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</si>
  <si>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</si>
  <si>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</si>
  <si>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</si>
  <si>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</si>
  <si>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</si>
  <si>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</si>
  <si>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</si>
  <si>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</si>
  <si>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</si>
  <si>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</si>
  <si>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</si>
  <si>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</si>
  <si>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</si>
  <si>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</si>
  <si>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</si>
  <si>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</si>
  <si>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</si>
  <si>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</si>
  <si>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</si>
  <si>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</si>
  <si>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</si>
  <si>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</si>
  <si>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</si>
  <si>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</si>
  <si>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</si>
  <si>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</si>
  <si>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</si>
  <si>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</si>
  <si>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</si>
  <si>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</si>
  <si>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</si>
  <si>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</si>
  <si>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</si>
  <si>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</si>
  <si>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</si>
  <si>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</si>
  <si>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</si>
  <si>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</si>
  <si>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</si>
  <si>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</si>
  <si>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</si>
  <si>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</si>
  <si>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</si>
  <si>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</si>
  <si>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</si>
  <si>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</si>
  <si>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</si>
  <si>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</si>
  <si>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</si>
  <si>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</si>
  <si>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</si>
  <si>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</si>
  <si>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</si>
  <si>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</si>
  <si>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</si>
  <si>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</si>
  <si>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</si>
  <si>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</si>
  <si>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</si>
  <si>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</si>
  <si>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</si>
  <si>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</si>
  <si>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</si>
  <si>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</si>
  <si>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</si>
  <si>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</si>
  <si>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</si>
  <si>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</si>
  <si>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</si>
  <si>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</si>
  <si>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</si>
  <si>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</si>
  <si>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</si>
  <si>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</si>
  <si>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</si>
  <si>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</si>
  <si>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</si>
  <si>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</si>
  <si>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</si>
  <si>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</si>
  <si>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</si>
  <si>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</si>
  <si>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</si>
  <si>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</si>
  <si>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</si>
  <si>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</si>
  <si>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</si>
  <si>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</si>
  <si>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</si>
  <si>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</si>
  <si>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</si>
  <si>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</si>
  <si>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</si>
  <si>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</si>
  <si>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</si>
  <si>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</si>
  <si>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</si>
  <si>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</si>
  <si>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</si>
  <si>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</si>
  <si>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</si>
  <si>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</si>
  <si>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</si>
  <si>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</si>
  <si>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</si>
  <si>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</si>
  <si>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</si>
  <si>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</si>
  <si>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</si>
  <si>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</si>
  <si>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</si>
  <si>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</si>
  <si>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</si>
  <si>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</si>
  <si>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</si>
  <si>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</si>
  <si>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</si>
  <si>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</si>
  <si>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</si>
  <si>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</si>
  <si>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</si>
  <si>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</si>
  <si>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</si>
  <si>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</si>
  <si>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</si>
  <si>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</si>
  <si>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</si>
  <si>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</si>
  <si>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</si>
  <si>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</si>
  <si>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</si>
  <si>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</si>
  <si>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</si>
  <si>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</si>
  <si>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</si>
  <si>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</si>
  <si>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</si>
  <si>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</si>
  <si>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</si>
  <si>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</si>
  <si>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</si>
  <si>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</si>
  <si>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</si>
  <si>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</si>
  <si>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</si>
  <si>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</si>
  <si>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</si>
  <si>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</si>
  <si>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</si>
  <si>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</si>
  <si>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</si>
  <si>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</si>
  <si>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</si>
  <si>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</si>
  <si>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</si>
  <si>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</si>
  <si>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</si>
  <si>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</si>
  <si>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</si>
  <si>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</si>
  <si>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</si>
  <si>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</si>
  <si>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</si>
  <si>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</si>
  <si>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</si>
  <si>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</si>
  <si>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</si>
  <si>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</si>
  <si>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</si>
  <si>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</si>
  <si>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</si>
  <si>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</si>
  <si>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</si>
  <si>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</si>
  <si>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</si>
  <si>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</si>
  <si>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</si>
  <si>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</si>
  <si>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</si>
  <si>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</si>
  <si>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</si>
  <si>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</si>
  <si>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</si>
  <si>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</si>
  <si>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</si>
  <si>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</si>
  <si>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</si>
  <si>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</si>
  <si>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</si>
  <si>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</si>
  <si>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</si>
  <si>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</si>
  <si>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</si>
  <si>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</si>
  <si>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</si>
  <si>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</si>
  <si>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</si>
  <si>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</si>
  <si>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</si>
  <si>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</si>
  <si>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</si>
  <si>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</si>
  <si>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</si>
  <si>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</si>
  <si>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</si>
  <si>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</si>
  <si>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</si>
  <si>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</si>
  <si>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</si>
  <si>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</si>
  <si>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</si>
  <si>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</si>
  <si>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</si>
  <si>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</si>
  <si>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</si>
  <si>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</si>
  <si>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</si>
  <si>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</si>
  <si>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</si>
  <si>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</si>
  <si>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</si>
  <si>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</si>
  <si>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</si>
  <si>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</si>
  <si>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</si>
  <si>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</si>
  <si>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</si>
  <si>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</si>
  <si>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</si>
  <si>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</si>
  <si>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</si>
  <si>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</si>
  <si>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</si>
  <si>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</si>
  <si>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</si>
  <si>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</si>
  <si>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</si>
  <si>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</si>
  <si>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</si>
  <si>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</si>
  <si>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</si>
  <si>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</si>
  <si>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</si>
  <si>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</si>
  <si>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</si>
  <si>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</si>
  <si>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</si>
  <si>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</si>
  <si>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</si>
  <si>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</si>
  <si>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</si>
  <si>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</si>
  <si>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</si>
  <si>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</si>
  <si>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</si>
  <si>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</si>
  <si>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</si>
  <si>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</si>
  <si>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</si>
  <si>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</si>
  <si>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</si>
  <si>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</si>
  <si>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</si>
  <si>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</si>
  <si>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</si>
  <si>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</si>
  <si>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</si>
  <si>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</si>
  <si>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</si>
  <si>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</si>
  <si>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</si>
  <si>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</si>
  <si>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</si>
  <si>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</si>
  <si>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</si>
  <si>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</si>
  <si>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</si>
  <si>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</si>
  <si>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</si>
  <si>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</si>
  <si>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</si>
  <si>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</si>
  <si>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</si>
  <si>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</si>
  <si>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</si>
  <si>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</si>
  <si>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</si>
  <si>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</si>
  <si>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</si>
  <si>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</si>
  <si>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</si>
  <si>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</si>
  <si>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</si>
  <si>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</si>
  <si>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</si>
  <si>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</si>
  <si>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</si>
  <si>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</si>
  <si>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</si>
  <si>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</si>
  <si>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</si>
  <si>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</si>
  <si>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</si>
  <si>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</si>
  <si>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</si>
  <si>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</si>
  <si>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</si>
  <si>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</si>
  <si>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</si>
  <si>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</si>
  <si>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</si>
  <si>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</si>
  <si>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</si>
  <si>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</si>
  <si>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</si>
  <si>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</si>
  <si>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</si>
  <si>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</si>
  <si>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</si>
  <si>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</si>
  <si>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</si>
  <si>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</si>
  <si>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</si>
  <si>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</si>
  <si>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</si>
  <si>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</si>
  <si>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</si>
  <si>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</si>
  <si>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</si>
  <si>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</si>
  <si>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</si>
  <si>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</si>
  <si>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</si>
  <si>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</si>
  <si>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</si>
  <si>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</si>
  <si>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</si>
  <si>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</si>
  <si>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Project-based vouchers</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</si>
  <si>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</si>
  <si>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</si>
  <si>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</si>
  <si>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</si>
  <si>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</si>
  <si>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</si>
  <si>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</si>
  <si>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</si>
  <si>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</si>
  <si>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</si>
  <si>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</si>
  <si>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</si>
  <si>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</si>
  <si>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</si>
  <si>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</si>
  <si>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</si>
  <si>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</si>
  <si>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</si>
  <si>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</si>
  <si>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</si>
  <si>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</si>
  <si>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</si>
  <si>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</si>
  <si>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</si>
  <si>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</si>
  <si>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</si>
  <si>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</si>
  <si>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</si>
  <si>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</si>
  <si>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</si>
  <si>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</si>
  <si>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</si>
  <si>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</si>
  <si>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</si>
  <si>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</si>
  <si>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</si>
  <si>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</si>
  <si>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</si>
  <si>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</si>
  <si>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</si>
  <si>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</si>
  <si>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</si>
  <si>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</si>
  <si>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</si>
  <si>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</si>
  <si>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</si>
  <si>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</si>
  <si>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</si>
  <si>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</si>
  <si>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</si>
  <si>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</si>
  <si>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</si>
  <si>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</si>
  <si>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</si>
  <si>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</si>
  <si>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</si>
  <si>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</si>
  <si>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</si>
  <si>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</si>
  <si>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</si>
  <si>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</si>
  <si>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</si>
  <si>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</si>
  <si>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</si>
  <si>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</si>
  <si>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</si>
  <si>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</si>
  <si>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</si>
  <si>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</si>
  <si>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City AHTF Loan 22-23</t>
  </si>
  <si>
    <t>City AHTF Loan 225-26</t>
  </si>
  <si>
    <t>City REAP 2022</t>
  </si>
  <si>
    <t>City Transformative Climate Communities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</si>
  <si>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</si>
  <si>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</si>
  <si>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</si>
  <si>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</si>
  <si>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</si>
  <si>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</si>
  <si>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</si>
  <si>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</si>
  <si>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</si>
  <si>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</si>
  <si>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</si>
  <si>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</si>
  <si>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</si>
  <si>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</si>
  <si>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</si>
  <si>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</si>
  <si>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</si>
  <si>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</si>
  <si>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</si>
  <si>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City of Bakersfield - AHTF 22-23</t>
  </si>
  <si>
    <t>City of Bakersfield - AHTF 25-26</t>
  </si>
  <si>
    <t>40%/60%</t>
  </si>
  <si>
    <t>One 4-story builiding featuring a senior center and its offices on the 1st and 2nd floor, and residential homes in 3rd and 4th floors</t>
  </si>
  <si>
    <t>A  senior center will be located in the 1st and 2nd floors of the building and is financed seperately from the housing.</t>
  </si>
  <si>
    <t>City REAP/AHTF/TCC</t>
  </si>
  <si>
    <t>The issuance of project-based vouchers require David Bacon prevailing wages</t>
  </si>
  <si>
    <t xml:space="preserve">To be formed LLA, sole member and manager Housing Authority of the County of Kern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</si>
</sst>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1" workbookViewId="0">
      <selection activeCell="L11" sqref="L11"/>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7" t="s">
        <v>2562</v>
      </c>
      <c r="B1" s="2587"/>
      <c r="C1" s="2587"/>
      <c r="D1" s="2587"/>
      <c r="E1" s="2587"/>
      <c r="F1" s="2587"/>
      <c r="G1" s="2587"/>
      <c r="H1" s="2587"/>
      <c r="I1" s="2587"/>
      <c r="J1" s="2587"/>
    </row>
    <row r="2" spans="1:13" ht="15" customHeight="1" thickBot="1">
      <c r="A2" s="936"/>
      <c r="B2" s="936"/>
      <c r="I2" s="937"/>
      <c r="K2" s="938"/>
    </row>
    <row r="3" spans="1:13" s="941" customFormat="1" ht="20.100000000000001" customHeight="1">
      <c r="A3" s="989"/>
      <c r="B3" s="990"/>
      <c r="C3" s="991"/>
      <c r="D3" s="996"/>
      <c r="E3" s="991"/>
      <c r="F3" s="992" t="s">
        <v>2563</v>
      </c>
      <c r="G3" s="991"/>
      <c r="H3" s="993">
        <f>E18</f>
        <v>8438020</v>
      </c>
      <c r="I3" s="994"/>
    </row>
    <row r="4" spans="1:13" s="941" customFormat="1" ht="20.100000000000001" customHeight="1">
      <c r="B4" s="983"/>
      <c r="D4" s="997"/>
      <c r="F4" s="981" t="s">
        <v>2564</v>
      </c>
      <c r="G4" s="980" t="s">
        <v>2565</v>
      </c>
      <c r="H4" s="982">
        <f>I18</f>
        <v>4759852.9411764704</v>
      </c>
      <c r="I4" s="984"/>
      <c r="K4" s="945"/>
    </row>
    <row r="5" spans="1:13" s="941" customFormat="1" ht="20.100000000000001" customHeight="1" thickBot="1">
      <c r="B5" s="985"/>
      <c r="C5" s="986"/>
      <c r="D5" s="998"/>
      <c r="E5" s="987"/>
      <c r="F5" s="998" t="s">
        <v>2566</v>
      </c>
      <c r="G5" s="999"/>
      <c r="H5" s="995">
        <f>IFERROR(H3/H4,0)</f>
        <v>1.7727480458491673</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2567</v>
      </c>
      <c r="C8" s="2591"/>
      <c r="D8" s="2591"/>
      <c r="E8" s="2592"/>
      <c r="G8" s="2593" t="s">
        <v>2568</v>
      </c>
      <c r="H8" s="2594"/>
      <c r="I8" s="2595"/>
      <c r="K8" s="947"/>
    </row>
    <row r="9" spans="1:13" ht="15" customHeight="1">
      <c r="A9" s="936"/>
      <c r="B9" s="2588" t="s">
        <v>2569</v>
      </c>
      <c r="C9" s="2588"/>
      <c r="D9" s="2588"/>
      <c r="E9" s="949">
        <f>G33</f>
        <v>1750000</v>
      </c>
      <c r="G9" s="2596" t="s">
        <v>2570</v>
      </c>
      <c r="H9" s="2596"/>
      <c r="I9" s="950">
        <f>SUMIF(Application!M554:M565,"Loan, Tax-Exempt",Application!AM554:AM565)</f>
        <v>5400000</v>
      </c>
      <c r="K9" s="951"/>
      <c r="M9" s="952"/>
    </row>
    <row r="10" spans="1:13" ht="15" customHeight="1" thickBot="1">
      <c r="A10" s="936"/>
      <c r="B10" s="2588" t="s">
        <v>2571</v>
      </c>
      <c r="C10" s="2588"/>
      <c r="D10" s="2588"/>
      <c r="E10" s="950">
        <f>G47</f>
        <v>3373020</v>
      </c>
      <c r="G10" s="2600" t="s">
        <v>2572</v>
      </c>
      <c r="H10" s="2600"/>
      <c r="I10" s="1029">
        <f>'Basis &amp; Credits'!AB78</f>
        <v>0</v>
      </c>
      <c r="M10" s="952"/>
    </row>
    <row r="11" spans="1:13" ht="15" customHeight="1">
      <c r="A11" s="936"/>
      <c r="B11" s="2604" t="s">
        <v>2573</v>
      </c>
      <c r="C11" s="2605"/>
      <c r="D11" s="2606"/>
      <c r="E11" s="950">
        <f>SUM(E12,E13)</f>
        <v>340000</v>
      </c>
      <c r="G11" s="2603" t="s">
        <v>2574</v>
      </c>
      <c r="H11" s="2603"/>
      <c r="I11" s="1028">
        <f>I9+I10</f>
        <v>5400000</v>
      </c>
      <c r="M11" s="952"/>
    </row>
    <row r="12" spans="1:13" ht="15" customHeight="1">
      <c r="A12" s="953"/>
      <c r="B12" s="2589" t="s">
        <v>2575</v>
      </c>
      <c r="C12" s="2589"/>
      <c r="D12" s="2589"/>
      <c r="E12" s="1054">
        <f>G56</f>
        <v>0</v>
      </c>
      <c r="M12" s="952"/>
    </row>
    <row r="13" spans="1:13" ht="15" customHeight="1">
      <c r="A13" s="939"/>
      <c r="B13" s="2589" t="s">
        <v>2576</v>
      </c>
      <c r="C13" s="2589"/>
      <c r="D13" s="2589"/>
      <c r="E13" s="1054">
        <f>G65</f>
        <v>340000</v>
      </c>
      <c r="G13" s="2593" t="s">
        <v>2577</v>
      </c>
      <c r="H13" s="2594"/>
      <c r="I13" s="2595"/>
      <c r="M13" s="952"/>
    </row>
    <row r="14" spans="1:13" ht="15" customHeight="1">
      <c r="A14" s="939"/>
      <c r="B14" s="2604" t="s">
        <v>2578</v>
      </c>
      <c r="C14" s="2605"/>
      <c r="D14" s="2606"/>
      <c r="E14" s="1056">
        <f>MAX(E15,E16)+E17</f>
        <v>2975000</v>
      </c>
      <c r="G14" s="2596" t="s">
        <v>1761</v>
      </c>
      <c r="H14" s="2596"/>
      <c r="I14" s="954">
        <f>15%*(AND(G120="Yes",G122&lt;&gt;""))</f>
        <v>0.15</v>
      </c>
      <c r="M14" s="952"/>
    </row>
    <row r="15" spans="1:13" ht="15" customHeight="1">
      <c r="A15" s="939"/>
      <c r="B15" s="2607" t="s">
        <v>2579</v>
      </c>
      <c r="C15" s="2608"/>
      <c r="D15" s="2609"/>
      <c r="E15" s="1054">
        <f>G80</f>
        <v>0</v>
      </c>
      <c r="G15" s="1026" t="s">
        <v>1883</v>
      </c>
      <c r="H15" s="1026"/>
      <c r="I15" s="954">
        <f>IF(Application!AJ1032&gt;0,10%,IF(Application!AJ1036&gt;0,5%,0))</f>
        <v>0</v>
      </c>
      <c r="M15" s="952"/>
    </row>
    <row r="16" spans="1:13" ht="15" customHeight="1">
      <c r="A16" s="939"/>
      <c r="B16" s="2607" t="s">
        <v>2580</v>
      </c>
      <c r="C16" s="2608"/>
      <c r="D16" s="2609"/>
      <c r="E16" s="1054">
        <f>G90</f>
        <v>700000</v>
      </c>
      <c r="G16" s="2596" t="s">
        <v>2581</v>
      </c>
      <c r="H16" s="2596"/>
      <c r="I16" s="954">
        <f>G132</f>
        <v>-3.1454248366013071E-2</v>
      </c>
    </row>
    <row r="17" spans="1:21" ht="15" customHeight="1" thickBot="1">
      <c r="A17" s="939"/>
      <c r="B17" s="2607" t="s">
        <v>2582</v>
      </c>
      <c r="C17" s="2608"/>
      <c r="D17" s="2609"/>
      <c r="E17" s="1054">
        <f>G115</f>
        <v>2275000</v>
      </c>
      <c r="G17" s="2596" t="s">
        <v>2583</v>
      </c>
      <c r="H17" s="2596"/>
      <c r="I17" s="954">
        <f>IF(AND(G139="Yes",OR(G136,G137)),IF(G143&gt;15%,15%,G143),0)</f>
        <v>0</v>
      </c>
    </row>
    <row r="18" spans="1:21" ht="15" customHeight="1">
      <c r="A18" s="936"/>
      <c r="B18" s="2599" t="s">
        <v>2584</v>
      </c>
      <c r="C18" s="2599"/>
      <c r="D18" s="2599"/>
      <c r="E18" s="1000">
        <f>SUM(E9:E11,E14)</f>
        <v>8438020</v>
      </c>
      <c r="G18" s="1027" t="s">
        <v>2585</v>
      </c>
      <c r="H18" s="1027"/>
      <c r="I18" s="1001">
        <f>I11-((I11*I14)+(I11*I15)+(I11*I16)+(I11*I17))</f>
        <v>4759852.9411764704</v>
      </c>
      <c r="M18" s="955">
        <f>SUM(Cdlac[Quantity])</f>
        <v>35</v>
      </c>
      <c r="O18" s="974" t="s">
        <v>932</v>
      </c>
      <c r="P18" s="934">
        <f>MATCH(Application!T189,Application!CB160:CB217,0)</f>
        <v>15</v>
      </c>
      <c r="T18" s="955">
        <f>SUM(Cdlac[Population])</f>
        <v>0</v>
      </c>
    </row>
    <row r="19" spans="1:21" ht="15" customHeight="1">
      <c r="A19" s="936"/>
      <c r="B19" s="936"/>
      <c r="C19" s="936"/>
      <c r="D19" s="936"/>
      <c r="E19" s="936"/>
      <c r="L19" s="934" t="s">
        <v>2586</v>
      </c>
      <c r="M19" s="934" t="s">
        <v>2587</v>
      </c>
      <c r="N19" s="934" t="s">
        <v>2588</v>
      </c>
      <c r="O19" s="934" t="s">
        <v>2589</v>
      </c>
      <c r="P19" s="934" t="s">
        <v>2590</v>
      </c>
      <c r="Q19" s="934" t="s">
        <v>2591</v>
      </c>
      <c r="R19" s="934" t="s">
        <v>2592</v>
      </c>
      <c r="S19" s="934" t="s">
        <v>2593</v>
      </c>
      <c r="T19" s="934" t="s">
        <v>2594</v>
      </c>
      <c r="U19" s="934" t="s">
        <v>996</v>
      </c>
    </row>
    <row r="20" spans="1:21" ht="15" customHeight="1">
      <c r="B20" s="956" t="str">
        <f>B9</f>
        <v>A. Unit Production Benefit</v>
      </c>
      <c r="C20" s="957"/>
      <c r="D20" s="957"/>
      <c r="E20" s="957"/>
      <c r="F20" s="957"/>
      <c r="G20" s="957"/>
      <c r="H20" s="957"/>
      <c r="I20" s="958"/>
      <c r="L20" s="934">
        <f>IFERROR(MIN(4,MATCH(Application!B718,UnitSizes,0)-1),"")</f>
        <v>1</v>
      </c>
      <c r="M20" s="955">
        <f>Application!G718</f>
        <v>17</v>
      </c>
      <c r="N20" s="961">
        <f>Application!AC718</f>
        <v>0.3</v>
      </c>
      <c r="O20" s="961">
        <f>IF(Cdlac[[#This Row],[Quantity]]&gt;0,IF(Cdlac[[#This Row],[Federal]],30%,IF(AND(OR(NOT($G$38),$G$38=""),$G$43),40%,Cdlac[[#This Row],[iAMI]])),"")</f>
        <v>0.3</v>
      </c>
      <c r="P20" s="955" cm="1">
        <f t="array" ref="P20">IF(Cdlac[[#This Row],[Quantity]]&gt;0,INDEX(TcacRents,$P$18,Cdlac[[#This Row],[Bedrooms]]+1)*Cdlac[[#This Row],[AMI]],"")</f>
        <v>528.6</v>
      </c>
      <c r="Q20" s="1053"/>
      <c r="R20" s="955" cm="1">
        <f t="array" ref="R20">IF(Cdlac[[#This Row],[Quantity]]&gt;0,INDEX(HudFmrs,$P$18,Cdlac[[#This Row],[Bedrooms]]+1),"")</f>
        <v>1064</v>
      </c>
      <c r="S20" s="955">
        <f>IF(Cdlac[[#This Row],[Quantity]]&gt;0,MAX(0,Cdlac[[#This Row],[Fair Market Rent]]-IF(AND($G$37,$G$38,$G$38&lt;&gt;"",NOT(Cdlac[[#This Row],[Federal]]),Cdlac[[#This Row],[Preservation Rent]]&lt;&gt;""),Cdlac[[#This Row],[Preservation Rent]],Cdlac[[#This Row],[Restricted Rent]])),"")</f>
        <v>535.4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1</v>
      </c>
      <c r="M21" s="955">
        <f>Application!G719</f>
        <v>7</v>
      </c>
      <c r="N21" s="961">
        <f>Application!AC719</f>
        <v>0.5</v>
      </c>
      <c r="O21" s="961">
        <f>IF(Cdlac[[#This Row],[Quantity]]&gt;0,IF(Cdlac[[#This Row],[Federal]],30%,IF(AND(OR(NOT($G$38),$G$38=""),$G$43),40%,Cdlac[[#This Row],[iAMI]])),"")</f>
        <v>0.3</v>
      </c>
      <c r="P21" s="955" cm="1">
        <f t="array" ref="P21">IF(Cdlac[[#This Row],[Quantity]]&gt;0,INDEX(TcacRents,$P$18,Cdlac[[#This Row],[Bedrooms]]+1)*Cdlac[[#This Row],[AMI]],"")</f>
        <v>528.6</v>
      </c>
      <c r="Q21" s="1053"/>
      <c r="R21" s="955" cm="1">
        <f t="array" ref="R21">IF(Cdlac[[#This Row],[Quantity]]&gt;0,INDEX(HudFmrs,$P$18,Cdlac[[#This Row],[Bedrooms]]+1),"")</f>
        <v>1064</v>
      </c>
      <c r="S21" s="955">
        <f>IF(Cdlac[[#This Row],[Quantity]]&gt;0,MAX(0,Cdlac[[#This Row],[Fair Market Rent]]-IF(AND($G$37,$G$38,$G$38&lt;&gt;"",NOT(Cdlac[[#This Row],[Federal]]),Cdlac[[#This Row],[Preservation Rent]]&lt;&gt;""),Cdlac[[#This Row],[Preservation Rent]],Cdlac[[#This Row],[Restricted Rent]])),"")</f>
        <v>535.4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97" t="s">
        <v>2595</v>
      </c>
      <c r="D22" s="2597" t="s">
        <v>2596</v>
      </c>
      <c r="E22" s="2597" t="s">
        <v>2597</v>
      </c>
      <c r="F22" s="2597" t="s">
        <v>2598</v>
      </c>
      <c r="G22" s="2597" t="s">
        <v>2599</v>
      </c>
      <c r="H22" s="960"/>
      <c r="I22" s="959"/>
      <c r="L22" s="934">
        <f>IFERROR(MIN(4,MATCH(Application!B720,UnitSizes,0)-1),"")</f>
        <v>1</v>
      </c>
      <c r="M22" s="955">
        <f>Application!G720</f>
        <v>11</v>
      </c>
      <c r="N22" s="961">
        <f>Application!AC720</f>
        <v>0.6</v>
      </c>
      <c r="O22" s="961">
        <f>IF(Cdlac[[#This Row],[Quantity]]&gt;0,IF(Cdlac[[#This Row],[Federal]],30%,IF(AND(OR(NOT($G$38),$G$38=""),$G$43),40%,Cdlac[[#This Row],[iAMI]])),"")</f>
        <v>0.3</v>
      </c>
      <c r="P22" s="955" cm="1">
        <f t="array" ref="P22">IF(Cdlac[[#This Row],[Quantity]]&gt;0,INDEX(TcacRents,$P$18,Cdlac[[#This Row],[Bedrooms]]+1)*Cdlac[[#This Row],[AMI]],"")</f>
        <v>528.6</v>
      </c>
      <c r="Q22" s="1053"/>
      <c r="R22" s="955" cm="1">
        <f t="array" ref="R22">IF(Cdlac[[#This Row],[Quantity]]&gt;0,INDEX(HudFmrs,$P$18,Cdlac[[#This Row],[Bedrooms]]+1),"")</f>
        <v>1064</v>
      </c>
      <c r="S22" s="955">
        <f>IF(Cdlac[[#This Row],[Quantity]]&gt;0,MAX(0,Cdlac[[#This Row],[Fair Market Rent]]-IF(AND($G$37,$G$38,$G$38&lt;&gt;"",NOT(Cdlac[[#This Row],[Federal]]),Cdlac[[#This Row],[Preservation Rent]]&lt;&gt;""),Cdlac[[#This Row],[Preservation Rent]],Cdlac[[#This Row],[Restricted Rent]])),"")</f>
        <v>535.4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98"/>
      <c r="D23" s="2598"/>
      <c r="E23" s="2598"/>
      <c r="F23" s="2598"/>
      <c r="G23" s="2598"/>
      <c r="H23" s="960"/>
      <c r="I23" s="959"/>
      <c r="L23" s="934" t="str">
        <f>IFERROR(MIN(4,MATCH(Application!B721,UnitSizes,0)-1),"")</f>
        <v/>
      </c>
      <c r="M23" s="955">
        <f>Application!G721</f>
        <v>0</v>
      </c>
      <c r="N23" s="961">
        <f>Application!AC721</f>
        <v>0</v>
      </c>
      <c r="O23" s="961" t="str">
        <f>IF(Cdlac[[#This Row],[Quantity]]&gt;0,IF(Cdlac[[#This Row],[Federal]],30%,IF(AND(OR(NOT($G$38),$G$38=""),$G$43),40%,Cdlac[[#This Row],[iAMI]])),"")</f>
        <v/>
      </c>
      <c r="P23" s="955" t="str" cm="1">
        <f t="array" ref="P23">IF(Cdlac[[#This Row],[Quantity]]&gt;0,INDEX(TcacRents,$P$18,Cdlac[[#This Row],[Bedrooms]]+1)*Cdlac[[#This Row],[AMI]],"")</f>
        <v/>
      </c>
      <c r="Q23" s="1053"/>
      <c r="R23" s="955" t="str" cm="1">
        <f t="array" ref="R23">IF(Cdlac[[#This Row],[Quantity]]&gt;0,INDEX(HudFmrs,$P$18,Cdlac[[#This Row],[Bedrooms]]+1),"")</f>
        <v/>
      </c>
      <c r="S23" s="955" t="str">
        <f>IF(Cdlac[[#This Row],[Quantity]]&gt;0,MAX(0,Cdlac[[#This Row],[Fair Market Rent]]-IF(AND($G$37,$G$38,$G$38&lt;&gt;"",NOT(Cdlac[[#This Row],[Federal]]),Cdlac[[#This Row],[Preservation Rent]]&lt;&gt;""),Cdlac[[#This Row],[Preservation Rent]],Cdlac[[#This Row],[Restricted Rent]])),"")</f>
        <v/>
      </c>
      <c r="T23" s="934" t="str">
        <f>IF(Cdlac[[#This Row],[Quantity]]&gt;0,AND(Application!AK721&lt;&gt;"N/A",Application!AK721&lt;&gt;"")*Cdlac[[#This Row],[Quantity]],"")</f>
        <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35</v>
      </c>
      <c r="F25" s="962">
        <f>E25</f>
        <v>35</v>
      </c>
      <c r="G25" s="962">
        <f>D25*F25</f>
        <v>35</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11" t="s">
        <v>1900</v>
      </c>
      <c r="D29" s="2612"/>
      <c r="E29" s="978">
        <f>SUM(E24:E28)</f>
        <v>35</v>
      </c>
      <c r="F29" s="978">
        <f>SUM(F24:F28)</f>
        <v>35</v>
      </c>
      <c r="G29" s="979">
        <f>SUMPRODUCT(D24:D28,F24:F28)</f>
        <v>35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2599</v>
      </c>
      <c r="G31" s="1003">
        <f>G29</f>
        <v>35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2600</v>
      </c>
      <c r="F32" s="1002" t="s">
        <v>2601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2602</v>
      </c>
      <c r="F33" s="936"/>
      <c r="G33" s="1008">
        <f>G32*G31</f>
        <v>1750000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2604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2605</v>
      </c>
      <c r="G42" s="1009" t="e" cm="1">
        <f t="array" ref="G42">SUMPRODUCT(Cdlac[Quantity],Cdlac[iAMI],IF(Cdlac[Federal],0,1))/SUMIFS(Cdlac[Quantity],Cdlac[Federal],FALSE)</f>
        <v>#DIV/0!</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2606</v>
      </c>
      <c r="G43" s="971" t="e">
        <f>G42&lt;40%</f>
        <v>#DIV/0!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2607</v>
      </c>
      <c r="G45" s="968">
        <f>IFERROR(SUMPRODUCT(Cdlac[Quantity],Cdlac[Delta]),0)</f>
        <v>18739</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2608</v>
      </c>
      <c r="F46" s="1002" t="s">
        <v>2601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2609</v>
      </c>
      <c r="F47" s="936"/>
      <c r="G47" s="1012">
        <f>G45*G46</f>
        <v>3373020</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2610</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2611</v>
      </c>
      <c r="G52" s="1003">
        <f>ROUNDDOWN(E29*50%,0)</f>
        <v>17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2612</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2600</v>
      </c>
      <c r="F55" s="1002" t="s">
        <v>2601</v>
      </c>
      <c r="G55" s="1013">
        <v>10000</v>
      </c>
      <c r="M55" s="955"/>
      <c r="N55" s="961"/>
      <c r="O55" s="961"/>
      <c r="P55" s="955"/>
      <c r="Q55" s="1053"/>
      <c r="R55" s="955"/>
      <c r="S55" s="955"/>
    </row>
    <row r="56" spans="2:21" ht="15" customHeight="1">
      <c r="E56" s="1007" t="s">
        <v>2613</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2614</v>
      </c>
      <c r="G60" s="969">
        <f>SUMIFS(Cdlac[Quantity],Cdlac[iAMI],"&lt;=30%")</f>
        <v>17</v>
      </c>
    </row>
    <row r="61" spans="2:21" ht="15" customHeight="1">
      <c r="E61" s="1006" t="s">
        <v>2611</v>
      </c>
      <c r="G61" s="969">
        <f>ROUNDDOWN(E29*50%,0)</f>
        <v>17</v>
      </c>
    </row>
    <row r="62" spans="2:21" ht="15" customHeight="1">
      <c r="E62" s="1006"/>
      <c r="G62" s="969"/>
    </row>
    <row r="63" spans="2:21" ht="15" customHeight="1">
      <c r="E63" s="1006" t="s">
        <v>2612</v>
      </c>
      <c r="G63" s="1003">
        <f>MIN(G60:G61)</f>
        <v>17</v>
      </c>
    </row>
    <row r="64" spans="2:21" ht="15" customHeight="1">
      <c r="E64" s="1006" t="s">
        <v>2600</v>
      </c>
      <c r="F64" s="1002" t="s">
        <v>2601</v>
      </c>
      <c r="G64" s="1013">
        <v>20000</v>
      </c>
    </row>
    <row r="65" spans="2:14" ht="15" customHeight="1">
      <c r="E65" s="1007" t="s">
        <v>2615</v>
      </c>
      <c r="F65" s="936"/>
      <c r="G65" s="1012">
        <f>G63*G64</f>
        <v>340000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2616</v>
      </c>
      <c r="G69" s="933"/>
    </row>
    <row r="70" spans="2:14" ht="15" customHeight="1">
      <c r="C70" s="967" t="s">
        <v>2617</v>
      </c>
      <c r="G70" s="971" t="str">
        <f>IF(Application!D211="Large Family","Yes","No")</f>
        <v>No</v>
      </c>
    </row>
    <row r="71" spans="2:14" ht="15" customHeight="1" thickBot="1">
      <c r="C71" s="967" t="s">
        <v>2618</v>
      </c>
      <c r="G71" s="933"/>
    </row>
    <row r="72" spans="2:14" ht="15" customHeight="1">
      <c r="C72" s="967" t="s">
        <v>2619</v>
      </c>
      <c r="G72" s="934" t="str">
        <f>Application!T193</f>
        <v>Low Resource</v>
      </c>
      <c r="L72" s="2584" t="s">
        <v>880</v>
      </c>
      <c r="M72" s="2585"/>
      <c r="N72" s="1020">
        <v>30000</v>
      </c>
    </row>
    <row r="73" spans="2:14" ht="15" customHeight="1">
      <c r="C73" s="2586" t="s">
        <v>2620</v>
      </c>
      <c r="D73" s="2586"/>
      <c r="E73" s="2586"/>
      <c r="F73" s="2586"/>
      <c r="G73" s="933"/>
      <c r="L73" s="2601" t="s">
        <v>884</v>
      </c>
      <c r="M73" s="2602"/>
      <c r="N73" s="1021">
        <v>20000</v>
      </c>
    </row>
    <row r="74" spans="2:14" ht="15" customHeight="1" thickBot="1">
      <c r="C74" s="2586"/>
      <c r="D74" s="2586"/>
      <c r="E74" s="2586"/>
      <c r="F74" s="2586"/>
      <c r="L74" s="2576" t="s">
        <v>891</v>
      </c>
      <c r="M74" s="2577"/>
      <c r="N74" s="1022">
        <v>10000</v>
      </c>
    </row>
    <row r="75" spans="2:14" ht="15" customHeight="1">
      <c r="C75" s="967"/>
    </row>
    <row r="76" spans="2:14" ht="15" customHeight="1">
      <c r="E76" s="974" t="s">
        <v>2621</v>
      </c>
      <c r="G76" s="969" t="b">
        <f>OR(AND(COUNTIFS(G70:G71,"Yes")&gt;=1,G69="Yes"),G73="Yes")</f>
        <v>0</v>
      </c>
    </row>
    <row r="77" spans="2:14" ht="15" customHeight="1">
      <c r="E77" s="974"/>
      <c r="G77" s="969"/>
    </row>
    <row r="78" spans="2:14" ht="15" customHeight="1">
      <c r="E78" s="974" t="s">
        <v>2600</v>
      </c>
      <c r="G78" s="968">
        <f>IFERROR(IF($G$73="Yes",30000,INDEX(N72:N74,MATCH(LEFT(G72,17),L72:L74,0))),0)</f>
        <v>0</v>
      </c>
    </row>
    <row r="79" spans="2:14" ht="15" customHeight="1">
      <c r="E79" s="974" t="str">
        <f>E96</f>
        <v>Bedroom-Adjusted Low-Income Units</v>
      </c>
      <c r="F79" s="1002" t="s">
        <v>2601</v>
      </c>
      <c r="G79" s="1003">
        <f>G29</f>
        <v>35</v>
      </c>
    </row>
    <row r="80" spans="2:14" ht="15" customHeight="1">
      <c r="D80" s="936"/>
      <c r="E80" s="1007" t="s">
        <v>2622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2623</v>
      </c>
      <c r="G84" s="933" t="s">
        <v>846</v>
      </c>
    </row>
    <row r="85" spans="2:9" ht="15" customHeight="1">
      <c r="F85" s="1005"/>
    </row>
    <row r="86" spans="2:9" ht="15" customHeight="1">
      <c r="E86" s="974" t="s">
        <v>2621</v>
      </c>
      <c r="G86" s="969" t="b">
        <f>G84="Yes"</f>
        <v>1</v>
      </c>
    </row>
    <row r="87" spans="2:9" ht="15" customHeight="1"/>
    <row r="88" spans="2:9" ht="15" customHeight="1">
      <c r="E88" s="974" t="str">
        <f>E96</f>
        <v>Bedroom-Adjusted Low-Income Units</v>
      </c>
      <c r="G88" s="1003">
        <f>G29</f>
        <v>35</v>
      </c>
    </row>
    <row r="89" spans="2:9" ht="15" customHeight="1">
      <c r="E89" s="974" t="s">
        <v>2600</v>
      </c>
      <c r="F89" s="1002" t="s">
        <v>2601</v>
      </c>
      <c r="G89" s="940">
        <v>20000</v>
      </c>
    </row>
    <row r="90" spans="2:9" ht="15" customHeight="1">
      <c r="E90" s="1007" t="s">
        <v>2624</v>
      </c>
      <c r="F90" s="936"/>
      <c r="G90" s="1012">
        <f>G86*G89*G88</f>
        <v>700000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2625</v>
      </c>
      <c r="G94" s="1003">
        <f>VLOOKUP('Points System'!$H$606,'Points System'!$AO$586:$AP$591,2,FALSE)</f>
        <v>6</v>
      </c>
    </row>
    <row r="95" spans="2:9" ht="15" customHeight="1">
      <c r="E95" s="974" t="s">
        <v>2600</v>
      </c>
      <c r="F95" s="1002" t="s">
        <v>2601</v>
      </c>
      <c r="G95" s="966">
        <v>4000</v>
      </c>
    </row>
    <row r="96" spans="2:9" ht="15" customHeight="1" thickBot="1">
      <c r="E96" s="974" t="s">
        <v>2626</v>
      </c>
      <c r="F96" s="1002" t="s">
        <v>2601</v>
      </c>
      <c r="G96" s="1015">
        <f>G29</f>
        <v>35</v>
      </c>
    </row>
    <row r="97" spans="2:14" ht="15" customHeight="1">
      <c r="E97" s="1007" t="s">
        <v>2627</v>
      </c>
      <c r="F97" s="936"/>
      <c r="G97" s="1012">
        <f>G94*G95*G96</f>
        <v>840000</v>
      </c>
      <c r="L97" s="1016" t="str">
        <f>'Points System'!H638</f>
        <v>(i)</v>
      </c>
      <c r="M97" s="2582" t="s">
        <v>2478</v>
      </c>
      <c r="N97" s="2583"/>
    </row>
    <row r="98" spans="2:14" ht="15" customHeight="1">
      <c r="C98" s="967"/>
      <c r="G98" s="1003"/>
      <c r="L98" s="1017" t="str">
        <f>'Points System'!H650</f>
        <v>(ii)</v>
      </c>
      <c r="M98" s="2578" t="s">
        <v>2628</v>
      </c>
      <c r="N98" s="2579"/>
    </row>
    <row r="99" spans="2:14" ht="15" customHeight="1">
      <c r="E99" s="974" t="s">
        <v>2629</v>
      </c>
      <c r="G99" s="1015">
        <f>COUNTIFS(L97:L104,"(i)")</f>
        <v>4</v>
      </c>
      <c r="L99" s="1017" t="str">
        <f>'Points System'!H685</f>
        <v>(i)</v>
      </c>
      <c r="M99" s="2578" t="s">
        <v>2630</v>
      </c>
      <c r="N99" s="2579"/>
    </row>
    <row r="100" spans="2:14" ht="15" customHeight="1">
      <c r="E100" s="974" t="s">
        <v>2600</v>
      </c>
      <c r="F100" s="1002" t="s">
        <v>2601</v>
      </c>
      <c r="G100" s="1013">
        <v>4000</v>
      </c>
      <c r="L100" s="1017" t="str">
        <f>IF(OR('Points System'!H709="(ii)",'Points System'!H709="(i)"),"(i)","N/A")</f>
        <v>N/A</v>
      </c>
      <c r="M100" s="2578" t="s">
        <v>2631</v>
      </c>
      <c r="N100" s="2579"/>
    </row>
    <row r="101" spans="2:14" ht="15" customHeight="1">
      <c r="E101" s="1007" t="s">
        <v>2632</v>
      </c>
      <c r="F101" s="936"/>
      <c r="G101" s="1012">
        <f>G96*G99*G100</f>
        <v>560000</v>
      </c>
      <c r="L101" s="1018" t="str">
        <f>'Points System'!H723</f>
        <v>(i)</v>
      </c>
      <c r="M101" s="2578" t="s">
        <v>2518</v>
      </c>
      <c r="N101" s="2579"/>
    </row>
    <row r="102" spans="2:14" ht="15" customHeight="1">
      <c r="L102" s="1017" t="str">
        <f>'Points System'!H735</f>
        <v>N/A</v>
      </c>
      <c r="M102" s="2578" t="s">
        <v>2633</v>
      </c>
      <c r="N102" s="2579"/>
    </row>
    <row r="103" spans="2:14" ht="15" customHeight="1">
      <c r="C103" s="970" t="s">
        <v>2634</v>
      </c>
      <c r="L103" s="1017" t="str">
        <f>'Points System'!H751</f>
        <v>(i)</v>
      </c>
      <c r="M103" s="2578" t="s">
        <v>2635</v>
      </c>
      <c r="N103" s="2579"/>
    </row>
    <row r="104" spans="2:14" ht="15" customHeight="1" thickBot="1">
      <c r="C104" s="967" t="s">
        <v>2636</v>
      </c>
      <c r="G104" s="933"/>
      <c r="L104" s="1019" t="str">
        <f>'Points System'!H763</f>
        <v>(ii)</v>
      </c>
      <c r="M104" s="2580" t="s">
        <v>2522</v>
      </c>
      <c r="N104" s="2581"/>
    </row>
    <row r="105" spans="2:14" ht="15" customHeight="1">
      <c r="C105" s="967" t="s">
        <v>2637</v>
      </c>
      <c r="G105" s="933"/>
    </row>
    <row r="106" spans="2:14" ht="15" customHeight="1">
      <c r="C106" s="967" t="s">
        <v>2638</v>
      </c>
      <c r="G106" s="933" t="s">
        <v>846</v>
      </c>
    </row>
    <row r="107" spans="2:14" ht="15" customHeight="1">
      <c r="C107" s="967" t="s">
        <v>2639</v>
      </c>
      <c r="G107" s="933"/>
    </row>
    <row r="108" spans="2:14" ht="15" customHeight="1"/>
    <row r="109" spans="2:14" ht="15" customHeight="1">
      <c r="B109" s="968"/>
      <c r="C109" s="967"/>
      <c r="E109" s="974" t="s">
        <v>2621</v>
      </c>
      <c r="G109" s="969" t="b">
        <f>COUNTIFS(G104:G107,"Yes")&gt;=1</f>
        <v>1</v>
      </c>
    </row>
    <row r="110" spans="2:14" ht="15" customHeight="1">
      <c r="E110" s="967"/>
    </row>
    <row r="111" spans="2:14" ht="15" customHeight="1">
      <c r="E111" s="974" t="s">
        <v>2626</v>
      </c>
      <c r="F111" s="1002" t="s">
        <v>2601</v>
      </c>
      <c r="G111" s="1003">
        <f>G29</f>
        <v>35</v>
      </c>
    </row>
    <row r="112" spans="2:14" ht="15" customHeight="1">
      <c r="E112" s="974" t="s">
        <v>2600</v>
      </c>
      <c r="F112" s="1002" t="s">
        <v>2601</v>
      </c>
      <c r="G112" s="1013">
        <v>25000</v>
      </c>
    </row>
    <row r="113" spans="2:9" ht="15" customHeight="1">
      <c r="E113" s="1007" t="s">
        <v>2640</v>
      </c>
      <c r="F113" s="936"/>
      <c r="G113" s="1012">
        <f>G109*G112*G96</f>
        <v>875000</v>
      </c>
    </row>
    <row r="114" spans="2:9" ht="15" customHeight="1">
      <c r="C114" s="967"/>
      <c r="E114" s="967"/>
    </row>
    <row r="115" spans="2:9" ht="15" customHeight="1">
      <c r="E115" s="1007" t="s">
        <v>2641</v>
      </c>
      <c r="G115" s="1012">
        <f>G113+G101+G97</f>
        <v>2275000</v>
      </c>
    </row>
    <row r="116" spans="2:9" ht="15" customHeight="1"/>
    <row r="117" spans="2:9" ht="15" customHeight="1">
      <c r="B117" s="956" t="s">
        <v>1761</v>
      </c>
      <c r="C117" s="957"/>
      <c r="D117" s="957"/>
      <c r="E117" s="957"/>
      <c r="F117" s="957"/>
      <c r="G117" s="957"/>
      <c r="H117" s="957"/>
      <c r="I117" s="958"/>
    </row>
    <row r="118" spans="2:9" ht="15" customHeight="1"/>
    <row r="119" spans="2:9" ht="15" customHeight="1">
      <c r="C119" s="2613" t="s">
        <v>2642</v>
      </c>
      <c r="D119" s="2613"/>
      <c r="E119" s="2613"/>
      <c r="F119" s="2613"/>
    </row>
    <row r="120" spans="2:9" ht="15" customHeight="1">
      <c r="C120" s="2613"/>
      <c r="D120" s="2613"/>
      <c r="E120" s="2613"/>
      <c r="F120" s="2613"/>
      <c r="G120" s="933" t="s">
        <v>846</v>
      </c>
    </row>
    <row r="121" spans="2:9" ht="15" customHeight="1"/>
    <row r="122" spans="2:9" ht="15" customHeight="1">
      <c r="C122" s="934" t="s">
        <v>2643</v>
      </c>
      <c r="G122" s="2615" t="s">
        <v>2644</v>
      </c>
      <c r="H122" s="2615"/>
    </row>
    <row r="123" spans="2:9" ht="15" customHeight="1">
      <c r="G123" s="2615"/>
      <c r="H123" s="2615"/>
    </row>
    <row r="124" spans="2:9" ht="15" customHeight="1">
      <c r="G124" s="2616"/>
      <c r="H124" s="2616"/>
    </row>
    <row r="125" spans="2:9" ht="15" customHeight="1">
      <c r="G125" s="1049"/>
      <c r="H125" s="1049"/>
    </row>
    <row r="126" spans="2:9" ht="15" customHeight="1">
      <c r="B126" s="956" t="s">
        <v>2645</v>
      </c>
      <c r="C126" s="957"/>
      <c r="D126" s="957"/>
      <c r="E126" s="957"/>
      <c r="F126" s="957"/>
      <c r="G126" s="957"/>
      <c r="H126" s="957"/>
      <c r="I126" s="958"/>
    </row>
    <row r="128" spans="2:9">
      <c r="E128" s="974" t="s">
        <v>932</v>
      </c>
      <c r="G128" s="934" t="str">
        <f>IF(Application!T189="","",Application!T189)</f>
        <v>Kern</v>
      </c>
    </row>
    <row r="129" spans="2:9">
      <c r="E129" s="974"/>
      <c r="G129" s="968"/>
    </row>
    <row r="130" spans="2:9">
      <c r="E130" s="974" t="str">
        <f>"2-Bedroom "&amp;G128&amp;" County Basis Limit"</f>
        <v>2-Bedroom Kern County Basis Limit</v>
      </c>
      <c r="G130" s="968">
        <f>Application!R988</f>
        <v>428000</v>
      </c>
    </row>
    <row r="131" spans="2:9">
      <c r="E131" s="974" t="s">
        <v>2646</v>
      </c>
      <c r="G131" s="968">
        <f>MEDIAN((Application!CU160:CU217))</f>
        <v>489600</v>
      </c>
    </row>
    <row r="132" spans="2:9" ht="15">
      <c r="D132" s="936"/>
      <c r="E132" s="1007" t="s">
        <v>2647</v>
      </c>
      <c r="F132" s="1023"/>
      <c r="G132" s="1024">
        <f>((G130-G131)/G131)*0.25</f>
        <v>-3.1454248366013071E-2</v>
      </c>
      <c r="H132" s="932"/>
      <c r="I132" s="932"/>
    </row>
    <row r="133" spans="2:9">
      <c r="D133" s="935"/>
      <c r="E133" s="935"/>
    </row>
    <row r="134" spans="2:9" ht="15">
      <c r="B134" s="956" t="s">
        <v>2648</v>
      </c>
      <c r="C134" s="957"/>
      <c r="D134" s="957"/>
      <c r="E134" s="957"/>
      <c r="F134" s="957"/>
      <c r="G134" s="957"/>
      <c r="H134" s="957"/>
      <c r="I134" s="958"/>
    </row>
    <row r="136" spans="2:9">
      <c r="E136" s="974" t="s">
        <v>2603</v>
      </c>
      <c r="G136" s="934" t="b">
        <f>G37</f>
        <v>0</v>
      </c>
    </row>
    <row r="137" spans="2:9">
      <c r="E137" s="974" t="s">
        <v>2649</v>
      </c>
      <c r="G137" s="934" t="b">
        <f>OR('Points System'!B52="Yes", 'Points System'!B56="Yes",'Points System'!B58="Yes")</f>
        <v>0</v>
      </c>
    </row>
    <row r="138" spans="2:9">
      <c r="C138" s="2610" t="s">
        <v>2650</v>
      </c>
      <c r="D138" s="2610"/>
      <c r="E138" s="2610"/>
      <c r="F138" s="2610"/>
    </row>
    <row r="139" spans="2:9">
      <c r="B139" s="935"/>
      <c r="C139" s="2610"/>
      <c r="D139" s="2610"/>
      <c r="E139" s="2610"/>
      <c r="F139" s="2610"/>
      <c r="G139" s="933"/>
    </row>
    <row r="140" spans="2:9">
      <c r="B140" s="935"/>
      <c r="C140" s="935"/>
      <c r="D140" s="935"/>
      <c r="E140" s="935"/>
      <c r="F140" s="935"/>
    </row>
    <row r="141" spans="2:9" ht="14.25" customHeight="1">
      <c r="E141" s="974" t="s">
        <v>2651</v>
      </c>
      <c r="G141" s="1058"/>
    </row>
    <row r="143" spans="2:9">
      <c r="E143" s="974" t="s">
        <v>2652</v>
      </c>
      <c r="G143" s="1057">
        <f>IF(I9=0,0,G141/I9)</f>
        <v>0</v>
      </c>
    </row>
    <row r="144" spans="2:9">
      <c r="E144" s="974" t="s">
        <v>2653</v>
      </c>
      <c r="G144" s="1055">
        <f>I9*0.15</f>
        <v>810000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4" workbookViewId="0">
      <selection activeCell="F7" sqref="F7"/>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2654</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2655</v>
      </c>
      <c r="B3" s="329" t="s">
        <v>2656</v>
      </c>
      <c r="C3" s="329" t="s">
        <v>2657</v>
      </c>
      <c r="D3" s="1035" t="s">
        <v>2658</v>
      </c>
      <c r="E3" s="136"/>
      <c r="F3" s="1035" t="s">
        <v>2659</v>
      </c>
      <c r="G3" s="329" t="s">
        <v>2660</v>
      </c>
      <c r="H3" s="330"/>
      <c r="I3" s="329" t="s">
        <v>2661</v>
      </c>
      <c r="J3" s="329" t="s">
        <v>2662</v>
      </c>
      <c r="K3" s="136"/>
      <c r="L3" s="212"/>
    </row>
    <row r="4" spans="1:12">
      <c r="A4" s="331" t="str">
        <f>Application!B718</f>
        <v>1 Bedroom</v>
      </c>
      <c r="B4" s="972">
        <f>Application!G718</f>
        <v>17</v>
      </c>
      <c r="C4" s="1051" t="s">
        <v>996</v>
      </c>
      <c r="D4" s="331">
        <f>Application!O718</f>
        <v>389</v>
      </c>
      <c r="E4" s="332"/>
      <c r="F4" s="973">
        <v>1064</v>
      </c>
      <c r="G4" s="331">
        <f>F4*B4</f>
        <v>18088</v>
      </c>
      <c r="H4" s="332"/>
      <c r="I4" s="331">
        <f t="shared" ref="I4:I27" si="0">IF(F4=0,"",(F4-D4))</f>
        <v>675</v>
      </c>
      <c r="J4" s="331">
        <f t="shared" ref="J4:J27" si="1">IF(F4=0,"",(I4*B4))</f>
        <v>11475</v>
      </c>
      <c r="K4" s="136"/>
      <c r="L4" s="212"/>
    </row>
    <row r="5" spans="1:12">
      <c r="A5" s="331" t="str">
        <f>Application!B719</f>
        <v>1 Bedroom</v>
      </c>
      <c r="B5" s="972">
        <f>Application!G719</f>
        <v>7</v>
      </c>
      <c r="C5" s="1051" t="s">
        <v>996</v>
      </c>
      <c r="D5" s="331">
        <f>Application!O719</f>
        <v>719</v>
      </c>
      <c r="E5" s="332"/>
      <c r="F5" s="973">
        <v>1064</v>
      </c>
      <c r="G5" s="331">
        <f t="shared" ref="G5:G38" si="2">F5*B5</f>
        <v>7448</v>
      </c>
      <c r="H5" s="332"/>
      <c r="I5" s="331">
        <f t="shared" si="0"/>
        <v>345</v>
      </c>
      <c r="J5" s="331">
        <f t="shared" si="1"/>
        <v>2415</v>
      </c>
      <c r="K5" s="136"/>
      <c r="L5" s="212"/>
    </row>
    <row r="6" spans="1:12">
      <c r="A6" s="331" t="str">
        <f>Application!B720</f>
        <v>1 Bedroom</v>
      </c>
      <c r="B6" s="972">
        <f>Application!G720</f>
        <v>11</v>
      </c>
      <c r="C6" s="1051" t="s">
        <v>996</v>
      </c>
      <c r="D6" s="331">
        <f>Application!O720</f>
        <v>737</v>
      </c>
      <c r="E6" s="332"/>
      <c r="F6" s="973">
        <v>1064</v>
      </c>
      <c r="G6" s="331">
        <f t="shared" si="2"/>
        <v>11704</v>
      </c>
      <c r="H6" s="332"/>
      <c r="I6" s="331">
        <f t="shared" si="0"/>
        <v>327</v>
      </c>
      <c r="J6" s="331">
        <f t="shared" si="1"/>
        <v>3597</v>
      </c>
      <c r="K6" s="136"/>
      <c r="L6" s="212"/>
    </row>
    <row r="7" spans="1:12">
      <c r="A7" s="331">
        <f>Application!B721</f>
        <v>0</v>
      </c>
      <c r="B7" s="972">
        <f>Application!G721</f>
        <v>0</v>
      </c>
      <c r="C7" s="1051"/>
      <c r="D7" s="331">
        <f>Application!O721</f>
        <v>0</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2663</v>
      </c>
      <c r="B40" s="334"/>
      <c r="C40" s="334"/>
      <c r="D40" s="335">
        <f>Application!O753</f>
        <v>19753</v>
      </c>
      <c r="E40" s="332"/>
      <c r="F40" s="332"/>
      <c r="G40" s="335">
        <f>SUM(G4:G38)*12</f>
        <v>446880</v>
      </c>
      <c r="H40" s="336"/>
      <c r="I40" s="334"/>
      <c r="J40" s="335">
        <f>SUM(J4:J38)*12</f>
        <v>209844</v>
      </c>
      <c r="K40" s="136"/>
      <c r="L40" s="213"/>
    </row>
    <row r="41" spans="1:12" ht="15">
      <c r="A41" s="333"/>
      <c r="B41" s="334"/>
      <c r="C41" s="334"/>
      <c r="D41" s="336"/>
      <c r="E41" s="332"/>
      <c r="F41" s="332"/>
      <c r="G41" s="336"/>
      <c r="H41" s="336"/>
      <c r="I41" s="334"/>
      <c r="J41" s="336"/>
      <c r="K41" s="136"/>
      <c r="L41" s="213"/>
    </row>
    <row r="42" spans="1:12">
      <c r="A42" s="211" t="s">
        <v>2664</v>
      </c>
    </row>
    <row r="43" spans="1:12">
      <c r="A43" s="2618" t="s">
        <v>2665</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2666</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B69" sqref="B69"/>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2667</v>
      </c>
      <c r="B1" s="141"/>
    </row>
    <row r="2" spans="1:34"/>
    <row r="3" spans="1:34" ht="15.75">
      <c r="A3" s="142" t="s">
        <v>2668</v>
      </c>
      <c r="B3" s="142"/>
      <c r="C3" s="163" t="s">
        <v>2669</v>
      </c>
      <c r="D3" s="12"/>
      <c r="E3" s="164" t="s">
        <v>2670</v>
      </c>
      <c r="F3" s="135"/>
      <c r="G3" s="164" t="s">
        <v>2671</v>
      </c>
      <c r="H3" s="135"/>
      <c r="I3" s="164" t="s">
        <v>2672</v>
      </c>
      <c r="J3" s="135"/>
      <c r="K3" s="164" t="s">
        <v>2673</v>
      </c>
      <c r="L3" s="135"/>
      <c r="M3" s="164" t="s">
        <v>2674</v>
      </c>
      <c r="N3" s="135"/>
      <c r="O3" s="164" t="s">
        <v>2675</v>
      </c>
      <c r="P3" s="135"/>
      <c r="Q3" s="164" t="s">
        <v>2676</v>
      </c>
      <c r="R3" s="135"/>
      <c r="S3" s="164" t="s">
        <v>2677</v>
      </c>
      <c r="T3" s="135"/>
      <c r="U3" s="164" t="s">
        <v>2678</v>
      </c>
      <c r="V3" s="135"/>
      <c r="W3" s="164" t="s">
        <v>2679</v>
      </c>
      <c r="X3" s="135"/>
      <c r="Y3" s="164" t="s">
        <v>2680</v>
      </c>
      <c r="Z3" s="135"/>
      <c r="AA3" s="164" t="s">
        <v>2681</v>
      </c>
      <c r="AB3" s="135"/>
      <c r="AC3" s="164" t="s">
        <v>2682</v>
      </c>
      <c r="AD3" s="135"/>
      <c r="AE3" s="164" t="s">
        <v>2683</v>
      </c>
      <c r="AF3" s="135"/>
      <c r="AG3" s="164" t="s">
        <v>2684</v>
      </c>
      <c r="AH3" s="12"/>
    </row>
    <row r="4" spans="1:34" s="148" customFormat="1" ht="14.25">
      <c r="A4" s="148" t="s">
        <v>2685</v>
      </c>
      <c r="C4" s="1218">
        <v>1.0249999999999999</v>
      </c>
      <c r="E4" s="148">
        <f>Application!Y801</f>
        <v>237036</v>
      </c>
      <c r="G4" s="148">
        <f>E4*$C$4</f>
        <v>242961.89999999997</v>
      </c>
      <c r="I4" s="148">
        <f>G4*$C$4</f>
        <v>249035.94749999995</v>
      </c>
      <c r="K4" s="148">
        <f>I4*$C$4</f>
        <v>255261.84618749993</v>
      </c>
      <c r="M4" s="148">
        <f>K4*$C$4</f>
        <v>261643.39234218741</v>
      </c>
      <c r="O4" s="148">
        <f>M4*$C$4</f>
        <v>268184.47715074208</v>
      </c>
      <c r="Q4" s="148">
        <f>O4*$C$4</f>
        <v>274889.0890795106</v>
      </c>
      <c r="S4" s="148">
        <f>Q4*$C$4</f>
        <v>281761.31630649831</v>
      </c>
      <c r="U4" s="148">
        <f>S4*$C$4</f>
        <v>288805.34921416076</v>
      </c>
      <c r="W4" s="148">
        <f>U4*$C$4</f>
        <v>296025.48294451478</v>
      </c>
      <c r="Y4" s="148">
        <f>W4*$C$4</f>
        <v>303426.12001812761</v>
      </c>
      <c r="AA4" s="148">
        <f>Y4*$C$4</f>
        <v>311011.77301858074</v>
      </c>
      <c r="AC4" s="148">
        <f>AA4*$C$4</f>
        <v>318787.06734404521</v>
      </c>
      <c r="AE4" s="148">
        <f>AC4*$C$4</f>
        <v>326756.74402764632</v>
      </c>
      <c r="AG4" s="148">
        <f>AE4*$C$4</f>
        <v>334925.66262833745</v>
      </c>
    </row>
    <row r="5" spans="1:34" s="140" customFormat="1" ht="14.25">
      <c r="B5" s="140" t="s">
        <v>2252</v>
      </c>
      <c r="C5" s="1219">
        <f>IF(Application!$D$211="Special Needs",(((0.1*Application!$T$212)+(0.05*(1-Application!$T$212)))),0.05)</f>
        <v>0.05</v>
      </c>
      <c r="E5" s="150">
        <f>-E4*$C$5</f>
        <v>-11851.800000000001</v>
      </c>
      <c r="F5" s="150"/>
      <c r="G5" s="150">
        <f>-G4*$C$5</f>
        <v>-12148.094999999999</v>
      </c>
      <c r="H5" s="150"/>
      <c r="I5" s="150">
        <f>-I4*$C$5</f>
        <v>-12451.797374999998</v>
      </c>
      <c r="J5" s="150"/>
      <c r="K5" s="150">
        <f>-K4*$C$5</f>
        <v>-12763.092309374997</v>
      </c>
      <c r="L5" s="150"/>
      <c r="M5" s="150">
        <f>-M4*$C$5</f>
        <v>-13082.169617109372</v>
      </c>
      <c r="N5" s="150"/>
      <c r="O5" s="150">
        <f>-O4*$C$5</f>
        <v>-13409.223857537105</v>
      </c>
      <c r="P5" s="150"/>
      <c r="Q5" s="150">
        <f>-Q4*$C$5</f>
        <v>-13744.45445397553</v>
      </c>
      <c r="R5" s="150"/>
      <c r="S5" s="150">
        <f>-S4*$C$5</f>
        <v>-14088.065815324917</v>
      </c>
      <c r="T5" s="150"/>
      <c r="U5" s="150">
        <f>-U4*$C$5</f>
        <v>-14440.267460708039</v>
      </c>
      <c r="V5" s="150"/>
      <c r="W5" s="150">
        <f>-W4*$C$5</f>
        <v>-14801.27414722574</v>
      </c>
      <c r="X5" s="150"/>
      <c r="Y5" s="150">
        <f>-Y4*$C$5</f>
        <v>-15171.306000906381</v>
      </c>
      <c r="Z5" s="150"/>
      <c r="AA5" s="150">
        <f>-AA4*$C$5</f>
        <v>-15550.588650929038</v>
      </c>
      <c r="AB5" s="150"/>
      <c r="AC5" s="150">
        <f>-AC4*$C$5</f>
        <v>-15939.35336720226</v>
      </c>
      <c r="AD5" s="150"/>
      <c r="AE5" s="150">
        <f>-AE4*$C$5</f>
        <v>-16337.837201382317</v>
      </c>
      <c r="AF5" s="150"/>
      <c r="AG5" s="150">
        <f>-AG4*$C$5</f>
        <v>-16746.283131416872</v>
      </c>
    </row>
    <row r="6" spans="1:34" s="140" customFormat="1" ht="14.25">
      <c r="A6" s="140" t="s">
        <v>2686</v>
      </c>
      <c r="C6" s="1218">
        <v>1.0249999999999999</v>
      </c>
      <c r="E6" s="151">
        <f>Application!Z809</f>
        <v>209844</v>
      </c>
      <c r="F6" s="151"/>
      <c r="G6" s="151">
        <f>E6*$C$6</f>
        <v>215090.09999999998</v>
      </c>
      <c r="H6" s="151"/>
      <c r="I6" s="151">
        <f>G6*$C$6</f>
        <v>220467.35249999995</v>
      </c>
      <c r="J6" s="151"/>
      <c r="K6" s="151">
        <f>I6*$C$6</f>
        <v>225979.03631249993</v>
      </c>
      <c r="L6" s="151"/>
      <c r="M6" s="151">
        <f>K6*$C$6</f>
        <v>231628.5122203124</v>
      </c>
      <c r="N6" s="151"/>
      <c r="O6" s="151">
        <f>M6*$C$6</f>
        <v>237419.2250258202</v>
      </c>
      <c r="P6" s="151"/>
      <c r="Q6" s="151">
        <f>O6*$C$6</f>
        <v>243354.70565146569</v>
      </c>
      <c r="R6" s="151"/>
      <c r="S6" s="151">
        <f>Q6*$C$6</f>
        <v>249438.57329275232</v>
      </c>
      <c r="T6" s="151"/>
      <c r="U6" s="151">
        <f>S6*$C$6</f>
        <v>255674.5376250711</v>
      </c>
      <c r="V6" s="151"/>
      <c r="W6" s="151">
        <f>U6*$C$6</f>
        <v>262066.40106569786</v>
      </c>
      <c r="X6" s="151"/>
      <c r="Y6" s="151">
        <f>W6*$C$6</f>
        <v>268618.06109234027</v>
      </c>
      <c r="Z6" s="151"/>
      <c r="AA6" s="151">
        <f>Y6*$C$6</f>
        <v>275333.51261964877</v>
      </c>
      <c r="AB6" s="151"/>
      <c r="AC6" s="151">
        <f>AA6*$C$6</f>
        <v>282216.85043513996</v>
      </c>
      <c r="AD6" s="151"/>
      <c r="AE6" s="151">
        <f>AC6*$C$6</f>
        <v>289272.27169601846</v>
      </c>
      <c r="AF6" s="151"/>
      <c r="AG6" s="151">
        <f>AE6*$C$6</f>
        <v>296504.07848841889</v>
      </c>
    </row>
    <row r="7" spans="1:34" s="140" customFormat="1" ht="14.25">
      <c r="B7" s="140" t="s">
        <v>2252</v>
      </c>
      <c r="C7" s="1219">
        <f>IF(Application!$D$211="Special Needs",(((0.1*Application!$T$212)+(0.05*(1-Application!$T$212)))),0.05)</f>
        <v>0.05</v>
      </c>
      <c r="E7" s="150">
        <f>-E6*$C$7</f>
        <v>-10492.2</v>
      </c>
      <c r="F7" s="150"/>
      <c r="G7" s="150">
        <f>-G6*$C$7</f>
        <v>-10754.504999999999</v>
      </c>
      <c r="H7" s="150"/>
      <c r="I7" s="150">
        <f>-I6*$C$7</f>
        <v>-11023.367624999999</v>
      </c>
      <c r="J7" s="150"/>
      <c r="K7" s="150">
        <f>-K6*$C$7</f>
        <v>-11298.951815624998</v>
      </c>
      <c r="L7" s="150"/>
      <c r="M7" s="150">
        <f>-M6*$C$7</f>
        <v>-11581.42561101562</v>
      </c>
      <c r="N7" s="150"/>
      <c r="O7" s="150">
        <f>-O6*$C$7</f>
        <v>-11870.96125129101</v>
      </c>
      <c r="P7" s="150"/>
      <c r="Q7" s="150">
        <f>-Q6*$C$7</f>
        <v>-12167.735282573285</v>
      </c>
      <c r="R7" s="150"/>
      <c r="S7" s="150">
        <f>-S6*$C$7</f>
        <v>-12471.928664637617</v>
      </c>
      <c r="T7" s="150"/>
      <c r="U7" s="150">
        <f>-U6*$C$7</f>
        <v>-12783.726881253555</v>
      </c>
      <c r="V7" s="150"/>
      <c r="W7" s="150">
        <f>-W6*$C$7</f>
        <v>-13103.320053284893</v>
      </c>
      <c r="X7" s="150"/>
      <c r="Y7" s="150">
        <f>-Y6*$C$7</f>
        <v>-13430.903054617014</v>
      </c>
      <c r="Z7" s="150"/>
      <c r="AA7" s="150">
        <f>-AA6*$C$7</f>
        <v>-13766.67563098244</v>
      </c>
      <c r="AB7" s="150"/>
      <c r="AC7" s="150">
        <f>-AC6*$C$7</f>
        <v>-14110.842521756998</v>
      </c>
      <c r="AD7" s="150"/>
      <c r="AE7" s="150">
        <f>-AE6*$C$7</f>
        <v>-14463.613584800923</v>
      </c>
      <c r="AF7" s="150"/>
      <c r="AG7" s="150">
        <f>-AG6*$C$7</f>
        <v>-14825.203924420945</v>
      </c>
    </row>
    <row r="8" spans="1:34" s="140" customFormat="1" ht="14.25">
      <c r="A8" s="140" t="s">
        <v>215</v>
      </c>
      <c r="C8" s="1218">
        <v>1.0249999999999999</v>
      </c>
      <c r="E8" s="151">
        <f>Application!Z817</f>
        <v>1500</v>
      </c>
      <c r="F8" s="151"/>
      <c r="G8" s="151">
        <f>E8*$C$8</f>
        <v>1537.4999999999998</v>
      </c>
      <c r="H8" s="151"/>
      <c r="I8" s="151">
        <f>G8*$C$8</f>
        <v>1575.9374999999995</v>
      </c>
      <c r="J8" s="151"/>
      <c r="K8" s="151">
        <f>I8*$C$8</f>
        <v>1615.3359374999993</v>
      </c>
      <c r="L8" s="151"/>
      <c r="M8" s="151">
        <f>K8*$C$8</f>
        <v>1655.7193359374992</v>
      </c>
      <c r="N8" s="151"/>
      <c r="O8" s="151">
        <f>M8*$C$8</f>
        <v>1697.1123193359365</v>
      </c>
      <c r="P8" s="151"/>
      <c r="Q8" s="151">
        <f>O8*$C$8</f>
        <v>1739.5401273193347</v>
      </c>
      <c r="R8" s="151"/>
      <c r="S8" s="151">
        <f>Q8*$C$8</f>
        <v>1783.028630502318</v>
      </c>
      <c r="T8" s="151"/>
      <c r="U8" s="151">
        <f>S8*$C$8</f>
        <v>1827.6043462648759</v>
      </c>
      <c r="V8" s="151"/>
      <c r="W8" s="151">
        <f>U8*$C$8</f>
        <v>1873.2944549214976</v>
      </c>
      <c r="X8" s="151"/>
      <c r="Y8" s="151">
        <f>W8*$C$8</f>
        <v>1920.1268162945348</v>
      </c>
      <c r="Z8" s="151"/>
      <c r="AA8" s="151">
        <f>Y8*$C$8</f>
        <v>1968.1299867018979</v>
      </c>
      <c r="AB8" s="151"/>
      <c r="AC8" s="151">
        <f>AA8*$C$8</f>
        <v>2017.3332363694451</v>
      </c>
      <c r="AD8" s="151"/>
      <c r="AE8" s="151">
        <f>AC8*$C$8</f>
        <v>2067.7665672786811</v>
      </c>
      <c r="AF8" s="151"/>
      <c r="AG8" s="151">
        <f>AE8*$C$8</f>
        <v>2119.4607314606478</v>
      </c>
    </row>
    <row r="9" spans="1:34" s="140" customFormat="1" ht="14.25">
      <c r="B9" s="140" t="s">
        <v>2252</v>
      </c>
      <c r="C9" s="1219">
        <f>IF(Application!$D$211="Special Needs",(((0.1*Application!$T$212)+(0.05*(1-Application!$T$212)))),0.05)</f>
        <v>0.05</v>
      </c>
      <c r="E9" s="150">
        <f>-E8*$C$9</f>
        <v>-75</v>
      </c>
      <c r="F9" s="150"/>
      <c r="G9" s="150">
        <f>-G8*$C$9</f>
        <v>-76.875</v>
      </c>
      <c r="H9" s="150"/>
      <c r="I9" s="150">
        <f>-I8*$C$9</f>
        <v>-78.796874999999986</v>
      </c>
      <c r="J9" s="150"/>
      <c r="K9" s="150">
        <f>-K8*$C$9</f>
        <v>-80.766796874999969</v>
      </c>
      <c r="L9" s="150"/>
      <c r="M9" s="150">
        <f>-M8*$C$9</f>
        <v>-82.785966796874959</v>
      </c>
      <c r="N9" s="150"/>
      <c r="O9" s="150">
        <f>-O8*$C$9</f>
        <v>-84.855615966796833</v>
      </c>
      <c r="P9" s="150"/>
      <c r="Q9" s="150">
        <f>-Q8*$C$9</f>
        <v>-86.977006365966744</v>
      </c>
      <c r="R9" s="150"/>
      <c r="S9" s="150">
        <f>-S8*$C$9</f>
        <v>-89.15143152511591</v>
      </c>
      <c r="T9" s="150"/>
      <c r="U9" s="150">
        <f>-U8*$C$9</f>
        <v>-91.380217313243804</v>
      </c>
      <c r="V9" s="150"/>
      <c r="W9" s="150">
        <f>-W8*$C$9</f>
        <v>-93.664722746074887</v>
      </c>
      <c r="X9" s="150"/>
      <c r="Y9" s="150">
        <f>-Y8*$C$9</f>
        <v>-96.006340814726741</v>
      </c>
      <c r="Z9" s="150"/>
      <c r="AA9" s="150">
        <f>-AA8*$C$9</f>
        <v>-98.406499335094907</v>
      </c>
      <c r="AB9" s="150"/>
      <c r="AC9" s="150">
        <f>-AC8*$C$9</f>
        <v>-100.86666181847227</v>
      </c>
      <c r="AD9" s="150"/>
      <c r="AE9" s="150">
        <f>-AE8*$C$9</f>
        <v>-103.38832836393406</v>
      </c>
      <c r="AF9" s="150"/>
      <c r="AG9" s="150">
        <f>-AG8*$C$9</f>
        <v>-105.9730365730324</v>
      </c>
    </row>
    <row r="10" spans="1:34" s="140" customFormat="1" ht="14.25">
      <c r="A10" s="1032" t="s">
        <v>2687</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2688</v>
      </c>
      <c r="C11" s="145"/>
      <c r="E11" s="152">
        <f>SUM(E4:E10)</f>
        <v>425961</v>
      </c>
      <c r="G11" s="152">
        <f>SUM(G4:G10)</f>
        <v>436610.02499999991</v>
      </c>
      <c r="I11" s="152">
        <f>SUM(I4:I10)</f>
        <v>447525.27562499989</v>
      </c>
      <c r="K11" s="152">
        <f>SUM(K4:K10)</f>
        <v>458713.40751562489</v>
      </c>
      <c r="M11" s="152">
        <f>SUM(M4:M10)</f>
        <v>470181.24270351545</v>
      </c>
      <c r="O11" s="152">
        <f>SUM(O4:O10)</f>
        <v>481935.7737711033</v>
      </c>
      <c r="Q11" s="152">
        <f>SUM(Q4:Q10)</f>
        <v>493984.16811538086</v>
      </c>
      <c r="S11" s="152">
        <f>SUM(S4:S10)</f>
        <v>506333.77231826528</v>
      </c>
      <c r="U11" s="152">
        <f>SUM(U4:U10)</f>
        <v>518992.11662622186</v>
      </c>
      <c r="W11" s="152">
        <f>SUM(W4:W10)</f>
        <v>531966.91954187746</v>
      </c>
      <c r="Y11" s="152">
        <f>SUM(Y4:Y10)</f>
        <v>545266.09253042424</v>
      </c>
      <c r="AA11" s="152">
        <f>SUM(AA4:AA10)</f>
        <v>558897.74484368484</v>
      </c>
      <c r="AC11" s="152">
        <f>SUM(AC4:AC10)</f>
        <v>572870.18846477685</v>
      </c>
      <c r="AE11" s="152">
        <f>SUM(AE4:AE10)</f>
        <v>587191.94317639631</v>
      </c>
      <c r="AG11" s="152">
        <f>SUM(AG4:AG10)</f>
        <v>601871.74175580603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2689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2690</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2691</v>
      </c>
      <c r="C15" s="863"/>
      <c r="E15" s="148">
        <f>Application!W847</f>
        <v>12000</v>
      </c>
      <c r="G15" s="148">
        <f>E15*$C$14</f>
        <v>12419.999999999998</v>
      </c>
      <c r="I15" s="148">
        <f>G15*$C$14</f>
        <v>12854.699999999997</v>
      </c>
      <c r="K15" s="148">
        <f>I15*$C$14</f>
        <v>13304.614499999996</v>
      </c>
      <c r="M15" s="148">
        <f>K15*$C$14</f>
        <v>13770.276007499995</v>
      </c>
      <c r="O15" s="148">
        <f>M15*$C$14</f>
        <v>14252.235667762494</v>
      </c>
      <c r="Q15" s="148">
        <f>O15*$C$14</f>
        <v>14751.063916134181</v>
      </c>
      <c r="S15" s="148">
        <f>Q15*$C$14</f>
        <v>15267.351153198875</v>
      </c>
      <c r="U15" s="148">
        <f>S15*$C$14</f>
        <v>15801.708443560834</v>
      </c>
      <c r="W15" s="148">
        <f>U15*$C$14</f>
        <v>16354.768239085462</v>
      </c>
      <c r="Y15" s="148">
        <f>W15*$C$14</f>
        <v>16927.185127453453</v>
      </c>
      <c r="AA15" s="148">
        <f>Y15*$C$14</f>
        <v>17519.636606914322</v>
      </c>
      <c r="AC15" s="148">
        <f>AA15*$C$14</f>
        <v>18132.823888156323</v>
      </c>
      <c r="AE15" s="148">
        <f>AC15*$C$14</f>
        <v>18767.472724241794</v>
      </c>
      <c r="AG15" s="148">
        <f>AE15*$C$14</f>
        <v>19424.334269590254</v>
      </c>
    </row>
    <row r="16" spans="1:34" s="140" customFormat="1" ht="14.25">
      <c r="A16" s="140" t="s">
        <v>1530</v>
      </c>
      <c r="C16" s="855"/>
      <c r="E16" s="151">
        <f>Application!W849</f>
        <v>28080</v>
      </c>
      <c r="F16" s="151"/>
      <c r="G16" s="151">
        <f t="shared" ref="G16:AG21" si="0">E16*$C$14</f>
        <v>29062.799999999999</v>
      </c>
      <c r="H16" s="151"/>
      <c r="I16" s="151">
        <f t="shared" si="0"/>
        <v>30079.997999999996</v>
      </c>
      <c r="J16" s="151"/>
      <c r="K16" s="151">
        <f t="shared" si="0"/>
        <v>31132.797929999993</v>
      </c>
      <c r="L16" s="151"/>
      <c r="M16" s="151">
        <f t="shared" si="0"/>
        <v>32222.445857549992</v>
      </c>
      <c r="N16" s="151"/>
      <c r="O16" s="151">
        <f t="shared" si="0"/>
        <v>33350.231462564239</v>
      </c>
      <c r="P16" s="151"/>
      <c r="Q16" s="151">
        <f t="shared" si="0"/>
        <v>34517.489563753988</v>
      </c>
      <c r="R16" s="151"/>
      <c r="S16" s="151">
        <f t="shared" si="0"/>
        <v>35725.601698485378</v>
      </c>
      <c r="T16" s="151"/>
      <c r="U16" s="151">
        <f t="shared" si="0"/>
        <v>36975.99775793236</v>
      </c>
      <c r="V16" s="151"/>
      <c r="W16" s="151">
        <f t="shared" si="0"/>
        <v>38270.15767945999</v>
      </c>
      <c r="X16" s="151"/>
      <c r="Y16" s="151">
        <f t="shared" si="0"/>
        <v>39609.613198241088</v>
      </c>
      <c r="Z16" s="151"/>
      <c r="AA16" s="151">
        <f t="shared" si="0"/>
        <v>40995.949660179525</v>
      </c>
      <c r="AB16" s="151"/>
      <c r="AC16" s="151">
        <f t="shared" si="0"/>
        <v>42430.807898285806</v>
      </c>
      <c r="AD16" s="151"/>
      <c r="AE16" s="151">
        <f t="shared" si="0"/>
        <v>43915.886174725805</v>
      </c>
      <c r="AF16" s="151"/>
      <c r="AG16" s="151">
        <f t="shared" si="0"/>
        <v>45452.942190841204</v>
      </c>
    </row>
    <row r="17" spans="1:33" s="140" customFormat="1" ht="14.25">
      <c r="A17" s="140" t="s">
        <v>230</v>
      </c>
      <c r="C17" s="855"/>
      <c r="E17" s="151">
        <f>Application!W855</f>
        <v>29280</v>
      </c>
      <c r="F17" s="151"/>
      <c r="G17" s="151">
        <f t="shared" si="0"/>
        <v>30304.799999999999</v>
      </c>
      <c r="H17" s="151"/>
      <c r="I17" s="151">
        <f t="shared" si="0"/>
        <v>31365.467999999997</v>
      </c>
      <c r="J17" s="151"/>
      <c r="K17" s="151">
        <f t="shared" si="0"/>
        <v>32463.259379999996</v>
      </c>
      <c r="L17" s="151"/>
      <c r="M17" s="151">
        <f t="shared" si="0"/>
        <v>33599.473458299995</v>
      </c>
      <c r="N17" s="151"/>
      <c r="O17" s="151">
        <f t="shared" si="0"/>
        <v>34775.45502934049</v>
      </c>
      <c r="P17" s="151"/>
      <c r="Q17" s="151">
        <f t="shared" si="0"/>
        <v>35992.595955367404</v>
      </c>
      <c r="R17" s="151"/>
      <c r="S17" s="151">
        <f t="shared" si="0"/>
        <v>37252.336813805261</v>
      </c>
      <c r="T17" s="151"/>
      <c r="U17" s="151">
        <f t="shared" si="0"/>
        <v>38556.168602288439</v>
      </c>
      <c r="V17" s="151"/>
      <c r="W17" s="151">
        <f t="shared" si="0"/>
        <v>39905.634503368528</v>
      </c>
      <c r="X17" s="151"/>
      <c r="Y17" s="151">
        <f t="shared" si="0"/>
        <v>41302.331710986422</v>
      </c>
      <c r="Z17" s="151"/>
      <c r="AA17" s="151">
        <f t="shared" si="0"/>
        <v>42747.913320870946</v>
      </c>
      <c r="AB17" s="151"/>
      <c r="AC17" s="151">
        <f t="shared" si="0"/>
        <v>44244.090287101426</v>
      </c>
      <c r="AD17" s="151"/>
      <c r="AE17" s="151">
        <f t="shared" si="0"/>
        <v>45792.633447149972</v>
      </c>
      <c r="AF17" s="151"/>
      <c r="AG17" s="151">
        <f t="shared" si="0"/>
        <v>47395.375617800215</v>
      </c>
    </row>
    <row r="18" spans="1:33" s="140" customFormat="1" ht="14.25">
      <c r="A18" s="140" t="s">
        <v>2692</v>
      </c>
      <c r="C18" s="855"/>
      <c r="E18" s="151">
        <f>Application!W862</f>
        <v>70000</v>
      </c>
      <c r="F18" s="151"/>
      <c r="G18" s="151">
        <f t="shared" si="0"/>
        <v>72450</v>
      </c>
      <c r="H18" s="151"/>
      <c r="I18" s="151">
        <f t="shared" si="0"/>
        <v>74985.75</v>
      </c>
      <c r="J18" s="151"/>
      <c r="K18" s="151">
        <f t="shared" si="0"/>
        <v>77610.251250000001</v>
      </c>
      <c r="L18" s="151"/>
      <c r="M18" s="151">
        <f t="shared" si="0"/>
        <v>80326.610043749999</v>
      </c>
      <c r="N18" s="151"/>
      <c r="O18" s="151">
        <f t="shared" si="0"/>
        <v>83138.041395281238</v>
      </c>
      <c r="P18" s="151"/>
      <c r="Q18" s="151">
        <f t="shared" si="0"/>
        <v>86047.872844116078</v>
      </c>
      <c r="R18" s="151"/>
      <c r="S18" s="151">
        <f t="shared" si="0"/>
        <v>89059.548393660138</v>
      </c>
      <c r="T18" s="151"/>
      <c r="U18" s="151">
        <f t="shared" si="0"/>
        <v>92176.632587438231</v>
      </c>
      <c r="V18" s="151"/>
      <c r="W18" s="151">
        <f t="shared" si="0"/>
        <v>95402.814727998557</v>
      </c>
      <c r="X18" s="151"/>
      <c r="Y18" s="151">
        <f t="shared" si="0"/>
        <v>98741.913243478499</v>
      </c>
      <c r="Z18" s="151"/>
      <c r="AA18" s="151">
        <f t="shared" si="0"/>
        <v>102197.88020700024</v>
      </c>
      <c r="AB18" s="151"/>
      <c r="AC18" s="151">
        <f t="shared" si="0"/>
        <v>105774.80601424525</v>
      </c>
      <c r="AD18" s="151"/>
      <c r="AE18" s="151">
        <f t="shared" si="0"/>
        <v>109476.92422474382</v>
      </c>
      <c r="AF18" s="151"/>
      <c r="AG18" s="151">
        <f t="shared" si="0"/>
        <v>113308.61657260986</v>
      </c>
    </row>
    <row r="19" spans="1:33" s="140" customFormat="1" ht="14.25">
      <c r="A19" s="140" t="s">
        <v>1782</v>
      </c>
      <c r="C19" s="855"/>
      <c r="E19" s="151">
        <f>Application!W863</f>
        <v>2000</v>
      </c>
      <c r="F19" s="151"/>
      <c r="G19" s="151">
        <f t="shared" si="0"/>
        <v>2070</v>
      </c>
      <c r="H19" s="151"/>
      <c r="I19" s="151">
        <f t="shared" si="0"/>
        <v>2142.4499999999998</v>
      </c>
      <c r="J19" s="151"/>
      <c r="K19" s="151">
        <f t="shared" si="0"/>
        <v>2217.4357499999996</v>
      </c>
      <c r="L19" s="151"/>
      <c r="M19" s="151">
        <f t="shared" si="0"/>
        <v>2295.0460012499993</v>
      </c>
      <c r="N19" s="151"/>
      <c r="O19" s="151">
        <f t="shared" si="0"/>
        <v>2375.3726112937493</v>
      </c>
      <c r="P19" s="151"/>
      <c r="Q19" s="151">
        <f t="shared" si="0"/>
        <v>2458.5106526890304</v>
      </c>
      <c r="R19" s="151"/>
      <c r="S19" s="151">
        <f t="shared" si="0"/>
        <v>2544.5585255331462</v>
      </c>
      <c r="T19" s="151"/>
      <c r="U19" s="151">
        <f t="shared" si="0"/>
        <v>2633.6180739268061</v>
      </c>
      <c r="V19" s="151"/>
      <c r="W19" s="151">
        <f t="shared" si="0"/>
        <v>2725.7947065142439</v>
      </c>
      <c r="X19" s="151"/>
      <c r="Y19" s="151">
        <f t="shared" si="0"/>
        <v>2821.1975212422421</v>
      </c>
      <c r="Z19" s="151"/>
      <c r="AA19" s="151">
        <f t="shared" si="0"/>
        <v>2919.9394344857205</v>
      </c>
      <c r="AB19" s="151"/>
      <c r="AC19" s="151">
        <f t="shared" si="0"/>
        <v>3022.1373146927203</v>
      </c>
      <c r="AD19" s="151"/>
      <c r="AE19" s="151">
        <f t="shared" si="0"/>
        <v>3127.9121207069652</v>
      </c>
      <c r="AF19" s="151"/>
      <c r="AG19" s="151">
        <f t="shared" si="0"/>
        <v>3237.3890449317087</v>
      </c>
    </row>
    <row r="20" spans="1:33" s="140" customFormat="1" ht="14.25">
      <c r="A20" s="140" t="s">
        <v>232</v>
      </c>
      <c r="C20" s="855"/>
      <c r="E20" s="151">
        <f>Application!W872</f>
        <v>32800</v>
      </c>
      <c r="F20" s="151"/>
      <c r="G20" s="151">
        <f t="shared" si="0"/>
        <v>33948</v>
      </c>
      <c r="H20" s="151"/>
      <c r="I20" s="151">
        <f t="shared" si="0"/>
        <v>35136.18</v>
      </c>
      <c r="J20" s="151"/>
      <c r="K20" s="151">
        <f t="shared" si="0"/>
        <v>36365.946299999996</v>
      </c>
      <c r="L20" s="151"/>
      <c r="M20" s="151">
        <f t="shared" si="0"/>
        <v>37638.754420499994</v>
      </c>
      <c r="N20" s="151"/>
      <c r="O20" s="151">
        <f t="shared" si="0"/>
        <v>38956.110825217489</v>
      </c>
      <c r="P20" s="151"/>
      <c r="Q20" s="151">
        <f t="shared" si="0"/>
        <v>40319.574704100101</v>
      </c>
      <c r="R20" s="151"/>
      <c r="S20" s="151">
        <f t="shared" si="0"/>
        <v>41730.759818743601</v>
      </c>
      <c r="T20" s="151"/>
      <c r="U20" s="151">
        <f t="shared" si="0"/>
        <v>43191.336412399622</v>
      </c>
      <c r="V20" s="151"/>
      <c r="W20" s="151">
        <f t="shared" si="0"/>
        <v>44703.033186833607</v>
      </c>
      <c r="X20" s="151"/>
      <c r="Y20" s="151">
        <f t="shared" si="0"/>
        <v>46267.639348372781</v>
      </c>
      <c r="Z20" s="151"/>
      <c r="AA20" s="151">
        <f t="shared" si="0"/>
        <v>47887.006725565821</v>
      </c>
      <c r="AB20" s="151"/>
      <c r="AC20" s="151">
        <f t="shared" si="0"/>
        <v>49563.05196096062</v>
      </c>
      <c r="AD20" s="151"/>
      <c r="AE20" s="151">
        <f t="shared" si="0"/>
        <v>51297.758779594238</v>
      </c>
      <c r="AF20" s="151"/>
      <c r="AG20" s="151">
        <f t="shared" si="0"/>
        <v>53093.180336880032</v>
      </c>
    </row>
    <row r="21" spans="1:33" s="140" customFormat="1" ht="14.25">
      <c r="A21" s="155" t="s">
        <v>2693</v>
      </c>
      <c r="B21" s="155"/>
      <c r="C21" s="855"/>
      <c r="E21" s="161">
        <f>Application!W879</f>
        <v>43040</v>
      </c>
      <c r="F21" s="151"/>
      <c r="G21" s="161">
        <f t="shared" si="0"/>
        <v>44546.399999999994</v>
      </c>
      <c r="H21" s="151"/>
      <c r="I21" s="161">
        <f t="shared" si="0"/>
        <v>46105.52399999999</v>
      </c>
      <c r="J21" s="151"/>
      <c r="K21" s="161">
        <f t="shared" si="0"/>
        <v>47719.217339999988</v>
      </c>
      <c r="L21" s="151"/>
      <c r="M21" s="161">
        <f t="shared" si="0"/>
        <v>49389.389946899981</v>
      </c>
      <c r="N21" s="151"/>
      <c r="O21" s="161">
        <f t="shared" si="0"/>
        <v>51118.018595041474</v>
      </c>
      <c r="P21" s="151"/>
      <c r="Q21" s="161">
        <f t="shared" si="0"/>
        <v>52907.14924586792</v>
      </c>
      <c r="R21" s="151"/>
      <c r="S21" s="161">
        <f t="shared" si="0"/>
        <v>54758.89946947329</v>
      </c>
      <c r="T21" s="151"/>
      <c r="U21" s="161">
        <f t="shared" si="0"/>
        <v>56675.460950904853</v>
      </c>
      <c r="V21" s="151"/>
      <c r="W21" s="161">
        <f t="shared" si="0"/>
        <v>58659.102084186517</v>
      </c>
      <c r="X21" s="151"/>
      <c r="Y21" s="161">
        <f t="shared" si="0"/>
        <v>60712.170657133043</v>
      </c>
      <c r="Z21" s="151"/>
      <c r="AA21" s="161">
        <f t="shared" si="0"/>
        <v>62837.096630132692</v>
      </c>
      <c r="AB21" s="151"/>
      <c r="AC21" s="161">
        <f t="shared" si="0"/>
        <v>65036.395012187328</v>
      </c>
      <c r="AD21" s="151"/>
      <c r="AE21" s="161">
        <f t="shared" si="0"/>
        <v>67312.668837613877</v>
      </c>
      <c r="AF21" s="151"/>
      <c r="AG21" s="161">
        <f t="shared" si="0"/>
        <v>69668.612246930352</v>
      </c>
    </row>
    <row r="22" spans="1:33" s="152" customFormat="1" ht="15">
      <c r="A22" s="152" t="s">
        <v>2694</v>
      </c>
      <c r="C22" s="855"/>
      <c r="E22" s="152">
        <f>SUM(E15:E21)</f>
        <v>217200</v>
      </c>
      <c r="G22" s="152">
        <f>SUM(G15:G21)</f>
        <v>224801.99999999997</v>
      </c>
      <c r="I22" s="152">
        <f>SUM(I15:I21)</f>
        <v>232670.06999999995</v>
      </c>
      <c r="K22" s="152">
        <f>SUM(K15:K21)</f>
        <v>240813.52244999999</v>
      </c>
      <c r="M22" s="152">
        <f>SUM(M15:M21)</f>
        <v>249241.99573574998</v>
      </c>
      <c r="O22" s="152">
        <f>SUM(O15:O21)</f>
        <v>257965.46558650117</v>
      </c>
      <c r="Q22" s="152">
        <f>SUM(Q15:Q21)</f>
        <v>266994.25688202871</v>
      </c>
      <c r="S22" s="152">
        <f>SUM(S15:S21)</f>
        <v>276339.05587289971</v>
      </c>
      <c r="U22" s="152">
        <f>SUM(U15:U21)</f>
        <v>286010.92282845115</v>
      </c>
      <c r="W22" s="152">
        <f>SUM(W15:W21)</f>
        <v>296021.30512744695</v>
      </c>
      <c r="Y22" s="152">
        <f>SUM(Y15:Y21)</f>
        <v>306382.05080690759</v>
      </c>
      <c r="AA22" s="152">
        <f>SUM(AA15:AA21)</f>
        <v>317105.42258514924</v>
      </c>
      <c r="AC22" s="152">
        <f>SUM(AC15:AC21)</f>
        <v>328204.11237562943</v>
      </c>
      <c r="AE22" s="152">
        <f>SUM(AE15:AE21)</f>
        <v>339691.25630877644</v>
      </c>
      <c r="AG22" s="152">
        <f>SUM(AG15:AG21)</f>
        <v>351580.45027958369</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2695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2696</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2303</v>
      </c>
      <c r="C27" s="1218">
        <v>1.0349999999999999</v>
      </c>
      <c r="E27" s="151">
        <f>Application!AC888</f>
        <v>5000</v>
      </c>
      <c r="F27" s="151"/>
      <c r="G27" s="151">
        <f>E27*$C$27</f>
        <v>5175</v>
      </c>
      <c r="H27" s="151"/>
      <c r="I27" s="151">
        <f>G27*$C$27</f>
        <v>5356.125</v>
      </c>
      <c r="J27" s="151"/>
      <c r="K27" s="151">
        <f>I27*$C$27</f>
        <v>5543.5893749999996</v>
      </c>
      <c r="L27" s="151"/>
      <c r="M27" s="151">
        <f>K27*$C$27</f>
        <v>5737.615003124999</v>
      </c>
      <c r="N27" s="151"/>
      <c r="O27" s="151">
        <f>M27*$C$27</f>
        <v>5938.4315282343732</v>
      </c>
      <c r="P27" s="151"/>
      <c r="Q27" s="151">
        <f>O27*$C$27</f>
        <v>6146.276631722576</v>
      </c>
      <c r="R27" s="151"/>
      <c r="S27" s="151">
        <f>Q27*$C$27</f>
        <v>6361.3963138328654</v>
      </c>
      <c r="T27" s="151"/>
      <c r="U27" s="151">
        <f>S27*$C$27</f>
        <v>6584.0451848170151</v>
      </c>
      <c r="V27" s="151"/>
      <c r="W27" s="151">
        <f>U27*$C$27</f>
        <v>6814.4867662856104</v>
      </c>
      <c r="X27" s="151"/>
      <c r="Y27" s="151">
        <f>W27*$C$27</f>
        <v>7052.9938031056063</v>
      </c>
      <c r="Z27" s="151"/>
      <c r="AA27" s="151">
        <f>Y27*$C$27</f>
        <v>7299.8485862143016</v>
      </c>
      <c r="AB27" s="151"/>
      <c r="AC27" s="151">
        <f>AA27*$C$27</f>
        <v>7555.3432867318015</v>
      </c>
      <c r="AD27" s="151"/>
      <c r="AE27" s="151">
        <f>AC27*$C$27</f>
        <v>7819.7803017674141</v>
      </c>
      <c r="AF27" s="151"/>
      <c r="AG27" s="151">
        <f>AE27*$C$27</f>
        <v>8093.472612329273</v>
      </c>
    </row>
    <row r="28" spans="1:33" s="140" customFormat="1" ht="14.25">
      <c r="A28" s="140" t="s">
        <v>2697</v>
      </c>
      <c r="C28" s="1218"/>
      <c r="E28" s="151">
        <f>Application!AC889</f>
        <v>18000</v>
      </c>
      <c r="F28" s="151"/>
      <c r="G28" s="151">
        <f>$E$28</f>
        <v>18000</v>
      </c>
      <c r="H28" s="151"/>
      <c r="I28" s="151">
        <f>$E$28</f>
        <v>18000</v>
      </c>
      <c r="J28" s="151"/>
      <c r="K28" s="151">
        <f>$E$28</f>
        <v>18000</v>
      </c>
      <c r="L28" s="151"/>
      <c r="M28" s="151">
        <f>$E$28</f>
        <v>18000</v>
      </c>
      <c r="N28" s="151"/>
      <c r="O28" s="151">
        <f>$E$28</f>
        <v>18000</v>
      </c>
      <c r="P28" s="151"/>
      <c r="Q28" s="151">
        <f>$E$28</f>
        <v>18000</v>
      </c>
      <c r="R28" s="151"/>
      <c r="S28" s="151">
        <f>$E$28</f>
        <v>18000</v>
      </c>
      <c r="T28" s="151"/>
      <c r="U28" s="151">
        <f>$E$28</f>
        <v>18000</v>
      </c>
      <c r="V28" s="151"/>
      <c r="W28" s="151">
        <f>$E$28</f>
        <v>18000</v>
      </c>
      <c r="X28" s="151"/>
      <c r="Y28" s="151">
        <f>$E$28</f>
        <v>18000</v>
      </c>
      <c r="Z28" s="151"/>
      <c r="AA28" s="151">
        <f>$E$28</f>
        <v>18000</v>
      </c>
      <c r="AB28" s="151"/>
      <c r="AC28" s="151">
        <f>$E$28</f>
        <v>18000</v>
      </c>
      <c r="AD28" s="151"/>
      <c r="AE28" s="151">
        <f>$E$28</f>
        <v>18000</v>
      </c>
      <c r="AF28" s="151"/>
      <c r="AG28" s="151">
        <f>$E$28</f>
        <v>18000</v>
      </c>
    </row>
    <row r="29" spans="1:33" s="140" customFormat="1" ht="14.25">
      <c r="A29" s="140" t="s">
        <v>2698</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2699</v>
      </c>
      <c r="C30" s="1218">
        <v>1.02</v>
      </c>
      <c r="E30" s="151">
        <f>Application!AC891</f>
        <v>1500</v>
      </c>
      <c r="F30" s="151"/>
      <c r="G30" s="151">
        <f>E30*$C$30</f>
        <v>1530</v>
      </c>
      <c r="H30" s="151"/>
      <c r="I30" s="151">
        <f>G30*$C$30</f>
        <v>1560.6000000000001</v>
      </c>
      <c r="J30" s="151"/>
      <c r="K30" s="151">
        <f>I30*$C$30</f>
        <v>1591.8120000000001</v>
      </c>
      <c r="L30" s="151"/>
      <c r="M30" s="151">
        <f>K30*$C$30</f>
        <v>1623.6482400000002</v>
      </c>
      <c r="N30" s="151"/>
      <c r="O30" s="151">
        <f>M30*$C$30</f>
        <v>1656.1212048000002</v>
      </c>
      <c r="P30" s="151"/>
      <c r="Q30" s="151">
        <f>O30*$C$30</f>
        <v>1689.2436288960002</v>
      </c>
      <c r="R30" s="151"/>
      <c r="S30" s="151">
        <f>Q30*$C$30</f>
        <v>1723.0285014739202</v>
      </c>
      <c r="T30" s="151"/>
      <c r="U30" s="151">
        <f>S30*$C$30</f>
        <v>1757.4890715033987</v>
      </c>
      <c r="V30" s="151"/>
      <c r="W30" s="151">
        <f>U30*$C$30</f>
        <v>1792.6388529334668</v>
      </c>
      <c r="X30" s="151"/>
      <c r="Y30" s="151">
        <f>W30*$C$30</f>
        <v>1828.491629992136</v>
      </c>
      <c r="Z30" s="151"/>
      <c r="AA30" s="151">
        <f>Y30*$C$30</f>
        <v>1865.0614625919789</v>
      </c>
      <c r="AB30" s="151"/>
      <c r="AC30" s="151">
        <f>AA30*$C$30</f>
        <v>1902.3626918438185</v>
      </c>
      <c r="AD30" s="151"/>
      <c r="AE30" s="151">
        <f>AC30*$C$30</f>
        <v>1940.409945680695</v>
      </c>
      <c r="AF30" s="151"/>
      <c r="AG30" s="151">
        <f>AE30*$C$30</f>
        <v>1979.218144594309</v>
      </c>
    </row>
    <row r="31" spans="1:33" s="140" customFormat="1" ht="14.25">
      <c r="A31" s="140" t="s">
        <v>2700</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1559</v>
      </c>
      <c r="C35" s="153"/>
      <c r="E35" s="152">
        <f>SUM(E22:E33)</f>
        <v>241700</v>
      </c>
      <c r="G35" s="152">
        <f>SUM(G22:G33)</f>
        <v>249506.99999999997</v>
      </c>
      <c r="I35" s="152">
        <f>SUM(I22:I33)</f>
        <v>257586.79499999995</v>
      </c>
      <c r="K35" s="152">
        <f>SUM(K22:K33)</f>
        <v>265948.92382500001</v>
      </c>
      <c r="M35" s="152">
        <f>SUM(M22:M33)</f>
        <v>274603.258978875</v>
      </c>
      <c r="O35" s="152">
        <f>SUM(O22:O33)</f>
        <v>283560.01831953553</v>
      </c>
      <c r="Q35" s="152">
        <f>SUM(Q22:Q33)</f>
        <v>292829.7771426473</v>
      </c>
      <c r="S35" s="152">
        <f>SUM(S22:S33)</f>
        <v>302423.4806882065</v>
      </c>
      <c r="U35" s="152">
        <f>SUM(U22:U33)</f>
        <v>312352.45708477154</v>
      </c>
      <c r="W35" s="152">
        <f>SUM(W22:W33)</f>
        <v>322628.43074666604</v>
      </c>
      <c r="Y35" s="152">
        <f>SUM(Y22:Y33)</f>
        <v>333263.53624000534</v>
      </c>
      <c r="AA35" s="152">
        <f>SUM(AA22:AA33)</f>
        <v>344270.33263395552</v>
      </c>
      <c r="AC35" s="152">
        <f>SUM(AC22:AC33)</f>
        <v>355661.81835420505</v>
      </c>
      <c r="AE35" s="152">
        <f>SUM(AE22:AE33)</f>
        <v>367451.44655622455</v>
      </c>
      <c r="AG35" s="152">
        <f>SUM(AG22:AG33)</f>
        <v>379653.14103650727</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2701</v>
      </c>
      <c r="C37" s="153"/>
      <c r="E37" s="152">
        <f>E11-E35</f>
        <v>184261</v>
      </c>
      <c r="G37" s="152">
        <f>G11-G35</f>
        <v>187103.02499999994</v>
      </c>
      <c r="I37" s="152">
        <f>I11-I35</f>
        <v>189938.48062499994</v>
      </c>
      <c r="K37" s="152">
        <f>K11-K35</f>
        <v>192764.48369062488</v>
      </c>
      <c r="M37" s="152">
        <f>M11-M35</f>
        <v>195577.98372464045</v>
      </c>
      <c r="O37" s="152">
        <f>O11-O35</f>
        <v>198375.75545156776</v>
      </c>
      <c r="Q37" s="152">
        <f>Q11-Q35</f>
        <v>201154.39097273356</v>
      </c>
      <c r="S37" s="152">
        <f>S11-S35</f>
        <v>203910.29163005878</v>
      </c>
      <c r="U37" s="152">
        <f>U11-U35</f>
        <v>206639.65954145032</v>
      </c>
      <c r="W37" s="152">
        <f>W11-W35</f>
        <v>209338.48879521142</v>
      </c>
      <c r="Y37" s="152">
        <f>Y11-Y35</f>
        <v>212002.5562904189</v>
      </c>
      <c r="AA37" s="152">
        <f>AA11-AA35</f>
        <v>214627.41220972931</v>
      </c>
      <c r="AC37" s="152">
        <f>AC11-AC35</f>
        <v>217208.37011057179</v>
      </c>
      <c r="AE37" s="152">
        <f>AE11-AE35</f>
        <v>219740.49662017176</v>
      </c>
      <c r="AG37" s="152">
        <f>AG11-AG35</f>
        <v>222218.60071929876</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Banc of California</v>
      </c>
      <c r="B40" s="155"/>
      <c r="C40" s="149"/>
      <c r="E40" s="151">
        <f>Application!AF627</f>
        <v>156601</v>
      </c>
      <c r="F40" s="151"/>
      <c r="G40" s="151">
        <f>$E$40</f>
        <v>156601</v>
      </c>
      <c r="H40" s="151"/>
      <c r="I40" s="151">
        <f>$E$40</f>
        <v>156601</v>
      </c>
      <c r="J40" s="151"/>
      <c r="K40" s="151">
        <f>$E$40</f>
        <v>156601</v>
      </c>
      <c r="L40" s="151"/>
      <c r="M40" s="151">
        <f>$E$40</f>
        <v>156601</v>
      </c>
      <c r="N40" s="151"/>
      <c r="O40" s="151">
        <f>$E$40</f>
        <v>156601</v>
      </c>
      <c r="P40" s="151"/>
      <c r="Q40" s="151">
        <f>$E$40</f>
        <v>156601</v>
      </c>
      <c r="R40" s="151"/>
      <c r="S40" s="151">
        <f>$E$40</f>
        <v>156601</v>
      </c>
      <c r="T40" s="151"/>
      <c r="U40" s="151">
        <f>$E$40</f>
        <v>156601</v>
      </c>
      <c r="V40" s="151"/>
      <c r="W40" s="151">
        <f>$E$40</f>
        <v>156601</v>
      </c>
      <c r="X40" s="151"/>
      <c r="Y40" s="151">
        <f>$E$40</f>
        <v>156601</v>
      </c>
      <c r="Z40" s="151"/>
      <c r="AA40" s="151">
        <f>$E$40</f>
        <v>156601</v>
      </c>
      <c r="AB40" s="151"/>
      <c r="AC40" s="151">
        <f>$E$40</f>
        <v>156601</v>
      </c>
      <c r="AD40" s="151"/>
      <c r="AE40" s="151">
        <f>$E$40</f>
        <v>156601</v>
      </c>
      <c r="AF40" s="151"/>
      <c r="AG40" s="151">
        <f>$E$40</f>
        <v>156601</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2703</v>
      </c>
      <c r="C43" s="153"/>
      <c r="E43" s="152">
        <f>SUM(E40:E42)</f>
        <v>156601</v>
      </c>
      <c r="G43" s="152">
        <f>SUM(G40:G42)</f>
        <v>156601</v>
      </c>
      <c r="I43" s="152">
        <f>SUM(I40:I42)</f>
        <v>156601</v>
      </c>
      <c r="K43" s="152">
        <f>SUM(K40:K42)</f>
        <v>156601</v>
      </c>
      <c r="M43" s="152">
        <f>SUM(M40:M42)</f>
        <v>156601</v>
      </c>
      <c r="O43" s="152">
        <f>SUM(O40:O42)</f>
        <v>156601</v>
      </c>
      <c r="Q43" s="152">
        <f>SUM(Q40:Q42)</f>
        <v>156601</v>
      </c>
      <c r="S43" s="152">
        <f>SUM(S40:S42)</f>
        <v>156601</v>
      </c>
      <c r="U43" s="152">
        <f>SUM(U40:U42)</f>
        <v>156601</v>
      </c>
      <c r="W43" s="152">
        <f>SUM(W40:W42)</f>
        <v>156601</v>
      </c>
      <c r="Y43" s="152">
        <f>SUM(Y40:Y42)</f>
        <v>156601</v>
      </c>
      <c r="AA43" s="152">
        <f>SUM(AA40:AA42)</f>
        <v>156601</v>
      </c>
      <c r="AC43" s="152">
        <f>SUM(AC40:AC42)</f>
        <v>156601</v>
      </c>
      <c r="AE43" s="152">
        <f>SUM(AE40:AE42)</f>
        <v>156601</v>
      </c>
      <c r="AG43" s="152">
        <f>SUM(AG40:AG42)</f>
        <v>156601</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2704</v>
      </c>
      <c r="C45" s="153"/>
      <c r="E45" s="152">
        <f>E37-E43</f>
        <v>27660</v>
      </c>
      <c r="G45" s="152">
        <f>G37-G43</f>
        <v>30502.024999999936</v>
      </c>
      <c r="I45" s="152">
        <f>I37-I43</f>
        <v>33337.480624999938</v>
      </c>
      <c r="K45" s="152">
        <f>K37-K43</f>
        <v>36163.483690624882</v>
      </c>
      <c r="M45" s="152">
        <f>M37-M43</f>
        <v>38976.98372464045</v>
      </c>
      <c r="O45" s="152">
        <f>O37-O43</f>
        <v>41774.755451567762</v>
      </c>
      <c r="Q45" s="152">
        <f>Q37-Q43</f>
        <v>44553.390972733556</v>
      </c>
      <c r="S45" s="152">
        <f>S37-S43</f>
        <v>47309.291630058782</v>
      </c>
      <c r="U45" s="152">
        <f>U37-U43</f>
        <v>50038.659541450324</v>
      </c>
      <c r="W45" s="152">
        <f>W37-W43</f>
        <v>52737.488795211422</v>
      </c>
      <c r="Y45" s="152">
        <f>Y37-Y43</f>
        <v>55401.556290418899</v>
      </c>
      <c r="AA45" s="152">
        <f>AA37-AA43</f>
        <v>58026.412209729315</v>
      </c>
      <c r="AC45" s="152">
        <f>AC37-AC43</f>
        <v>60607.370110571792</v>
      </c>
      <c r="AE45" s="152">
        <f>AE37-AE43</f>
        <v>63139.496620171762</v>
      </c>
      <c r="AG45" s="152">
        <f>AG37-AG43</f>
        <v>65617.60071929876</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2705</v>
      </c>
      <c r="C47" s="149"/>
      <c r="E47" s="156">
        <f>E45/(E4+E6+E8)</f>
        <v>6.168874615281681E-2</v>
      </c>
      <c r="G47" s="156">
        <f>G45/(G4+G6+G8)</f>
        <v>6.6367976204852241E-2</v>
      </c>
      <c r="I47" s="156">
        <f>I45/(I4+I6+I8)</f>
        <v>7.0768308112921119E-2</v>
      </c>
      <c r="K47" s="156">
        <f>K45/(K4+K6+K8)</f>
        <v>7.4894932093135774E-2</v>
      </c>
      <c r="M47" s="156">
        <f>M45/(M4+M6+M8)</f>
        <v>7.8752896065140229E-2</v>
      </c>
      <c r="O47" s="156">
        <f>O45/(O4+O6+O8)</f>
        <v>8.2347108969417063E-2</v>
      </c>
      <c r="Q47" s="156">
        <f>Q45/(Q4+Q6+Q8)</f>
        <v>8.5682344002188299E-2</v>
      </c>
      <c r="S47" s="156">
        <f>S45/(S4+S6+S8)</f>
        <v>8.8763241769908227E-2</v>
      </c>
      <c r="U47" s="156">
        <f>U45/(U4+U6+U8)</f>
        <v>9.1594313365290989E-2</v>
      </c>
      <c r="W47" s="156">
        <f>W45/(W4+W6+W8)</f>
        <v>9.417994336677328E-2</v>
      </c>
      <c r="Y47" s="156">
        <f>Y45/(Y4+Y6+Y8)</f>
        <v>9.6524392763265895E-2</v>
      </c>
      <c r="AA47" s="156">
        <f>AA45/(AA4+AA6+AA8)</f>
        <v>9.8631801806000313E-2</v>
      </c>
      <c r="AC47" s="156">
        <f>AC45/(AC4+AC6+AC8)</f>
        <v>0.10050619278922969</v>
      </c>
      <c r="AE47" s="156">
        <f>AE45/(AE4+AE6+AE8)</f>
        <v>0.10215147276151239</v>
      </c>
      <c r="AG47" s="156">
        <f>AG45/(AG4+AG6+AG8)</f>
        <v>0.10357143616924507</v>
      </c>
    </row>
    <row r="48" spans="1:33" s="156" customFormat="1" ht="14.25">
      <c r="A48" s="156" t="s">
        <v>2706</v>
      </c>
      <c r="C48" s="149"/>
      <c r="E48" s="156">
        <f>E45/E43</f>
        <v>0.17662722460265259</v>
      </c>
      <c r="G48" s="156">
        <f>G45/G43</f>
        <v>0.1947754165043642</v>
      </c>
      <c r="I48" s="156">
        <f>I45/I43</f>
        <v>0.21288165864202616</v>
      </c>
      <c r="K48" s="156">
        <f>K45/K43</f>
        <v>0.23092753999415638</v>
      </c>
      <c r="M48" s="156">
        <f>M45/M43</f>
        <v>0.24889358129667402</v>
      </c>
      <c r="O48" s="156">
        <f>O45/O43</f>
        <v>0.2667591870522395</v>
      </c>
      <c r="Q48" s="156">
        <f>Q45/Q43</f>
        <v>0.28450259559475072</v>
      </c>
      <c r="S48" s="156">
        <f>S45/S43</f>
        <v>0.3021008271343017</v>
      </c>
      <c r="U48" s="156">
        <f>U45/U43</f>
        <v>0.31952962970511251</v>
      </c>
      <c r="W48" s="156">
        <f>W45/W43</f>
        <v>0.33676342293606953</v>
      </c>
      <c r="Y48" s="156">
        <f>Y45/Y43</f>
        <v>0.3537752395605322</v>
      </c>
      <c r="AA48" s="156">
        <f>AA45/AA43</f>
        <v>0.37053666457895745</v>
      </c>
      <c r="AC48" s="156">
        <f>AC45/AC43</f>
        <v>0.38701777198467308</v>
      </c>
      <c r="AE48" s="156">
        <f>AE45/AE43</f>
        <v>0.40318705895985185</v>
      </c>
      <c r="AG48" s="156">
        <f>AG45/AG43</f>
        <v>0.4190113774452191</v>
      </c>
    </row>
    <row r="49" spans="1:34" s="157" customFormat="1" ht="14.25">
      <c r="A49" s="157" t="s">
        <v>2258</v>
      </c>
      <c r="C49" s="158"/>
      <c r="E49" s="157">
        <f>E37/E43</f>
        <v>1.1766272246026526</v>
      </c>
      <c r="G49" s="157">
        <f>G37/G43</f>
        <v>1.1947754165043643</v>
      </c>
      <c r="I49" s="157">
        <f>I37/I43</f>
        <v>1.2128816586420261</v>
      </c>
      <c r="K49" s="157">
        <f>K37/K43</f>
        <v>1.2309275399941564</v>
      </c>
      <c r="M49" s="157">
        <f>M37/M43</f>
        <v>1.2488935812966739</v>
      </c>
      <c r="O49" s="157">
        <f>O37/O43</f>
        <v>1.2667591870522394</v>
      </c>
      <c r="Q49" s="157">
        <f>Q37/Q43</f>
        <v>1.2845025955947507</v>
      </c>
      <c r="S49" s="157">
        <f>S37/S43</f>
        <v>1.3021008271343018</v>
      </c>
      <c r="U49" s="157">
        <f>U37/U43</f>
        <v>1.3195296297051125</v>
      </c>
      <c r="W49" s="157">
        <f>W37/W43</f>
        <v>1.3367634229360694</v>
      </c>
      <c r="Y49" s="157">
        <f>Y37/Y43</f>
        <v>1.3537752395605323</v>
      </c>
      <c r="AA49" s="157">
        <f>AA37/AA43</f>
        <v>1.3705366645789574</v>
      </c>
      <c r="AC49" s="157">
        <f>AC37/AC43</f>
        <v>1.387017771984673</v>
      </c>
      <c r="AE49" s="157">
        <f>AE37/AE43</f>
        <v>1.4031870589598519</v>
      </c>
      <c r="AG49" s="157">
        <f>AG37/AG43</f>
        <v>1.4190113774452191</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2707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1028</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2029</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2708</v>
      </c>
      <c r="C54" s="852"/>
      <c r="E54" s="859">
        <v>7500</v>
      </c>
      <c r="F54" s="854"/>
      <c r="G54" s="854">
        <f>E54*1.03</f>
        <v>7725</v>
      </c>
      <c r="H54" s="854"/>
      <c r="I54" s="854">
        <f>G54*1.03</f>
        <v>7956.75</v>
      </c>
      <c r="J54" s="854"/>
      <c r="K54" s="854">
        <f>I54*1.03</f>
        <v>8195.4524999999994</v>
      </c>
      <c r="L54" s="854"/>
      <c r="M54" s="854">
        <f>K54*1.03</f>
        <v>8441.3160749999988</v>
      </c>
      <c r="N54" s="854"/>
      <c r="O54" s="854">
        <f>M54*1.03</f>
        <v>8694.5555572499998</v>
      </c>
      <c r="P54" s="854"/>
      <c r="Q54" s="854">
        <f>O54*1.03</f>
        <v>8955.3922239674994</v>
      </c>
      <c r="R54" s="854"/>
      <c r="S54" s="854">
        <f>Q54*1.03</f>
        <v>9224.0539906865251</v>
      </c>
      <c r="T54" s="854"/>
      <c r="U54" s="854">
        <f>S54*1.03</f>
        <v>9500.7756104071213</v>
      </c>
      <c r="V54" s="854"/>
      <c r="W54" s="854">
        <f>U54*1.03</f>
        <v>9785.7988787193353</v>
      </c>
      <c r="X54" s="854"/>
      <c r="Y54" s="854">
        <f>W54*1.03</f>
        <v>10079.372845080916</v>
      </c>
      <c r="Z54" s="854"/>
      <c r="AA54" s="854">
        <f>Y54*1.03</f>
        <v>10381.754030433343</v>
      </c>
      <c r="AB54" s="854"/>
      <c r="AC54" s="854">
        <f>AA54*1.03</f>
        <v>10693.206651346343</v>
      </c>
      <c r="AD54" s="854"/>
      <c r="AE54" s="854">
        <f>AC54*1.03</f>
        <v>11014.002850886734</v>
      </c>
      <c r="AF54" s="854"/>
      <c r="AG54" s="854">
        <f>AE54*1.03</f>
        <v>11344.422936413337</v>
      </c>
      <c r="AH54" s="854"/>
    </row>
    <row r="55" spans="1:34" s="3" customFormat="1">
      <c r="A55" s="3" t="s">
        <v>2709</v>
      </c>
      <c r="C55" s="852"/>
      <c r="E55" s="859"/>
      <c r="F55" s="854"/>
      <c r="G55" s="854">
        <f t="shared" ref="G55:AG57" si="1">E55*$C$53</f>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2710</v>
      </c>
      <c r="C58" s="855"/>
      <c r="E58" s="854">
        <f>SUM(E53:E57)</f>
        <v>7500</v>
      </c>
      <c r="F58" s="854"/>
      <c r="G58" s="854">
        <f>SUM(G53:G57)</f>
        <v>7725</v>
      </c>
      <c r="H58" s="854"/>
      <c r="I58" s="854">
        <f>SUM(I53:I57)</f>
        <v>7956.75</v>
      </c>
      <c r="J58" s="854"/>
      <c r="K58" s="854">
        <f>SUM(K53:K57)</f>
        <v>8195.4524999999994</v>
      </c>
      <c r="L58" s="854"/>
      <c r="M58" s="854">
        <f>SUM(M53:M57)</f>
        <v>8441.3160749999988</v>
      </c>
      <c r="N58" s="854"/>
      <c r="O58" s="854">
        <f>SUM(O53:O57)</f>
        <v>8694.5555572499998</v>
      </c>
      <c r="P58" s="854"/>
      <c r="Q58" s="854">
        <f>SUM(Q53:Q57)</f>
        <v>8955.3922239674994</v>
      </c>
      <c r="R58" s="854"/>
      <c r="S58" s="854">
        <f>SUM(S53:S57)</f>
        <v>9224.0539906865251</v>
      </c>
      <c r="T58" s="854"/>
      <c r="U58" s="854">
        <f>SUM(U53:U57)</f>
        <v>9500.7756104071213</v>
      </c>
      <c r="V58" s="854"/>
      <c r="W58" s="854">
        <f>SUM(W53:W57)</f>
        <v>9785.7988787193353</v>
      </c>
      <c r="X58" s="854"/>
      <c r="Y58" s="854">
        <f>SUM(Y53:Y57)</f>
        <v>10079.372845080916</v>
      </c>
      <c r="Z58" s="854"/>
      <c r="AA58" s="854">
        <f>SUM(AA53:AA57)</f>
        <v>10381.754030433343</v>
      </c>
      <c r="AB58" s="854"/>
      <c r="AC58" s="854">
        <f>SUM(AC53:AC57)</f>
        <v>10693.206651346343</v>
      </c>
      <c r="AD58" s="854"/>
      <c r="AE58" s="854">
        <f>SUM(AE53:AE57)</f>
        <v>11014.002850886734</v>
      </c>
      <c r="AF58" s="854"/>
      <c r="AG58" s="854">
        <f>SUM(AG53:AG57)</f>
        <v>11344.422936413337</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2711</v>
      </c>
      <c r="C60" s="863"/>
      <c r="E60" s="856">
        <f>E45-E58</f>
        <v>20160</v>
      </c>
      <c r="G60" s="856">
        <f>G45-G58</f>
        <v>22777.024999999936</v>
      </c>
      <c r="I60" s="856">
        <f>I45-I58</f>
        <v>25380.730624999938</v>
      </c>
      <c r="K60" s="856">
        <f>K45-K58</f>
        <v>27968.031190624883</v>
      </c>
      <c r="M60" s="856">
        <f>M45-M58</f>
        <v>30535.667649640451</v>
      </c>
      <c r="O60" s="856">
        <f>O45-O58</f>
        <v>33080.19989431776</v>
      </c>
      <c r="Q60" s="856">
        <f>Q45-Q58</f>
        <v>35597.998748766055</v>
      </c>
      <c r="S60" s="856">
        <f>S45-S58</f>
        <v>38085.237639372259</v>
      </c>
      <c r="U60" s="856">
        <f>U45-U58</f>
        <v>40537.883931043201</v>
      </c>
      <c r="W60" s="856">
        <f>W45-W58</f>
        <v>42951.689916492091</v>
      </c>
      <c r="Y60" s="856">
        <f>Y45-Y58</f>
        <v>45322.183445337985</v>
      </c>
      <c r="AA60" s="856">
        <f>AA45-AA58</f>
        <v>47644.65817929597</v>
      </c>
      <c r="AC60" s="856">
        <f>AC45-AC58</f>
        <v>49914.163459225449</v>
      </c>
      <c r="AE60" s="856">
        <f>AE45-AE58</f>
        <v>52125.493769285029</v>
      </c>
      <c r="AG60" s="856">
        <f>AG45-AG58</f>
        <v>54273.177782885425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2712</v>
      </c>
      <c r="C62" s="853">
        <v>0</v>
      </c>
      <c r="E62" s="858">
        <f>E60*$C$62</f>
        <v>0</v>
      </c>
      <c r="G62" s="856">
        <f>G60*$C$62</f>
        <v>0</v>
      </c>
      <c r="I62" s="856">
        <f>I60*$C$62</f>
        <v>0</v>
      </c>
      <c r="K62" s="856">
        <f>K60*$C$62</f>
        <v>0</v>
      </c>
      <c r="M62" s="856">
        <f>M60*$C$62</f>
        <v>0</v>
      </c>
      <c r="O62" s="856">
        <f>O60*$C$62</f>
        <v>0</v>
      </c>
      <c r="Q62" s="856">
        <f>Q60*$C$62</f>
        <v>0</v>
      </c>
      <c r="S62" s="856">
        <f>S60*$C$62</f>
        <v>0</v>
      </c>
      <c r="U62" s="856">
        <f>U60*$C$62</f>
        <v>0</v>
      </c>
      <c r="W62" s="856">
        <f>W60*$C$62</f>
        <v>0</v>
      </c>
      <c r="Y62" s="856">
        <f>Y60*$C$62</f>
        <v>0</v>
      </c>
      <c r="AA62" s="856">
        <f>AA60*$C$62</f>
        <v>0</v>
      </c>
      <c r="AC62" s="856">
        <f>AC60*$C$62</f>
        <v>0</v>
      </c>
      <c r="AE62" s="856">
        <f>AE60*$C$62</f>
        <v>0</v>
      </c>
      <c r="AG62" s="856">
        <f>AG60*$C$62</f>
        <v>0</v>
      </c>
    </row>
    <row r="63" spans="1:34" s="856" customFormat="1">
      <c r="A63" s="2620" t="s">
        <v>1028</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2713</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
        <v>2714</v>
      </c>
      <c r="B66" s="858"/>
      <c r="C66" s="853">
        <v>0.25</v>
      </c>
      <c r="E66" s="858">
        <f>$E60*$C$65</f>
        <v>5040</v>
      </c>
      <c r="G66" s="854">
        <f>G60*$C$65</f>
        <v>5694.256249999984</v>
      </c>
      <c r="I66" s="854">
        <f>I60*$C$65</f>
        <v>6345.1826562499846</v>
      </c>
      <c r="K66" s="854">
        <f>K60*$C$65</f>
        <v>6992.0077976562206</v>
      </c>
      <c r="M66" s="854">
        <f>M60*$C$65</f>
        <v>7633.9169124101127</v>
      </c>
      <c r="O66" s="854">
        <f>O60*$C$65</f>
        <v>8270.0499735794401</v>
      </c>
      <c r="Q66" s="854">
        <f>Q60*$C$65</f>
        <v>8899.4996871915137</v>
      </c>
      <c r="S66" s="854">
        <f>S60*$C$65</f>
        <v>9521.3094098430647</v>
      </c>
      <c r="U66" s="854">
        <f>U60*$C$65</f>
        <v>10134.4709827608</v>
      </c>
      <c r="W66" s="854">
        <f>W60*$C$65</f>
        <v>10737.922479123023</v>
      </c>
      <c r="Y66" s="854">
        <f>Y60*$C$65</f>
        <v>11330.545861334496</v>
      </c>
      <c r="AA66" s="854">
        <f>AA60*$C$65</f>
        <v>11911.164544823992</v>
      </c>
      <c r="AC66" s="854">
        <f>AC60*$C$65</f>
        <v>12478.540864806362</v>
      </c>
      <c r="AE66" s="854">
        <f>AE60*$C$65</f>
        <v>13031.373442321257</v>
      </c>
      <c r="AG66" s="854">
        <f>AG60*$C$65</f>
        <v>13568.294445721356</v>
      </c>
    </row>
    <row r="67" spans="1:34" s="854" customFormat="1">
      <c r="A67" s="858" t="s">
        <v>2715</v>
      </c>
      <c r="B67" s="859"/>
      <c r="C67" s="853">
        <v>0.25</v>
      </c>
      <c r="E67" s="858">
        <f>$E60*$C$65</f>
        <v>5040</v>
      </c>
      <c r="G67" s="854">
        <f>G60*$C$65</f>
        <v>5694.256249999984</v>
      </c>
      <c r="I67" s="854">
        <f>I60*$C$65</f>
        <v>6345.1826562499846</v>
      </c>
      <c r="K67" s="854">
        <f>K60*$C$65</f>
        <v>6992.0077976562206</v>
      </c>
      <c r="M67" s="854">
        <f>M60*$C$65</f>
        <v>7633.9169124101127</v>
      </c>
      <c r="O67" s="854">
        <f>O60*$C$65</f>
        <v>8270.0499735794401</v>
      </c>
      <c r="Q67" s="854">
        <f>Q60*$C$65</f>
        <v>8899.4996871915137</v>
      </c>
      <c r="S67" s="854">
        <f>S60*$C$65</f>
        <v>9521.3094098430647</v>
      </c>
      <c r="U67" s="854">
        <f>U60*$C$65</f>
        <v>10134.4709827608</v>
      </c>
      <c r="W67" s="854">
        <f>W60*$C$65</f>
        <v>10737.922479123023</v>
      </c>
      <c r="Y67" s="854">
        <f>Y60*$C$65</f>
        <v>11330.545861334496</v>
      </c>
      <c r="AA67" s="854">
        <f>AA60*$C$65</f>
        <v>11911.164544823992</v>
      </c>
      <c r="AC67" s="854">
        <f>AC60*$C$65</f>
        <v>12478.540864806362</v>
      </c>
      <c r="AE67" s="854">
        <f>AE60*$C$65</f>
        <v>13031.373442321257</v>
      </c>
      <c r="AG67" s="854">
        <f>AG60*$C$65</f>
        <v>13568.294445721356</v>
      </c>
    </row>
    <row r="68" spans="1:34" s="854" customFormat="1">
      <c r="A68" s="858" t="s">
        <v>2716</v>
      </c>
      <c r="B68" s="859"/>
      <c r="C68" s="853">
        <v>0.25</v>
      </c>
      <c r="E68" s="858">
        <f>$E60*$C$65</f>
        <v>5040</v>
      </c>
      <c r="G68" s="854">
        <f t="shared" ref="G68:AG69" si="2">E68*$C$66</f>
        <v>1260</v>
      </c>
      <c r="I68" s="854">
        <f t="shared" si="2"/>
        <v>315</v>
      </c>
      <c r="K68" s="854">
        <f t="shared" si="2"/>
        <v>78.75</v>
      </c>
      <c r="M68" s="854">
        <f t="shared" si="2"/>
        <v>19.6875</v>
      </c>
      <c r="O68" s="854">
        <f t="shared" si="2"/>
        <v>4.921875</v>
      </c>
      <c r="Q68" s="854">
        <f t="shared" si="2"/>
        <v>1.23046875</v>
      </c>
      <c r="S68" s="854">
        <f t="shared" si="2"/>
        <v>0.3076171875</v>
      </c>
      <c r="U68" s="854">
        <f t="shared" si="2"/>
        <v>7.6904296875E-2</v>
      </c>
      <c r="W68" s="854">
        <f t="shared" si="2"/>
        <v>1.922607421875E-2</v>
      </c>
      <c r="Y68" s="854">
        <f t="shared" si="2"/>
        <v>4.8065185546875E-3</v>
      </c>
      <c r="AA68" s="854">
        <f t="shared" si="2"/>
        <v>1.201629638671875E-3</v>
      </c>
      <c r="AC68" s="854">
        <f t="shared" si="2"/>
        <v>3.0040740966796875E-4</v>
      </c>
      <c r="AE68" s="854">
        <f t="shared" si="2"/>
        <v>7.5101852416992188E-5</v>
      </c>
      <c r="AG68" s="854">
        <f t="shared" si="2"/>
        <v>1.8775463104248047E-5</v>
      </c>
    </row>
    <row r="69" spans="1:34" s="854" customFormat="1">
      <c r="A69" s="859" t="s">
        <v>2717</v>
      </c>
      <c r="B69" s="859"/>
      <c r="C69" s="864"/>
      <c r="E69" s="858">
        <f>$E60*$C$65</f>
        <v>5040</v>
      </c>
      <c r="G69" s="862">
        <f t="shared" si="2"/>
        <v>1260</v>
      </c>
      <c r="I69" s="862">
        <f t="shared" si="2"/>
        <v>315</v>
      </c>
      <c r="K69" s="862">
        <f t="shared" si="2"/>
        <v>78.75</v>
      </c>
      <c r="M69" s="862">
        <f t="shared" si="2"/>
        <v>19.6875</v>
      </c>
      <c r="O69" s="862">
        <f t="shared" si="2"/>
        <v>4.921875</v>
      </c>
      <c r="Q69" s="862">
        <f t="shared" si="2"/>
        <v>1.23046875</v>
      </c>
      <c r="S69" s="862">
        <f t="shared" si="2"/>
        <v>0.3076171875</v>
      </c>
      <c r="U69" s="862">
        <f t="shared" si="2"/>
        <v>7.6904296875E-2</v>
      </c>
      <c r="W69" s="862">
        <f t="shared" si="2"/>
        <v>1.922607421875E-2</v>
      </c>
      <c r="Y69" s="862">
        <f t="shared" si="2"/>
        <v>4.8065185546875E-3</v>
      </c>
      <c r="AA69" s="862">
        <f t="shared" si="2"/>
        <v>1.201629638671875E-3</v>
      </c>
      <c r="AC69" s="862">
        <f t="shared" si="2"/>
        <v>3.0040740966796875E-4</v>
      </c>
      <c r="AE69" s="862">
        <f t="shared" si="2"/>
        <v>7.5101852416992188E-5</v>
      </c>
      <c r="AG69" s="862">
        <f t="shared" si="2"/>
        <v>1.8775463104248047E-5</v>
      </c>
    </row>
    <row r="70" spans="1:34" s="854" customFormat="1">
      <c r="A70" s="856" t="s">
        <v>2710</v>
      </c>
      <c r="C70" s="864"/>
      <c r="E70" s="854">
        <f>SUM(E66:E69)</f>
        <v>20160</v>
      </c>
      <c r="G70" s="854">
        <f>SUM(G66:G69)</f>
        <v>13908.512499999968</v>
      </c>
      <c r="I70" s="854">
        <f>SUM(I66:I69)</f>
        <v>13320.365312499969</v>
      </c>
      <c r="K70" s="854">
        <f>SUM(K66:K69)</f>
        <v>14141.515595312441</v>
      </c>
      <c r="M70" s="854">
        <f>SUM(M66:M69)</f>
        <v>15307.208824820225</v>
      </c>
      <c r="O70" s="854">
        <f>SUM(O66:O69)</f>
        <v>16549.94369715888</v>
      </c>
      <c r="Q70" s="854">
        <f>SUM(Q66:Q69)</f>
        <v>17801.460311883027</v>
      </c>
      <c r="S70" s="854">
        <f>SUM(S66:S69)</f>
        <v>19043.234054061129</v>
      </c>
      <c r="U70" s="854">
        <f>SUM(U66:U69)</f>
        <v>20269.095774115351</v>
      </c>
      <c r="W70" s="854">
        <f>SUM(W66:W69)</f>
        <v>21475.883410394483</v>
      </c>
      <c r="Y70" s="854">
        <f>SUM(Y66:Y69)</f>
        <v>22661.101335706102</v>
      </c>
      <c r="AA70" s="854">
        <f>SUM(AA66:AA69)</f>
        <v>23822.331492907262</v>
      </c>
      <c r="AC70" s="854">
        <f>SUM(AC66:AC69)</f>
        <v>24957.082330427544</v>
      </c>
      <c r="AE70" s="854">
        <f>SUM(AE66:AE69)</f>
        <v>26062.747034846219</v>
      </c>
      <c r="AG70" s="854">
        <f>SUM(AG66:AG69)</f>
        <v>27136.588928993639</v>
      </c>
    </row>
    <row r="71" spans="1:34" s="854" customFormat="1">
      <c r="A71" s="856"/>
      <c r="C71" s="864"/>
    </row>
    <row r="72" spans="1:34" s="854" customFormat="1">
      <c r="A72" s="856" t="s">
        <v>2718</v>
      </c>
      <c r="C72" s="864"/>
      <c r="E72" s="856">
        <f>E60-E62-E70</f>
        <v>0</v>
      </c>
      <c r="G72" s="856">
        <f>G60-G62-G70</f>
        <v>8868.512499999968</v>
      </c>
      <c r="I72" s="856">
        <f>I60-I62-I70</f>
        <v>12060.365312499969</v>
      </c>
      <c r="K72" s="856">
        <f>K60-K62-K70</f>
        <v>13826.515595312441</v>
      </c>
      <c r="M72" s="856">
        <f>M60-M62-M70</f>
        <v>15228.458824820225</v>
      </c>
      <c r="O72" s="856">
        <f>O60-O62-O70</f>
        <v>16530.25619715888</v>
      </c>
      <c r="Q72" s="856">
        <f>Q60-Q62-Q70</f>
        <v>17796.538436883027</v>
      </c>
      <c r="S72" s="856">
        <f>S60-S62-S70</f>
        <v>19042.003585311129</v>
      </c>
      <c r="U72" s="856">
        <f>U60-U62-U70</f>
        <v>20268.788156927851</v>
      </c>
      <c r="W72" s="856">
        <f>W60-W62-W70</f>
        <v>21475.806506097608</v>
      </c>
      <c r="Y72" s="856">
        <f>Y60-Y62-Y70</f>
        <v>22661.082109631883</v>
      </c>
      <c r="AA72" s="856">
        <f>AA60-AA62-AA70</f>
        <v>23822.326686388707</v>
      </c>
      <c r="AC72" s="856">
        <f>AC60-AC62-AC70</f>
        <v>24957.081128797905</v>
      </c>
      <c r="AE72" s="856">
        <f>AE60-AE62-AE70</f>
        <v>26062.74673443881</v>
      </c>
      <c r="AG72" s="856">
        <f>AG60-AG62-AG70</f>
        <v>27136.588853891786</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2719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2720</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2721</v>
      </c>
    </row>
    <row r="2" spans="1:1" ht="15.75">
      <c r="A2" s="221"/>
    </row>
    <row r="3" spans="1:1" ht="15.75">
      <c r="A3" s="222" t="s">
        <v>2722</v>
      </c>
    </row>
    <row r="4" spans="1:1" ht="15.75">
      <c r="A4" s="222" t="s">
        <v>2723</v>
      </c>
    </row>
    <row r="5" spans="1:1" ht="15.75">
      <c r="A5" s="222" t="s">
        <v>2724</v>
      </c>
    </row>
    <row r="6" spans="1:1" ht="15.75">
      <c r="A6" s="222" t="s">
        <v>2725</v>
      </c>
    </row>
    <row r="7" spans="1:1" ht="15.75">
      <c r="A7" s="222" t="s">
        <v>2726</v>
      </c>
    </row>
    <row r="8" spans="1:1" ht="15.75">
      <c r="A8" s="249" t="s">
        <v>2727</v>
      </c>
    </row>
    <row r="9" spans="1:1" ht="15.75">
      <c r="A9" s="222" t="s">
        <v>2728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2729</v>
      </c>
      <c r="D1" s="192"/>
    </row>
    <row r="2" spans="1:6" s="187" customFormat="1">
      <c r="A2" s="171" t="s">
        <v>2730</v>
      </c>
      <c r="B2" s="173"/>
      <c r="C2" s="173"/>
      <c r="D2" s="170"/>
      <c r="E2" s="174"/>
      <c r="F2" s="173"/>
    </row>
    <row r="3" spans="1:6" s="254" customFormat="1" ht="80.25" customHeight="1">
      <c r="A3" s="189"/>
      <c r="B3" s="175" t="s">
        <v>2731</v>
      </c>
      <c r="C3" s="175" t="s">
        <v>2732</v>
      </c>
      <c r="D3" s="175" t="s">
        <v>2733</v>
      </c>
      <c r="E3" s="172" t="s">
        <v>2734</v>
      </c>
      <c r="F3" s="172"/>
    </row>
    <row r="4" spans="1:6" s="255" customFormat="1">
      <c r="A4" s="176" t="s">
        <v>1743</v>
      </c>
      <c r="B4" s="176"/>
      <c r="C4" s="176"/>
      <c r="D4" s="176"/>
      <c r="E4" s="194"/>
      <c r="F4" s="176"/>
    </row>
    <row r="5" spans="1:6" s="255" customFormat="1">
      <c r="A5" s="267" t="s">
        <v>1744</v>
      </c>
      <c r="B5" s="178">
        <f>'Sources and Uses Budget'!$C4</f>
        <v>0</v>
      </c>
      <c r="C5" s="178">
        <f>'Sources and Uses Budget'!$C4</f>
        <v>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1745</v>
      </c>
      <c r="B7" s="178">
        <f>'Sources and Uses Budget'!$C6</f>
        <v>0</v>
      </c>
      <c r="C7" s="178">
        <f>'Sources and Uses Budget'!$C6</f>
        <v>0</v>
      </c>
      <c r="D7" s="182">
        <f t="shared" si="0"/>
        <v>0</v>
      </c>
      <c r="E7" s="180"/>
      <c r="F7" s="179"/>
    </row>
    <row r="8" spans="1:6" s="255" customFormat="1">
      <c r="A8" s="267" t="s">
        <v>1746</v>
      </c>
      <c r="B8" s="178">
        <f>'Sources and Uses Budget'!$C7</f>
        <v>0</v>
      </c>
      <c r="C8" s="178">
        <f>'Sources and Uses Budget'!$C7</f>
        <v>0</v>
      </c>
      <c r="D8" s="182">
        <f t="shared" si="0"/>
        <v>0</v>
      </c>
      <c r="E8" s="180"/>
      <c r="F8" s="179"/>
    </row>
    <row r="9" spans="1:6" s="255" customFormat="1">
      <c r="A9" s="268" t="s">
        <v>1747</v>
      </c>
      <c r="B9" s="182">
        <f>SUM(B5:B8)</f>
        <v>0</v>
      </c>
      <c r="C9" s="182">
        <f>SUM(C5:C8)</f>
        <v>0</v>
      </c>
      <c r="D9" s="182">
        <f t="shared" si="0"/>
        <v>0</v>
      </c>
      <c r="E9" s="180"/>
      <c r="F9" s="179"/>
    </row>
    <row r="10" spans="1:6" s="255" customFormat="1">
      <c r="A10" s="267" t="s">
        <v>1748</v>
      </c>
      <c r="B10" s="178">
        <f>'Sources and Uses Budget'!$C9</f>
        <v>0</v>
      </c>
      <c r="C10" s="178">
        <f>'Sources and Uses Budget'!$C9</f>
        <v>0</v>
      </c>
      <c r="D10" s="182">
        <f t="shared" si="0"/>
        <v>0</v>
      </c>
      <c r="E10" s="180"/>
      <c r="F10" s="179"/>
    </row>
    <row r="11" spans="1:6" s="255" customFormat="1">
      <c r="A11" s="267" t="s">
        <v>1749</v>
      </c>
      <c r="B11" s="178">
        <f>'Sources and Uses Budget'!$C10</f>
        <v>0</v>
      </c>
      <c r="C11" s="178">
        <f>'Sources and Uses Budget'!$C10</f>
        <v>0</v>
      </c>
      <c r="D11" s="182">
        <f t="shared" si="0"/>
        <v>0</v>
      </c>
      <c r="E11" s="180"/>
      <c r="F11" s="179"/>
    </row>
    <row r="12" spans="1:6" s="255" customFormat="1">
      <c r="A12" s="268" t="s">
        <v>1750</v>
      </c>
      <c r="B12" s="182">
        <f>SUM(B10:B11)</f>
        <v>0</v>
      </c>
      <c r="C12" s="182">
        <f>SUM(C10:C11)</f>
        <v>0</v>
      </c>
      <c r="D12" s="182">
        <f t="shared" si="0"/>
        <v>0</v>
      </c>
      <c r="E12" s="180"/>
      <c r="F12" s="179"/>
    </row>
    <row r="13" spans="1:6" s="255" customFormat="1">
      <c r="A13" s="268" t="s">
        <v>1751</v>
      </c>
      <c r="B13" s="182">
        <f>SUM(B9+B12)</f>
        <v>0</v>
      </c>
      <c r="C13" s="182">
        <f>SUM(C9+C12)</f>
        <v>0</v>
      </c>
      <c r="D13" s="182">
        <f t="shared" si="0"/>
        <v>0</v>
      </c>
      <c r="E13" s="180"/>
      <c r="F13" s="179"/>
    </row>
    <row r="14" spans="1:6" s="255" customFormat="1">
      <c r="A14" s="269" t="s">
        <v>1752</v>
      </c>
      <c r="B14" s="178">
        <f>'Sources and Uses Budget'!$C13</f>
        <v>0</v>
      </c>
      <c r="C14" s="178">
        <f>'Sources and Uses Budget'!$C13</f>
        <v>0</v>
      </c>
      <c r="D14" s="182">
        <f t="shared" si="0"/>
        <v>0</v>
      </c>
      <c r="E14" s="180"/>
      <c r="F14" s="179"/>
    </row>
    <row r="15" spans="1:6" s="255" customFormat="1" ht="24">
      <c r="A15" s="267" t="s">
        <v>1869</v>
      </c>
      <c r="B15" s="178">
        <f>'Sources and Uses Budget'!$C14</f>
        <v>0</v>
      </c>
      <c r="C15" s="178">
        <f>'Sources and Uses Budget'!$C14</f>
        <v>0</v>
      </c>
      <c r="D15" s="182">
        <f t="shared" si="0"/>
        <v>0</v>
      </c>
      <c r="E15" s="180"/>
      <c r="F15" s="179"/>
    </row>
    <row r="16" spans="1:6" s="255" customFormat="1">
      <c r="A16" s="267" t="s">
        <v>1754</v>
      </c>
      <c r="B16" s="178">
        <f>'Sources and Uses Budget'!$C15</f>
        <v>0</v>
      </c>
      <c r="C16" s="178">
        <f>'Sources and Uses Budget'!$C15</f>
        <v>0</v>
      </c>
      <c r="D16" s="182">
        <f t="shared" si="0"/>
        <v>0</v>
      </c>
      <c r="E16" s="180"/>
      <c r="F16" s="179"/>
    </row>
    <row r="17" spans="1:6" s="255" customFormat="1">
      <c r="A17" s="176" t="s">
        <v>1755</v>
      </c>
      <c r="B17" s="176"/>
      <c r="C17" s="176"/>
      <c r="D17" s="176"/>
      <c r="E17" s="194"/>
      <c r="F17" s="176"/>
    </row>
    <row r="18" spans="1:6" s="255" customFormat="1">
      <c r="A18" s="195" t="s">
        <v>1756</v>
      </c>
      <c r="B18" s="178">
        <f>'Sources and Uses Budget'!$C17</f>
        <v>0</v>
      </c>
      <c r="C18" s="178">
        <f>'Sources and Uses Budget'!$C17</f>
        <v>0</v>
      </c>
      <c r="D18" s="182">
        <f t="shared" si="0"/>
        <v>0</v>
      </c>
      <c r="E18" s="180"/>
      <c r="F18" s="179"/>
    </row>
    <row r="19" spans="1:6" s="255" customFormat="1">
      <c r="A19" s="195" t="s">
        <v>1757</v>
      </c>
      <c r="B19" s="178">
        <f>'Sources and Uses Budget'!$C18</f>
        <v>0</v>
      </c>
      <c r="C19" s="178">
        <f>'Sources and Uses Budget'!$C18</f>
        <v>0</v>
      </c>
      <c r="D19" s="182">
        <f t="shared" si="0"/>
        <v>0</v>
      </c>
      <c r="E19" s="180"/>
      <c r="F19" s="179"/>
    </row>
    <row r="20" spans="1:6" s="255" customFormat="1">
      <c r="A20" s="195" t="s">
        <v>1758</v>
      </c>
      <c r="B20" s="178">
        <f>'Sources and Uses Budget'!$C19</f>
        <v>0</v>
      </c>
      <c r="C20" s="178">
        <f>'Sources and Uses Budget'!$C19</f>
        <v>0</v>
      </c>
      <c r="D20" s="182">
        <f t="shared" si="0"/>
        <v>0</v>
      </c>
      <c r="E20" s="180"/>
      <c r="F20" s="179"/>
    </row>
    <row r="21" spans="1:6" s="255" customFormat="1">
      <c r="A21" s="195" t="s">
        <v>1759</v>
      </c>
      <c r="B21" s="178">
        <f>'Sources and Uses Budget'!$C20</f>
        <v>0</v>
      </c>
      <c r="C21" s="178">
        <f>'Sources and Uses Budget'!$C20</f>
        <v>0</v>
      </c>
      <c r="D21" s="182">
        <f t="shared" si="0"/>
        <v>0</v>
      </c>
      <c r="E21" s="180"/>
      <c r="F21" s="179"/>
    </row>
    <row r="22" spans="1:6" s="255" customFormat="1">
      <c r="A22" s="195" t="s">
        <v>1760</v>
      </c>
      <c r="B22" s="178">
        <f>'Sources and Uses Budget'!$C21</f>
        <v>0</v>
      </c>
      <c r="C22" s="178">
        <f>'Sources and Uses Budget'!$C21</f>
        <v>0</v>
      </c>
      <c r="D22" s="182">
        <f t="shared" si="0"/>
        <v>0</v>
      </c>
      <c r="E22" s="180"/>
      <c r="F22" s="179"/>
    </row>
    <row r="23" spans="1:6" s="255" customFormat="1">
      <c r="A23" s="195" t="s">
        <v>1761</v>
      </c>
      <c r="B23" s="178">
        <f>'Sources and Uses Budget'!$C22</f>
        <v>0</v>
      </c>
      <c r="C23" s="178">
        <f>'Sources and Uses Budget'!$C22</f>
        <v>0</v>
      </c>
      <c r="D23" s="182">
        <f t="shared" si="0"/>
        <v>0</v>
      </c>
      <c r="E23" s="180"/>
      <c r="F23" s="179"/>
    </row>
    <row r="24" spans="1:6" s="255" customFormat="1">
      <c r="A24" s="195" t="s">
        <v>1762</v>
      </c>
      <c r="B24" s="178">
        <f>'Sources and Uses Budget'!$C23</f>
        <v>0</v>
      </c>
      <c r="C24" s="178">
        <f>'Sources and Uses Budget'!$C23</f>
        <v>0</v>
      </c>
      <c r="D24" s="182">
        <f t="shared" si="0"/>
        <v>0</v>
      </c>
      <c r="E24" s="180"/>
      <c r="F24" s="179"/>
    </row>
    <row r="25" spans="1:6" s="255" customFormat="1">
      <c r="A25" s="409" t="s">
        <v>1763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1765</v>
      </c>
      <c r="B27" s="182">
        <f>SUM(B18:B26)</f>
        <v>0</v>
      </c>
      <c r="C27" s="182">
        <f>SUM(C18:C26)</f>
        <v>0</v>
      </c>
      <c r="D27" s="182">
        <f>SUM(D18:D26)</f>
        <v>0</v>
      </c>
      <c r="E27" s="180"/>
      <c r="F27" s="179"/>
    </row>
    <row r="28" spans="1:6" s="255" customFormat="1">
      <c r="A28" s="183" t="s">
        <v>1766</v>
      </c>
      <c r="B28" s="178">
        <f>'Sources and Uses Budget'!$C$27</f>
        <v>0</v>
      </c>
      <c r="C28" s="178">
        <f>'Sources and Uses Budget'!$C$27</f>
        <v>0</v>
      </c>
      <c r="D28" s="182">
        <f t="shared" si="0"/>
        <v>0</v>
      </c>
      <c r="E28" s="180"/>
      <c r="F28" s="179"/>
    </row>
    <row r="29" spans="1:6" s="255" customFormat="1">
      <c r="A29" s="176" t="s">
        <v>1767</v>
      </c>
      <c r="B29" s="176"/>
      <c r="C29" s="176"/>
      <c r="D29" s="176"/>
      <c r="E29" s="194"/>
      <c r="F29" s="176"/>
    </row>
    <row r="30" spans="1:6" s="255" customFormat="1">
      <c r="A30" s="195" t="s">
        <v>1756</v>
      </c>
      <c r="B30" s="178">
        <f>'Sources and Uses Budget'!$C29</f>
        <v>1312500</v>
      </c>
      <c r="C30" s="178">
        <f>'Sources and Uses Budget'!$C29</f>
        <v>1312500</v>
      </c>
      <c r="D30" s="182">
        <f t="shared" si="0"/>
        <v>0</v>
      </c>
      <c r="E30" s="180"/>
      <c r="F30" s="179"/>
    </row>
    <row r="31" spans="1:6" s="255" customFormat="1">
      <c r="A31" s="195" t="s">
        <v>1757</v>
      </c>
      <c r="B31" s="178">
        <f>'Sources and Uses Budget'!$C30</f>
        <v>11309625</v>
      </c>
      <c r="C31" s="178">
        <f>'Sources and Uses Budget'!$C30</f>
        <v>11309625</v>
      </c>
      <c r="D31" s="182">
        <f t="shared" si="0"/>
        <v>0</v>
      </c>
      <c r="E31" s="180"/>
      <c r="F31" s="179"/>
    </row>
    <row r="32" spans="1:6" s="255" customFormat="1">
      <c r="A32" s="195" t="s">
        <v>1758</v>
      </c>
      <c r="B32" s="178">
        <f>'Sources and Uses Budget'!$C31</f>
        <v>614350</v>
      </c>
      <c r="C32" s="178">
        <f>'Sources and Uses Budget'!$C31</f>
        <v>614350</v>
      </c>
      <c r="D32" s="182">
        <f t="shared" si="0"/>
        <v>0</v>
      </c>
      <c r="E32" s="180"/>
      <c r="F32" s="179"/>
    </row>
    <row r="33" spans="1:6" s="255" customFormat="1">
      <c r="A33" s="195" t="s">
        <v>1759</v>
      </c>
      <c r="B33" s="178">
        <f>'Sources and Uses Budget'!$C32</f>
        <v>307175</v>
      </c>
      <c r="C33" s="178">
        <f>'Sources and Uses Budget'!$C32</f>
        <v>307175</v>
      </c>
      <c r="D33" s="182">
        <f t="shared" si="0"/>
        <v>0</v>
      </c>
      <c r="E33" s="180"/>
      <c r="F33" s="179"/>
    </row>
    <row r="34" spans="1:6" s="255" customFormat="1">
      <c r="A34" s="195" t="s">
        <v>1760</v>
      </c>
      <c r="B34" s="178">
        <f>'Sources and Uses Budget'!$C33</f>
        <v>307175</v>
      </c>
      <c r="C34" s="178">
        <f>'Sources and Uses Budget'!$C33</f>
        <v>307175</v>
      </c>
      <c r="D34" s="182">
        <f t="shared" si="0"/>
        <v>0</v>
      </c>
      <c r="E34" s="180"/>
      <c r="F34" s="179"/>
    </row>
    <row r="35" spans="1:6" s="255" customFormat="1">
      <c r="A35" s="195" t="s">
        <v>1761</v>
      </c>
      <c r="B35" s="178">
        <f>'Sources and Uses Budget'!$C34</f>
        <v>0</v>
      </c>
      <c r="C35" s="178">
        <f>'Sources and Uses Budget'!$C34</f>
        <v>0</v>
      </c>
      <c r="D35" s="182">
        <f t="shared" si="0"/>
        <v>0</v>
      </c>
      <c r="E35" s="180"/>
      <c r="F35" s="179"/>
    </row>
    <row r="36" spans="1:6" s="255" customFormat="1">
      <c r="A36" s="195" t="s">
        <v>1762</v>
      </c>
      <c r="B36" s="178">
        <f>'Sources and Uses Budget'!$C35</f>
        <v>226193</v>
      </c>
      <c r="C36" s="178">
        <f>'Sources and Uses Budget'!$C35</f>
        <v>226193</v>
      </c>
      <c r="D36" s="182">
        <f t="shared" si="0"/>
        <v>0</v>
      </c>
      <c r="E36" s="180"/>
      <c r="F36" s="179"/>
    </row>
    <row r="37" spans="1:6" s="255" customFormat="1">
      <c r="A37" s="195" t="s">
        <v>1763</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1768</v>
      </c>
      <c r="B39" s="182">
        <f>SUM(B30:B38)</f>
        <v>14077018</v>
      </c>
      <c r="C39" s="182">
        <f>SUM(C30:C38)</f>
        <v>14077018</v>
      </c>
      <c r="D39" s="182">
        <f t="shared" si="0"/>
        <v>0</v>
      </c>
      <c r="E39" s="180"/>
      <c r="F39" s="179"/>
    </row>
    <row r="40" spans="1:6" s="255" customFormat="1">
      <c r="A40" s="176" t="s">
        <v>1769</v>
      </c>
      <c r="B40" s="176"/>
      <c r="C40" s="176"/>
      <c r="D40" s="176"/>
      <c r="E40" s="194"/>
      <c r="F40" s="176"/>
    </row>
    <row r="41" spans="1:6" s="255" customFormat="1">
      <c r="A41" s="181" t="s">
        <v>1770</v>
      </c>
      <c r="B41" s="178">
        <f>'Sources and Uses Budget'!$C40</f>
        <v>474725</v>
      </c>
      <c r="C41" s="178">
        <f>'Sources and Uses Budget'!$C40</f>
        <v>474725</v>
      </c>
      <c r="D41" s="182">
        <f t="shared" si="0"/>
        <v>0</v>
      </c>
      <c r="E41" s="180"/>
      <c r="F41" s="179"/>
    </row>
    <row r="42" spans="1:6" s="255" customFormat="1">
      <c r="A42" s="181" t="s">
        <v>1771</v>
      </c>
      <c r="B42" s="178">
        <f>'Sources and Uses Budget'!$C41</f>
        <v>27925</v>
      </c>
      <c r="C42" s="178">
        <f>'Sources and Uses Budget'!$C41</f>
        <v>27925</v>
      </c>
      <c r="D42" s="182">
        <f t="shared" si="0"/>
        <v>0</v>
      </c>
      <c r="E42" s="180"/>
      <c r="F42" s="179"/>
    </row>
    <row r="43" spans="1:6" s="255" customFormat="1">
      <c r="A43" s="183" t="s">
        <v>1772</v>
      </c>
      <c r="B43" s="182">
        <f>SUM(B41:B42)</f>
        <v>502650</v>
      </c>
      <c r="C43" s="182">
        <f>SUM(C41:C42)</f>
        <v>502650</v>
      </c>
      <c r="D43" s="182">
        <f t="shared" si="0"/>
        <v>0</v>
      </c>
      <c r="E43" s="180"/>
      <c r="F43" s="179"/>
    </row>
    <row r="44" spans="1:6" s="255" customFormat="1">
      <c r="A44" s="183" t="s">
        <v>1773</v>
      </c>
      <c r="B44" s="178">
        <f>'Sources and Uses Budget'!$C43</f>
        <v>55850</v>
      </c>
      <c r="C44" s="178">
        <f>'Sources and Uses Budget'!$C43</f>
        <v>55850</v>
      </c>
      <c r="D44" s="182">
        <f t="shared" si="0"/>
        <v>0</v>
      </c>
      <c r="E44" s="180"/>
      <c r="F44" s="179"/>
    </row>
    <row r="45" spans="1:6" s="255" customFormat="1" ht="12" customHeight="1">
      <c r="A45" s="176" t="s">
        <v>1774</v>
      </c>
      <c r="B45" s="176"/>
      <c r="C45" s="176"/>
      <c r="D45" s="176"/>
      <c r="E45" s="194"/>
      <c r="F45" s="176"/>
    </row>
    <row r="46" spans="1:6" s="255" customFormat="1">
      <c r="A46" s="195" t="s">
        <v>1775</v>
      </c>
      <c r="B46" s="178">
        <f>'Sources and Uses Budget'!$C45</f>
        <v>532000</v>
      </c>
      <c r="C46" s="178">
        <f>'Sources and Uses Budget'!$C45</f>
        <v>532000</v>
      </c>
      <c r="D46" s="182">
        <f t="shared" si="0"/>
        <v>0</v>
      </c>
      <c r="E46" s="180"/>
      <c r="F46" s="179"/>
    </row>
    <row r="47" spans="1:6" s="255" customFormat="1">
      <c r="A47" s="195" t="s">
        <v>1776</v>
      </c>
      <c r="B47" s="178">
        <f>'Sources and Uses Budget'!$C46</f>
        <v>57000</v>
      </c>
      <c r="C47" s="178">
        <f>'Sources and Uses Budget'!$C46</f>
        <v>57000</v>
      </c>
      <c r="D47" s="182">
        <f t="shared" si="0"/>
        <v>0</v>
      </c>
      <c r="E47" s="180"/>
      <c r="F47" s="179"/>
    </row>
    <row r="48" spans="1:6" s="255" customFormat="1" ht="12" customHeight="1">
      <c r="A48" s="1207" t="s">
        <v>1777</v>
      </c>
      <c r="B48" s="178">
        <f>'Sources and Uses Budget'!$C47</f>
        <v>0</v>
      </c>
      <c r="C48" s="178">
        <f>'Sources and Uses Budget'!$C47</f>
        <v>0</v>
      </c>
      <c r="D48" s="182">
        <f t="shared" si="0"/>
        <v>0</v>
      </c>
      <c r="E48" s="180"/>
      <c r="F48" s="179"/>
    </row>
    <row r="49" spans="1:6" s="255" customFormat="1">
      <c r="A49" s="195" t="s">
        <v>1778</v>
      </c>
      <c r="B49" s="178">
        <f>'Sources and Uses Budget'!$C48</f>
        <v>0</v>
      </c>
      <c r="C49" s="178">
        <f>'Sources and Uses Budget'!$C48</f>
        <v>0</v>
      </c>
      <c r="D49" s="182">
        <f t="shared" si="0"/>
        <v>0</v>
      </c>
      <c r="E49" s="180"/>
      <c r="F49" s="179"/>
    </row>
    <row r="50" spans="1:6" s="255" customFormat="1">
      <c r="A50" s="195" t="s">
        <v>1779</v>
      </c>
      <c r="B50" s="178">
        <f>'Sources and Uses Budget'!$C49</f>
        <v>0</v>
      </c>
      <c r="C50" s="178">
        <f>'Sources and Uses Budget'!$C49</f>
        <v>0</v>
      </c>
      <c r="D50" s="182">
        <f t="shared" si="0"/>
        <v>0</v>
      </c>
      <c r="E50" s="180"/>
      <c r="F50" s="179"/>
    </row>
    <row r="51" spans="1:6" s="255" customFormat="1">
      <c r="A51" s="195" t="s">
        <v>1780</v>
      </c>
      <c r="B51" s="178">
        <f>'Sources and Uses Budget'!$C50</f>
        <v>27925</v>
      </c>
      <c r="C51" s="178">
        <f>'Sources and Uses Budget'!$C50</f>
        <v>27925</v>
      </c>
      <c r="D51" s="182">
        <f t="shared" si="0"/>
        <v>0</v>
      </c>
      <c r="E51" s="180"/>
      <c r="F51" s="179"/>
    </row>
    <row r="52" spans="1:6" s="255" customFormat="1">
      <c r="A52" s="195" t="s">
        <v>1781</v>
      </c>
      <c r="B52" s="178">
        <f>'Sources and Uses Budget'!$C51</f>
        <v>1955</v>
      </c>
      <c r="C52" s="178">
        <f>'Sources and Uses Budget'!$C51</f>
        <v>1955</v>
      </c>
      <c r="D52" s="182">
        <f t="shared" si="0"/>
        <v>0</v>
      </c>
      <c r="E52" s="180"/>
      <c r="F52" s="179"/>
    </row>
    <row r="53" spans="1:6" s="255" customFormat="1">
      <c r="A53" s="195" t="s">
        <v>1782</v>
      </c>
      <c r="B53" s="178">
        <f>'Sources and Uses Budget'!$C52</f>
        <v>5585</v>
      </c>
      <c r="C53" s="178">
        <f>'Sources and Uses Budget'!$C52</f>
        <v>5585</v>
      </c>
      <c r="D53" s="182">
        <f t="shared" si="0"/>
        <v>0</v>
      </c>
      <c r="E53" s="180"/>
      <c r="F53" s="179"/>
    </row>
    <row r="54" spans="1:6" s="255" customFormat="1">
      <c r="A54" s="409" t="str">
        <f>'Sources and Uses Budget'!A53</f>
        <v>Bank Insepection and Fees</v>
      </c>
      <c r="B54" s="178">
        <f>'Sources and Uses Budget'!$C53</f>
        <v>20900</v>
      </c>
      <c r="C54" s="178">
        <f>'Sources and Uses Budget'!$C53</f>
        <v>20900</v>
      </c>
      <c r="D54" s="182">
        <f t="shared" si="0"/>
        <v>0</v>
      </c>
      <c r="E54" s="180"/>
      <c r="F54" s="179"/>
    </row>
    <row r="55" spans="1:6" s="256" customFormat="1">
      <c r="A55" s="183" t="s">
        <v>1784</v>
      </c>
      <c r="B55" s="185">
        <f>SUM(B46:B54)</f>
        <v>645365</v>
      </c>
      <c r="C55" s="185">
        <f>SUM(C46:C54)</f>
        <v>645365</v>
      </c>
      <c r="D55" s="182">
        <f t="shared" si="0"/>
        <v>0</v>
      </c>
      <c r="E55" s="180"/>
      <c r="F55" s="179"/>
    </row>
    <row r="56" spans="1:6" s="255" customFormat="1">
      <c r="A56" s="176" t="s">
        <v>1330</v>
      </c>
      <c r="B56" s="176"/>
      <c r="C56" s="176"/>
      <c r="D56" s="176"/>
      <c r="E56" s="194"/>
      <c r="F56" s="176"/>
    </row>
    <row r="57" spans="1:6" s="255" customFormat="1">
      <c r="A57" s="181" t="s">
        <v>1785</v>
      </c>
      <c r="B57" s="178">
        <f>'Sources and Uses Budget'!$C56</f>
        <v>0</v>
      </c>
      <c r="C57" s="178">
        <f>'Sources and Uses Budget'!$C56</f>
        <v>0</v>
      </c>
      <c r="D57" s="182">
        <f t="shared" si="0"/>
        <v>0</v>
      </c>
      <c r="E57" s="180"/>
      <c r="F57" s="179"/>
    </row>
    <row r="58" spans="1:6" s="255" customFormat="1" ht="12" customHeight="1">
      <c r="A58" s="181" t="s">
        <v>1777</v>
      </c>
      <c r="B58" s="178">
        <f>'Sources and Uses Budget'!$C57</f>
        <v>0</v>
      </c>
      <c r="C58" s="178">
        <f>'Sources and Uses Budget'!$C57</f>
        <v>0</v>
      </c>
      <c r="D58" s="182">
        <f t="shared" si="0"/>
        <v>0</v>
      </c>
      <c r="E58" s="180"/>
      <c r="F58" s="179"/>
    </row>
    <row r="59" spans="1:6" s="255" customFormat="1">
      <c r="A59" s="181" t="s">
        <v>1780</v>
      </c>
      <c r="B59" s="178">
        <f>'Sources and Uses Budget'!$C58</f>
        <v>10000</v>
      </c>
      <c r="C59" s="178">
        <f>'Sources and Uses Budget'!$C58</f>
        <v>10000</v>
      </c>
      <c r="D59" s="182">
        <f t="shared" si="0"/>
        <v>0</v>
      </c>
      <c r="E59" s="180"/>
      <c r="F59" s="179"/>
    </row>
    <row r="60" spans="1:6" s="255" customFormat="1">
      <c r="A60" s="181" t="s">
        <v>1781</v>
      </c>
      <c r="B60" s="178">
        <f>'Sources and Uses Budget'!$C59</f>
        <v>0</v>
      </c>
      <c r="C60" s="178">
        <f>'Sources and Uses Budget'!$C59</f>
        <v>0</v>
      </c>
      <c r="D60" s="182">
        <f t="shared" si="0"/>
        <v>0</v>
      </c>
      <c r="E60" s="180"/>
      <c r="F60" s="179"/>
    </row>
    <row r="61" spans="1:6" s="255" customFormat="1">
      <c r="A61" s="181" t="s">
        <v>1782</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1786</v>
      </c>
      <c r="B63" s="182">
        <f>SUM(B57:B62)</f>
        <v>10000</v>
      </c>
      <c r="C63" s="182">
        <f>SUM(C57:C62)</f>
        <v>10000</v>
      </c>
      <c r="D63" s="182">
        <f t="shared" si="0"/>
        <v>0</v>
      </c>
      <c r="E63" s="180"/>
      <c r="F63" s="179"/>
    </row>
    <row r="64" spans="1:6" s="255" customFormat="1">
      <c r="A64" s="186" t="s">
        <v>1787</v>
      </c>
      <c r="B64" s="182">
        <f>SUM(B9+B12+B14+B15+B17+B26+B28+B39+B43+B44+B55+B63)</f>
        <v>15290883</v>
      </c>
      <c r="C64" s="182">
        <f>SUM(C9+C12+C14+C15+C17+C26+C28+C39+C43+C44+C55+C63)</f>
        <v>15290883</v>
      </c>
      <c r="D64" s="182">
        <f t="shared" si="0"/>
        <v>0</v>
      </c>
      <c r="E64" s="180"/>
      <c r="F64" s="179"/>
    </row>
    <row r="65" spans="1:6" s="255" customFormat="1" ht="24">
      <c r="A65" s="104" t="s">
        <v>1788</v>
      </c>
      <c r="B65" s="176"/>
      <c r="C65" s="176"/>
      <c r="D65" s="176"/>
      <c r="E65" s="194"/>
      <c r="F65" s="176"/>
    </row>
    <row r="66" spans="1:6" s="255" customFormat="1">
      <c r="A66" s="195" t="s">
        <v>1789</v>
      </c>
      <c r="B66" s="178">
        <f>'Sources and Uses Budget'!$C65</f>
        <v>50000</v>
      </c>
      <c r="C66" s="178">
        <f>'Sources and Uses Budget'!$C65</f>
        <v>50000</v>
      </c>
      <c r="D66" s="182">
        <f t="shared" si="0"/>
        <v>0</v>
      </c>
      <c r="E66" s="180"/>
      <c r="F66" s="179"/>
    </row>
    <row r="67" spans="1:6" s="255" customFormat="1" ht="24">
      <c r="A67" s="195" t="s">
        <v>1790</v>
      </c>
      <c r="B67" s="178">
        <f>'Sources and Uses Budget'!$C66</f>
        <v>0</v>
      </c>
      <c r="C67" s="178">
        <f>'Sources and Uses Budget'!$C66</f>
        <v>0</v>
      </c>
      <c r="D67" s="182"/>
      <c r="E67" s="180"/>
      <c r="F67" s="179"/>
    </row>
    <row r="68" spans="1:6" s="255" customFormat="1" ht="24">
      <c r="A68" s="195" t="s">
        <v>1791</v>
      </c>
      <c r="B68" s="178">
        <f>'Sources and Uses Budget'!$C67</f>
        <v>0</v>
      </c>
      <c r="C68" s="178">
        <f>'Sources and Uses Budget'!$C67</f>
        <v>0</v>
      </c>
      <c r="D68" s="182"/>
      <c r="E68" s="180"/>
      <c r="F68" s="179"/>
    </row>
    <row r="69" spans="1:6" s="255" customFormat="1">
      <c r="A69" s="195" t="s">
        <v>1792</v>
      </c>
      <c r="B69" s="178">
        <f>'Sources and Uses Budget'!$C68</f>
        <v>0</v>
      </c>
      <c r="C69" s="178">
        <f>'Sources and Uses Budget'!$C68</f>
        <v>0</v>
      </c>
      <c r="D69" s="182"/>
      <c r="E69" s="180"/>
      <c r="F69" s="179"/>
    </row>
    <row r="70" spans="1:6" s="255" customFormat="1">
      <c r="A70" s="409" t="str">
        <f>'Sources and Uses Budget'!A69</f>
        <v>Bond  Counsel &amp; Legal Fees</v>
      </c>
      <c r="B70" s="178">
        <f>'Sources and Uses Budget'!$C69</f>
        <v>150000</v>
      </c>
      <c r="C70" s="178">
        <f>'Sources and Uses Budget'!$C69</f>
        <v>150000</v>
      </c>
      <c r="D70" s="182">
        <f t="shared" si="0"/>
        <v>0</v>
      </c>
      <c r="E70" s="180"/>
      <c r="F70" s="179"/>
    </row>
    <row r="71" spans="1:6" s="255" customFormat="1">
      <c r="A71" s="106" t="s">
        <v>1794</v>
      </c>
      <c r="B71" s="182">
        <f>SUM(B66:B70)</f>
        <v>200000</v>
      </c>
      <c r="C71" s="182">
        <f>SUM(C66:C70)</f>
        <v>200000</v>
      </c>
      <c r="D71" s="182">
        <f t="shared" si="0"/>
        <v>0</v>
      </c>
      <c r="E71" s="180"/>
      <c r="F71" s="179"/>
    </row>
    <row r="72" spans="1:6" s="255" customFormat="1">
      <c r="A72" s="176" t="s">
        <v>1795</v>
      </c>
      <c r="B72" s="176"/>
      <c r="C72" s="176"/>
      <c r="D72" s="176"/>
      <c r="E72" s="194"/>
      <c r="F72" s="176"/>
    </row>
    <row r="73" spans="1:6" s="255" customFormat="1">
      <c r="A73" s="181" t="s">
        <v>1796</v>
      </c>
      <c r="B73" s="178">
        <f>'Sources and Uses Budget'!$C72</f>
        <v>0</v>
      </c>
      <c r="C73" s="178">
        <f>'Sources and Uses Budget'!$C72</f>
        <v>0</v>
      </c>
      <c r="D73" s="182">
        <f t="shared" si="0"/>
        <v>0</v>
      </c>
      <c r="E73" s="180"/>
      <c r="F73" s="179"/>
    </row>
    <row r="74" spans="1:6" s="255" customFormat="1">
      <c r="A74" s="181" t="s">
        <v>1797</v>
      </c>
      <c r="B74" s="178">
        <f>'Sources and Uses Budget'!$C73</f>
        <v>0</v>
      </c>
      <c r="C74" s="178">
        <f>'Sources and Uses Budget'!$C73</f>
        <v>0</v>
      </c>
      <c r="D74" s="182">
        <f t="shared" si="0"/>
        <v>0</v>
      </c>
      <c r="E74" s="180"/>
      <c r="F74" s="179"/>
    </row>
    <row r="75" spans="1:6" s="255" customFormat="1">
      <c r="A75" s="197" t="s">
        <v>1798</v>
      </c>
      <c r="B75" s="178">
        <f>'Sources and Uses Budget'!$C74</f>
        <v>0</v>
      </c>
      <c r="C75" s="178">
        <f>'Sources and Uses Budget'!$C74</f>
        <v>0</v>
      </c>
      <c r="D75" s="182">
        <f t="shared" si="0"/>
        <v>0</v>
      </c>
      <c r="E75" s="180"/>
      <c r="F75" s="179"/>
    </row>
    <row r="76" spans="1:6" s="255" customFormat="1">
      <c r="A76" s="181" t="s">
        <v>1799</v>
      </c>
      <c r="B76" s="178">
        <f>'Sources and Uses Budget'!$C75</f>
        <v>100000</v>
      </c>
      <c r="C76" s="178">
        <f>'Sources and Uses Budget'!$C75</f>
        <v>100000</v>
      </c>
      <c r="D76" s="182">
        <f t="shared" si="0"/>
        <v>0</v>
      </c>
      <c r="E76" s="180"/>
      <c r="F76" s="179"/>
    </row>
    <row r="77" spans="1:6" s="255" customFormat="1">
      <c r="A77" s="184" t="s">
        <v>1764</v>
      </c>
      <c r="B77" s="178">
        <f>'Sources and Uses Budget'!$C76</f>
        <v>0</v>
      </c>
      <c r="C77" s="178">
        <f>'Sources and Uses Budget'!$C76</f>
        <v>0</v>
      </c>
      <c r="D77" s="182">
        <f t="shared" si="0"/>
        <v>0</v>
      </c>
      <c r="E77" s="180"/>
      <c r="F77" s="179"/>
    </row>
    <row r="78" spans="1:6" s="255" customFormat="1">
      <c r="A78" s="183" t="s">
        <v>1800</v>
      </c>
      <c r="B78" s="182">
        <f>SUM(B73:B77)</f>
        <v>100000</v>
      </c>
      <c r="C78" s="182">
        <f>SUM(C73:C77)</f>
        <v>100000</v>
      </c>
      <c r="D78" s="182">
        <f t="shared" ref="D78:D106" si="1">C78-B78</f>
        <v>0</v>
      </c>
      <c r="E78" s="180"/>
      <c r="F78" s="179"/>
    </row>
    <row r="79" spans="1:6" s="255" customFormat="1">
      <c r="A79" s="176" t="s">
        <v>1801</v>
      </c>
      <c r="B79" s="176"/>
      <c r="C79" s="176"/>
      <c r="D79" s="176"/>
      <c r="E79" s="194"/>
      <c r="F79" s="176"/>
    </row>
    <row r="80" spans="1:6" s="255" customFormat="1">
      <c r="A80" s="410" t="s">
        <v>1802</v>
      </c>
      <c r="B80" s="178">
        <f>'Sources and Uses Budget'!$C79</f>
        <v>687095</v>
      </c>
      <c r="C80" s="178">
        <f>'Sources and Uses Budget'!$C79</f>
        <v>687095</v>
      </c>
      <c r="D80" s="182">
        <f t="shared" si="1"/>
        <v>0</v>
      </c>
      <c r="E80" s="180"/>
      <c r="F80" s="179"/>
    </row>
    <row r="81" spans="1:6" s="255" customFormat="1">
      <c r="A81" s="410" t="s">
        <v>1803</v>
      </c>
      <c r="B81" s="178">
        <f>'Sources and Uses Budget'!$C80</f>
        <v>41888</v>
      </c>
      <c r="C81" s="178">
        <f>'Sources and Uses Budget'!$C80</f>
        <v>41888</v>
      </c>
      <c r="D81" s="182">
        <f>C81-B81</f>
        <v>0</v>
      </c>
      <c r="E81" s="180"/>
      <c r="F81" s="179"/>
    </row>
    <row r="82" spans="1:6" s="255" customFormat="1">
      <c r="A82" s="183" t="s">
        <v>1804</v>
      </c>
      <c r="B82" s="182">
        <f>SUM(B80:B81)</f>
        <v>728983</v>
      </c>
      <c r="C82" s="182">
        <f>SUM(C80:C81)</f>
        <v>728983</v>
      </c>
      <c r="D82" s="182">
        <f t="shared" si="1"/>
        <v>0</v>
      </c>
      <c r="E82" s="180"/>
      <c r="F82" s="179"/>
    </row>
    <row r="83" spans="1:6" s="255" customFormat="1">
      <c r="A83" s="176" t="s">
        <v>1805</v>
      </c>
      <c r="B83" s="176"/>
      <c r="C83" s="176"/>
      <c r="D83" s="176"/>
      <c r="E83" s="194"/>
      <c r="F83" s="176"/>
    </row>
    <row r="84" spans="1:6" s="255" customFormat="1" ht="13.7" customHeight="1">
      <c r="A84" s="181" t="s">
        <v>2735</v>
      </c>
      <c r="B84" s="178">
        <f>'Sources and Uses Budget'!$C83</f>
        <v>26226</v>
      </c>
      <c r="C84" s="178">
        <f>'Sources and Uses Budget'!$C83</f>
        <v>26226</v>
      </c>
      <c r="D84" s="182">
        <f t="shared" si="1"/>
        <v>0</v>
      </c>
      <c r="E84" s="180"/>
      <c r="F84" s="179"/>
    </row>
    <row r="85" spans="1:6" s="255" customFormat="1">
      <c r="A85" s="181" t="s">
        <v>1807</v>
      </c>
      <c r="B85" s="178">
        <f>'Sources and Uses Budget'!$C84</f>
        <v>2793</v>
      </c>
      <c r="C85" s="178">
        <f>'Sources and Uses Budget'!$C84</f>
        <v>2793</v>
      </c>
      <c r="D85" s="182">
        <f t="shared" si="1"/>
        <v>0</v>
      </c>
      <c r="E85" s="180"/>
      <c r="F85" s="179"/>
    </row>
    <row r="86" spans="1:6" s="255" customFormat="1">
      <c r="A86" s="181" t="s">
        <v>1808</v>
      </c>
      <c r="B86" s="178">
        <f>'Sources and Uses Budget'!$C85</f>
        <v>356000</v>
      </c>
      <c r="C86" s="178">
        <f>'Sources and Uses Budget'!$C85</f>
        <v>356000</v>
      </c>
      <c r="D86" s="182">
        <f t="shared" si="1"/>
        <v>0</v>
      </c>
      <c r="E86" s="180"/>
      <c r="F86" s="179"/>
    </row>
    <row r="87" spans="1:6" s="255" customFormat="1">
      <c r="A87" s="181" t="s">
        <v>1809</v>
      </c>
      <c r="B87" s="178">
        <f>'Sources and Uses Budget'!$C86</f>
        <v>137419</v>
      </c>
      <c r="C87" s="178">
        <f>'Sources and Uses Budget'!$C86</f>
        <v>137419</v>
      </c>
      <c r="D87" s="182">
        <f t="shared" si="1"/>
        <v>0</v>
      </c>
      <c r="E87" s="180"/>
      <c r="F87" s="179"/>
    </row>
    <row r="88" spans="1:6" s="255" customFormat="1">
      <c r="A88" s="181" t="s">
        <v>1810</v>
      </c>
      <c r="B88" s="178">
        <f>'Sources and Uses Budget'!$C87</f>
        <v>0</v>
      </c>
      <c r="C88" s="178">
        <f>'Sources and Uses Budget'!$C87</f>
        <v>0</v>
      </c>
      <c r="D88" s="182">
        <f t="shared" si="1"/>
        <v>0</v>
      </c>
      <c r="E88" s="180"/>
      <c r="F88" s="179"/>
    </row>
    <row r="89" spans="1:6" s="255" customFormat="1">
      <c r="A89" s="181" t="s">
        <v>1811</v>
      </c>
      <c r="B89" s="178">
        <f>'Sources and Uses Budget'!$C88</f>
        <v>5000</v>
      </c>
      <c r="C89" s="178">
        <f>'Sources and Uses Budget'!$C88</f>
        <v>5000</v>
      </c>
      <c r="D89" s="182">
        <f t="shared" si="1"/>
        <v>0</v>
      </c>
      <c r="E89" s="180"/>
      <c r="F89" s="179"/>
    </row>
    <row r="90" spans="1:6" s="255" customFormat="1">
      <c r="A90" s="181" t="s">
        <v>1812</v>
      </c>
      <c r="B90" s="178">
        <f>'Sources and Uses Budget'!$C89</f>
        <v>21498</v>
      </c>
      <c r="C90" s="178">
        <f>'Sources and Uses Budget'!$C89</f>
        <v>21498</v>
      </c>
      <c r="D90" s="182">
        <f t="shared" si="1"/>
        <v>0</v>
      </c>
      <c r="E90" s="180"/>
      <c r="F90" s="179"/>
    </row>
    <row r="91" spans="1:6" s="255" customFormat="1">
      <c r="A91" s="181" t="s">
        <v>1813</v>
      </c>
      <c r="B91" s="178">
        <f>'Sources and Uses Budget'!$C90</f>
        <v>6500</v>
      </c>
      <c r="C91" s="178">
        <f>'Sources and Uses Budget'!$C90</f>
        <v>6500</v>
      </c>
      <c r="D91" s="182">
        <f t="shared" si="1"/>
        <v>0</v>
      </c>
      <c r="E91" s="180"/>
      <c r="F91" s="179"/>
    </row>
    <row r="92" spans="1:6" s="255" customFormat="1">
      <c r="A92" s="181" t="s">
        <v>1814</v>
      </c>
      <c r="B92" s="178">
        <f>'Sources and Uses Budget'!$C91</f>
        <v>0</v>
      </c>
      <c r="C92" s="178">
        <f>'Sources and Uses Budget'!$C91</f>
        <v>0</v>
      </c>
      <c r="D92" s="182">
        <f t="shared" si="1"/>
        <v>0</v>
      </c>
      <c r="E92" s="180"/>
      <c r="F92" s="179"/>
    </row>
    <row r="93" spans="1:6" s="255" customFormat="1">
      <c r="A93" s="410" t="s">
        <v>1815</v>
      </c>
      <c r="B93" s="178">
        <f>'Sources and Uses Budget'!$C92</f>
        <v>6500</v>
      </c>
      <c r="C93" s="178">
        <f>'Sources and Uses Budget'!$C92</f>
        <v>6500</v>
      </c>
      <c r="D93" s="182">
        <f t="shared" si="1"/>
        <v>0</v>
      </c>
      <c r="E93" s="180"/>
      <c r="F93" s="179"/>
    </row>
    <row r="94" spans="1:6" s="255" customFormat="1">
      <c r="A94" s="184" t="s">
        <v>1764</v>
      </c>
      <c r="B94" s="178">
        <f>'Sources and Uses Budget'!$C93</f>
        <v>10000</v>
      </c>
      <c r="C94" s="178">
        <f>'Sources and Uses Budget'!$C93</f>
        <v>10000</v>
      </c>
      <c r="D94" s="182">
        <f t="shared" si="1"/>
        <v>0</v>
      </c>
      <c r="E94" s="180"/>
      <c r="F94" s="179"/>
    </row>
    <row r="95" spans="1:6" s="255" customFormat="1">
      <c r="A95" s="184" t="s">
        <v>1764</v>
      </c>
      <c r="B95" s="178">
        <f>'Sources and Uses Budget'!$C94</f>
        <v>0</v>
      </c>
      <c r="C95" s="178">
        <f>'Sources and Uses Budget'!$C94</f>
        <v>0</v>
      </c>
      <c r="D95" s="182">
        <f t="shared" si="1"/>
        <v>0</v>
      </c>
      <c r="E95" s="180"/>
      <c r="F95" s="179"/>
    </row>
    <row r="96" spans="1:6" s="255" customFormat="1">
      <c r="A96" s="184" t="s">
        <v>1764</v>
      </c>
      <c r="B96" s="178">
        <f>'Sources and Uses Budget'!$C95</f>
        <v>0</v>
      </c>
      <c r="C96" s="178">
        <f>'Sources and Uses Budget'!$C95</f>
        <v>0</v>
      </c>
      <c r="D96" s="182">
        <f t="shared" si="1"/>
        <v>0</v>
      </c>
      <c r="E96" s="180"/>
      <c r="F96" s="179"/>
    </row>
    <row r="97" spans="1:6" s="255" customFormat="1">
      <c r="A97" s="183" t="s">
        <v>1817</v>
      </c>
      <c r="B97" s="182">
        <f>SUM(B84:B96)</f>
        <v>571936</v>
      </c>
      <c r="C97" s="182">
        <f>SUM(C84:C96)</f>
        <v>571936</v>
      </c>
      <c r="D97" s="182">
        <f t="shared" si="1"/>
        <v>0</v>
      </c>
      <c r="E97" s="180"/>
      <c r="F97" s="179"/>
    </row>
    <row r="98" spans="1:6" s="255" customFormat="1">
      <c r="A98" s="183" t="s">
        <v>1818</v>
      </c>
      <c r="B98" s="182">
        <f>SUM(B64+B71+B78+B82+B97)</f>
        <v>16891802</v>
      </c>
      <c r="C98" s="182">
        <f>SUM(C64+C71+C78+C82+C97)</f>
        <v>16891802</v>
      </c>
      <c r="D98" s="182">
        <f t="shared" si="1"/>
        <v>0</v>
      </c>
      <c r="E98" s="180"/>
      <c r="F98" s="179"/>
    </row>
    <row r="99" spans="1:6" s="255" customFormat="1">
      <c r="A99" s="176" t="s">
        <v>1819</v>
      </c>
      <c r="B99" s="176"/>
      <c r="C99" s="176"/>
      <c r="D99" s="176"/>
      <c r="E99" s="194"/>
      <c r="F99" s="176"/>
    </row>
    <row r="100" spans="1:6" s="255" customFormat="1">
      <c r="A100" s="195" t="s">
        <v>1820</v>
      </c>
      <c r="B100" s="178">
        <f>'Sources and Uses Budget'!$C99</f>
        <v>2464759</v>
      </c>
      <c r="C100" s="178">
        <f>'Sources and Uses Budget'!$C99</f>
        <v>2464759</v>
      </c>
      <c r="D100" s="182">
        <f t="shared" si="1"/>
        <v>0</v>
      </c>
      <c r="E100" s="180"/>
      <c r="F100" s="179"/>
    </row>
    <row r="101" spans="1:6" s="255" customFormat="1">
      <c r="A101" s="195" t="s">
        <v>1821</v>
      </c>
      <c r="B101" s="178">
        <f>'Sources and Uses Budget'!$C100</f>
        <v>0</v>
      </c>
      <c r="C101" s="178">
        <f>'Sources and Uses Budget'!$C100</f>
        <v>0</v>
      </c>
      <c r="D101" s="182">
        <f t="shared" si="1"/>
        <v>0</v>
      </c>
      <c r="E101" s="180"/>
      <c r="F101" s="179"/>
    </row>
    <row r="102" spans="1:6" s="255" customFormat="1">
      <c r="A102" s="195" t="s">
        <v>1822</v>
      </c>
      <c r="B102" s="178">
        <f>'Sources and Uses Budget'!$C101</f>
        <v>0</v>
      </c>
      <c r="C102" s="178">
        <f>'Sources and Uses Budget'!$C101</f>
        <v>0</v>
      </c>
      <c r="D102" s="182">
        <f t="shared" si="1"/>
        <v>0</v>
      </c>
      <c r="E102" s="180"/>
      <c r="F102" s="179"/>
    </row>
    <row r="103" spans="1:6" s="255" customFormat="1" ht="12" customHeight="1">
      <c r="A103" s="195" t="s">
        <v>1823</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1824</v>
      </c>
      <c r="B105" s="182">
        <f>SUM(B100:B104)</f>
        <v>2464759</v>
      </c>
      <c r="C105" s="182">
        <f>SUM(C100:C104)</f>
        <v>2464759</v>
      </c>
      <c r="D105" s="182">
        <f t="shared" si="1"/>
        <v>0</v>
      </c>
      <c r="E105" s="180"/>
      <c r="F105" s="179"/>
    </row>
    <row r="106" spans="1:6" s="255" customFormat="1">
      <c r="A106" s="183" t="s">
        <v>1825</v>
      </c>
      <c r="B106" s="185">
        <f>SUM(B98+B105)</f>
        <v>19356561</v>
      </c>
      <c r="C106" s="185">
        <f>SUM(C98+C105)</f>
        <v>19356561</v>
      </c>
      <c r="D106" s="182">
        <f t="shared" si="1"/>
        <v>0</v>
      </c>
      <c r="E106" s="180"/>
      <c r="F106" s="179"/>
    </row>
    <row r="107" spans="1:6" s="255" customFormat="1">
      <c r="A107" s="189" t="s">
        <v>2736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3"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44" workbookViewId="0">
      <selection activeCell="G975" sqref="G975"/>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314</v>
      </c>
      <c r="D24" s="1263" t="s">
        <v>315</v>
      </c>
      <c r="E24" s="1263"/>
      <c r="F24" s="1263"/>
      <c r="I24" s="391"/>
    </row>
    <row r="25" spans="1:9" ht="14.25">
      <c r="A25" s="385"/>
      <c r="B25" s="385"/>
      <c r="D25" s="1263"/>
      <c r="E25" s="1263"/>
      <c r="F25" s="1263"/>
      <c r="I25" s="391"/>
    </row>
    <row r="26" spans="1:9">
      <c r="I26" s="391"/>
    </row>
    <row r="27" spans="1:9" ht="14.25">
      <c r="A27" s="385"/>
      <c r="B27" s="386" t="s">
        <v>314</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314</v>
      </c>
      <c r="D33" s="1263" t="s">
        <v>317</v>
      </c>
      <c r="E33" s="1263"/>
      <c r="F33" s="1263"/>
      <c r="I33" s="391"/>
    </row>
    <row r="34" spans="1:9">
      <c r="D34" s="1263"/>
      <c r="E34" s="1263"/>
      <c r="F34" s="1263"/>
      <c r="I34" s="391"/>
    </row>
    <row r="35" spans="1:9" ht="14.25">
      <c r="A35" s="385"/>
      <c r="B35" s="385"/>
      <c r="D35" s="349"/>
      <c r="I35" s="391"/>
    </row>
    <row r="36" spans="1:9" ht="14.45" customHeight="1">
      <c r="A36" s="385"/>
      <c r="B36" s="386" t="s">
        <v>314</v>
      </c>
      <c r="D36" s="1263" t="s">
        <v>318</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314</v>
      </c>
      <c r="D41" s="1263" t="s">
        <v>319</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314</v>
      </c>
      <c r="D47" s="1263" t="s">
        <v>320</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314</v>
      </c>
      <c r="D52" s="1263" t="s">
        <v>321</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322</v>
      </c>
      <c r="E56" s="1286"/>
      <c r="F56" s="1286"/>
      <c r="I56" s="391"/>
    </row>
    <row r="57" spans="1:9" ht="14.25">
      <c r="A57" s="385"/>
      <c r="B57" s="385"/>
      <c r="D57" s="1286"/>
      <c r="E57" s="1286"/>
      <c r="F57" s="1286"/>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ht="14.25">
      <c r="A65" s="385"/>
      <c r="B65" s="386" t="s">
        <v>314</v>
      </c>
      <c r="D65" s="1263" t="s">
        <v>325</v>
      </c>
      <c r="E65" s="1263"/>
      <c r="F65" s="1263"/>
      <c r="I65" s="391"/>
    </row>
    <row r="66" spans="1:9">
      <c r="D66" s="1263"/>
      <c r="E66" s="1263"/>
      <c r="F66" s="1263"/>
      <c r="I66" s="391"/>
    </row>
    <row r="67" spans="1:9">
      <c r="I67" s="391"/>
    </row>
    <row r="68" spans="1:9" ht="14.25">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ht="14.25">
      <c r="A72" s="385"/>
      <c r="B72" s="386" t="s">
        <v>309</v>
      </c>
      <c r="D72" s="1263" t="s">
        <v>327</v>
      </c>
      <c r="E72" s="1263"/>
      <c r="F72" s="1263"/>
      <c r="I72" s="391"/>
    </row>
    <row r="73" spans="1:9">
      <c r="D73" s="1263"/>
      <c r="E73" s="1263"/>
      <c r="F73" s="1263"/>
      <c r="I73" s="391"/>
    </row>
    <row r="74" spans="1:9" ht="14.25">
      <c r="A74" s="385"/>
      <c r="B74" s="385"/>
      <c r="D74" s="348"/>
      <c r="I74" s="391"/>
    </row>
    <row r="75" spans="1:9">
      <c r="A75" s="1270" t="s">
        <v>328</v>
      </c>
      <c r="B75" s="1270"/>
      <c r="C75" s="1270"/>
      <c r="D75" s="1270"/>
      <c r="E75" s="1270"/>
      <c r="F75" s="1270"/>
      <c r="G75" s="1270"/>
      <c r="H75" s="919"/>
      <c r="I75" s="1042"/>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7" customHeight="1">
      <c r="A80" s="385"/>
      <c r="B80" s="386" t="s">
        <v>309</v>
      </c>
      <c r="D80" s="1263" t="s">
        <v>331</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332</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333</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334</v>
      </c>
      <c r="E96" s="1263"/>
      <c r="F96" s="1263"/>
      <c r="I96" s="391"/>
    </row>
    <row r="97" spans="1:9" s="881" customFormat="1" ht="14.25">
      <c r="A97" s="879"/>
      <c r="B97" s="879"/>
      <c r="C97" s="880"/>
      <c r="D97" s="1263"/>
      <c r="E97" s="1263"/>
      <c r="F97" s="1263"/>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63" t="s">
        <v>336</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314</v>
      </c>
      <c r="D103" s="1263" t="s">
        <v>337</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314</v>
      </c>
      <c r="D119" s="1285" t="s">
        <v>338</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309</v>
      </c>
      <c r="C128" s="305"/>
      <c r="D128" s="1285" t="s">
        <v>339</v>
      </c>
      <c r="E128" s="1285"/>
      <c r="F128" s="1285"/>
      <c r="I128" s="391"/>
    </row>
    <row r="129" spans="1:9" ht="14.25">
      <c r="A129" s="385"/>
      <c r="B129" s="385"/>
      <c r="C129" s="305"/>
      <c r="D129" s="1285"/>
      <c r="E129" s="1285"/>
      <c r="F129" s="1285"/>
      <c r="I129" s="391"/>
    </row>
    <row r="130" spans="1:9">
      <c r="I130" s="391"/>
    </row>
    <row r="131" spans="1:9" ht="14.25">
      <c r="A131" s="385"/>
      <c r="B131" s="386" t="s">
        <v>309</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341</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314</v>
      </c>
      <c r="D151" s="1263" t="s">
        <v>342</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343</v>
      </c>
      <c r="E169" s="1282"/>
      <c r="F169" s="1282"/>
      <c r="G169" s="408"/>
      <c r="I169" s="391"/>
    </row>
    <row r="170" spans="1:9" ht="13.7" customHeight="1">
      <c r="D170" s="1280"/>
      <c r="E170" s="1280"/>
      <c r="F170" s="1280"/>
      <c r="G170" s="1280"/>
      <c r="I170" s="391"/>
    </row>
    <row r="171" spans="1:9" ht="14.45" customHeight="1">
      <c r="A171" s="390"/>
      <c r="B171" s="386" t="s">
        <v>314</v>
      </c>
      <c r="C171" s="377"/>
      <c r="D171" s="1234" t="s">
        <v>344</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314</v>
      </c>
      <c r="C177" s="377"/>
      <c r="D177" s="1234" t="s">
        <v>345</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314</v>
      </c>
      <c r="D182" s="1275" t="s">
        <v>346</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347</v>
      </c>
      <c r="B186" s="1270"/>
      <c r="C186" s="1270"/>
      <c r="D186" s="1270"/>
      <c r="E186" s="1270"/>
      <c r="F186" s="1270"/>
      <c r="G186" s="1270"/>
      <c r="H186" s="919"/>
      <c r="I186" s="1042"/>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314</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309</v>
      </c>
      <c r="D201" s="1249" t="s">
        <v>357</v>
      </c>
      <c r="E201" s="1249"/>
      <c r="F201" s="1249"/>
      <c r="I201" s="391"/>
    </row>
    <row r="202" spans="1:9">
      <c r="A202" s="307"/>
      <c r="B202" s="307"/>
      <c r="D202" s="1250" t="s">
        <v>354</v>
      </c>
      <c r="E202" s="1250"/>
      <c r="F202" s="1250"/>
      <c r="I202" s="391"/>
    </row>
    <row r="203" spans="1:9">
      <c r="A203" s="307"/>
      <c r="B203" s="307"/>
      <c r="D203" s="49" t="s">
        <v>358</v>
      </c>
      <c r="E203" s="1287" t="s">
        <v>359</v>
      </c>
      <c r="F203" s="1287"/>
      <c r="I203" s="391"/>
    </row>
    <row r="204" spans="1:9">
      <c r="A204" s="307"/>
      <c r="B204" s="307"/>
      <c r="D204" s="3"/>
      <c r="E204" s="3"/>
      <c r="F204" s="3"/>
      <c r="I204" s="391"/>
    </row>
    <row r="205" spans="1:9">
      <c r="A205" s="307"/>
      <c r="B205" s="386" t="s">
        <v>314</v>
      </c>
      <c r="D205" s="1249" t="s">
        <v>360</v>
      </c>
      <c r="E205" s="1249"/>
      <c r="F205" s="1249"/>
      <c r="I205" s="391"/>
    </row>
    <row r="206" spans="1:9">
      <c r="A206" s="307"/>
      <c r="B206" s="307"/>
      <c r="D206" s="1250" t="s">
        <v>354</v>
      </c>
      <c r="E206" s="1250"/>
      <c r="F206" s="1250"/>
      <c r="I206" s="391"/>
    </row>
    <row r="207" spans="1:9">
      <c r="A207" s="307"/>
      <c r="B207" s="307"/>
      <c r="D207" s="49" t="s">
        <v>355</v>
      </c>
      <c r="E207" s="1287" t="s">
        <v>361</v>
      </c>
      <c r="F207" s="1287"/>
      <c r="I207" s="391"/>
    </row>
    <row r="208" spans="1:9">
      <c r="A208" s="307"/>
      <c r="B208" s="307"/>
      <c r="D208" s="295"/>
      <c r="E208" s="295"/>
      <c r="F208" s="295"/>
      <c r="I208" s="391"/>
    </row>
    <row r="209" spans="1:9" ht="14.25" customHeight="1">
      <c r="A209" s="385"/>
      <c r="B209" s="386" t="s">
        <v>309</v>
      </c>
      <c r="D209" s="289" t="s">
        <v>362</v>
      </c>
      <c r="E209" s="288"/>
      <c r="F209" s="288"/>
      <c r="I209" s="391"/>
    </row>
    <row r="210" spans="1:9" ht="14.25">
      <c r="A210" s="385"/>
      <c r="B210" s="385"/>
      <c r="D210" s="1250" t="s">
        <v>354</v>
      </c>
      <c r="E210" s="1250"/>
      <c r="F210" s="1250"/>
      <c r="I210" s="391"/>
    </row>
    <row r="211" spans="1:9">
      <c r="D211" s="288"/>
      <c r="E211" s="1287" t="s">
        <v>363</v>
      </c>
      <c r="F211" s="1287"/>
      <c r="I211" s="391"/>
    </row>
    <row r="212" spans="1:9">
      <c r="D212" s="349"/>
      <c r="I212" s="391"/>
    </row>
    <row r="213" spans="1:9">
      <c r="B213" s="386" t="s">
        <v>314</v>
      </c>
      <c r="D213" s="1249" t="s">
        <v>364</v>
      </c>
      <c r="E213" s="1249"/>
      <c r="F213" s="1249"/>
      <c r="I213" s="391"/>
    </row>
    <row r="214" spans="1:9">
      <c r="D214" s="1250" t="s">
        <v>354</v>
      </c>
      <c r="E214" s="1250"/>
      <c r="F214" s="1250"/>
      <c r="I214" s="391"/>
    </row>
    <row r="215" spans="1:9">
      <c r="D215" s="49" t="s">
        <v>355</v>
      </c>
      <c r="E215" s="1287" t="s">
        <v>365</v>
      </c>
      <c r="F215" s="1287"/>
      <c r="I215" s="391"/>
    </row>
    <row r="216" spans="1:9">
      <c r="D216" s="353"/>
      <c r="E216" s="353"/>
      <c r="F216" s="353"/>
      <c r="I216" s="391"/>
    </row>
    <row r="217" spans="1:9" ht="14.25">
      <c r="A217" s="385"/>
      <c r="B217" s="386" t="s">
        <v>314</v>
      </c>
      <c r="D217" s="1263" t="s">
        <v>366</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367</v>
      </c>
      <c r="B222" s="1270"/>
      <c r="C222" s="1270"/>
      <c r="D222" s="1270"/>
      <c r="E222" s="1270"/>
      <c r="F222" s="1270"/>
      <c r="G222" s="1270"/>
      <c r="H222" s="919"/>
      <c r="I222" s="1042"/>
    </row>
    <row r="223" spans="1:9" ht="12" customHeight="1">
      <c r="D223" s="348"/>
      <c r="E223" s="348"/>
      <c r="F223" s="348"/>
      <c r="I223" s="391"/>
    </row>
    <row r="224" spans="1:9">
      <c r="C224" s="387"/>
      <c r="D224" s="1271" t="s">
        <v>368</v>
      </c>
      <c r="E224" s="1271"/>
      <c r="F224" s="1271"/>
      <c r="I224" s="391"/>
    </row>
    <row r="225" spans="1:9">
      <c r="A225" s="383"/>
      <c r="B225" s="383"/>
      <c r="C225" s="383"/>
      <c r="D225" s="1261" t="s">
        <v>369</v>
      </c>
      <c r="E225" s="1261"/>
      <c r="F225" s="1261"/>
      <c r="I225" s="391"/>
    </row>
    <row r="226" spans="1:9" ht="12" customHeight="1">
      <c r="A226" s="391"/>
      <c r="B226" s="391"/>
      <c r="C226" s="391"/>
      <c r="I226" s="391"/>
    </row>
    <row r="227" spans="1:9" ht="13.7" customHeight="1">
      <c r="A227" s="391"/>
      <c r="C227" s="391"/>
      <c r="D227" s="1271" t="s">
        <v>370</v>
      </c>
      <c r="E227" s="1271"/>
      <c r="F227" s="1271"/>
      <c r="I227" s="391"/>
    </row>
    <row r="228" spans="1:9" ht="14.25">
      <c r="A228" s="385"/>
      <c r="B228" s="386" t="s">
        <v>309</v>
      </c>
      <c r="D228" s="1263" t="s">
        <v>371</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372</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373</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314</v>
      </c>
      <c r="D245" s="1263" t="s">
        <v>374</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63" t="s">
        <v>376</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63" t="s">
        <v>379</v>
      </c>
      <c r="E259" s="1263"/>
      <c r="F259" s="1263"/>
      <c r="I259" s="391"/>
    </row>
    <row r="260" spans="1:9" ht="14.25">
      <c r="A260" s="385"/>
      <c r="B260" s="385"/>
      <c r="D260" s="1263"/>
      <c r="E260" s="1263"/>
      <c r="F260" s="1263"/>
      <c r="I260" s="391"/>
    </row>
    <row r="261" spans="1:9">
      <c r="D261" s="392"/>
      <c r="I261" s="391"/>
    </row>
    <row r="262" spans="1:9">
      <c r="A262" s="1270" t="s">
        <v>380</v>
      </c>
      <c r="B262" s="1270"/>
      <c r="C262" s="1270"/>
      <c r="D262" s="1270"/>
      <c r="E262" s="1270"/>
      <c r="F262" s="1270"/>
      <c r="G262" s="1270"/>
      <c r="H262" s="919"/>
      <c r="I262" s="1042"/>
    </row>
    <row r="263" spans="1:9">
      <c r="D263" s="392"/>
      <c r="I263" s="391"/>
    </row>
    <row r="264" spans="1:9">
      <c r="C264" s="387"/>
      <c r="D264" s="1271" t="s">
        <v>381</v>
      </c>
      <c r="E264" s="1271"/>
      <c r="F264" s="1271"/>
      <c r="I264" s="391"/>
    </row>
    <row r="265" spans="1:9">
      <c r="A265" s="383"/>
      <c r="B265" s="383"/>
      <c r="C265" s="383"/>
      <c r="D265" s="348"/>
      <c r="E265" s="348"/>
      <c r="F265" s="348"/>
      <c r="I265" s="391"/>
    </row>
    <row r="266" spans="1:9">
      <c r="A266" s="384"/>
      <c r="B266" s="384"/>
      <c r="C266" s="384"/>
      <c r="D266" s="1271" t="s">
        <v>382</v>
      </c>
      <c r="E266" s="1271"/>
      <c r="F266" s="1271"/>
      <c r="I266" s="391"/>
    </row>
    <row r="267" spans="1:9" ht="14.45" customHeight="1">
      <c r="A267" s="385"/>
      <c r="B267" s="386" t="s">
        <v>314</v>
      </c>
      <c r="D267" s="1263" t="s">
        <v>383</v>
      </c>
      <c r="E267" s="1263"/>
      <c r="F267" s="1263"/>
      <c r="I267" s="391"/>
    </row>
    <row r="268" spans="1:9">
      <c r="D268" s="1263"/>
      <c r="E268" s="1263"/>
      <c r="F268" s="1263"/>
      <c r="I268" s="391"/>
    </row>
    <row r="269" spans="1:9">
      <c r="E269" s="927" t="s">
        <v>384</v>
      </c>
      <c r="I269" s="391"/>
    </row>
    <row r="270" spans="1:9">
      <c r="D270" s="348"/>
      <c r="E270" s="348"/>
      <c r="F270" s="348"/>
      <c r="I270" s="391"/>
    </row>
    <row r="271" spans="1:9" ht="14.45" customHeight="1">
      <c r="A271" s="385"/>
      <c r="B271" s="386" t="s">
        <v>314</v>
      </c>
      <c r="D271" s="1263" t="s">
        <v>385</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314</v>
      </c>
      <c r="D278" s="1263" t="s">
        <v>386</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387</v>
      </c>
      <c r="B282" s="1270"/>
      <c r="C282" s="1270"/>
      <c r="D282" s="1270"/>
      <c r="E282" s="1270"/>
      <c r="F282" s="1270"/>
      <c r="G282" s="1270"/>
      <c r="H282" s="919"/>
      <c r="I282" s="1042"/>
    </row>
    <row r="283" spans="1:9">
      <c r="D283" s="393"/>
      <c r="E283" s="348"/>
      <c r="F283" s="348"/>
      <c r="I283" s="391"/>
    </row>
    <row r="284" spans="1:9">
      <c r="C284" s="383"/>
      <c r="D284" s="1279" t="s">
        <v>388</v>
      </c>
      <c r="E284" s="1279"/>
      <c r="F284" s="1279"/>
      <c r="I284" s="391"/>
    </row>
    <row r="285" spans="1:9">
      <c r="C285" s="383"/>
      <c r="D285" s="1279"/>
      <c r="E285" s="1279"/>
      <c r="F285" s="1279"/>
      <c r="I285" s="391"/>
    </row>
    <row r="286" spans="1:9">
      <c r="A286" s="384"/>
      <c r="B286" s="384"/>
      <c r="C286" s="384"/>
      <c r="D286" s="307"/>
      <c r="I286" s="391"/>
    </row>
    <row r="287" spans="1:9">
      <c r="C287" s="384"/>
      <c r="D287" s="1271" t="s">
        <v>389</v>
      </c>
      <c r="E287" s="1271"/>
      <c r="F287" s="1271"/>
      <c r="I287" s="391"/>
    </row>
    <row r="288" spans="1:9" ht="15.75" customHeight="1">
      <c r="A288" s="385"/>
      <c r="B288" s="385"/>
      <c r="D288" s="1288" t="s">
        <v>390</v>
      </c>
      <c r="E288" s="1288"/>
      <c r="F288" s="1288"/>
      <c r="I288" s="391"/>
    </row>
    <row r="289" spans="1:9">
      <c r="E289" s="348"/>
      <c r="F289" s="348"/>
      <c r="I289" s="391"/>
    </row>
    <row r="290" spans="1:9" ht="14.25">
      <c r="A290" s="385"/>
      <c r="B290" s="386" t="s">
        <v>314</v>
      </c>
      <c r="D290" s="1263" t="s">
        <v>391</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392</v>
      </c>
      <c r="D293" s="1263" t="s">
        <v>393</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314</v>
      </c>
      <c r="D297" s="1263" t="s">
        <v>394</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395</v>
      </c>
      <c r="B300" s="1270"/>
      <c r="C300" s="1270"/>
      <c r="D300" s="1270"/>
      <c r="E300" s="1270"/>
      <c r="F300" s="1270"/>
      <c r="G300" s="1270"/>
      <c r="H300" s="919"/>
      <c r="I300" s="1042"/>
    </row>
    <row r="301" spans="1:9">
      <c r="A301" s="391"/>
      <c r="B301" s="391"/>
      <c r="D301" s="348"/>
      <c r="E301" s="348"/>
      <c r="F301" s="348"/>
      <c r="I301" s="391"/>
    </row>
    <row r="302" spans="1:9">
      <c r="C302" s="391"/>
      <c r="D302" s="1271" t="s">
        <v>396</v>
      </c>
      <c r="E302" s="1271"/>
      <c r="F302" s="1271"/>
      <c r="I302" s="391"/>
    </row>
    <row r="303" spans="1:9">
      <c r="C303" s="391"/>
      <c r="D303" s="1261" t="s">
        <v>397</v>
      </c>
      <c r="E303" s="1261"/>
      <c r="F303" s="1261"/>
      <c r="I303" s="391"/>
    </row>
    <row r="304" spans="1:9">
      <c r="C304" s="391"/>
      <c r="D304" s="394"/>
      <c r="I304" s="391"/>
    </row>
    <row r="305" spans="1:9">
      <c r="B305" s="386" t="s">
        <v>314</v>
      </c>
      <c r="D305" s="1261" t="s">
        <v>398</v>
      </c>
      <c r="E305" s="1261"/>
      <c r="F305" s="1261"/>
      <c r="I305" s="391"/>
    </row>
    <row r="306" spans="1:9" ht="14.25">
      <c r="A306" s="385"/>
      <c r="B306" s="385"/>
      <c r="D306" s="395"/>
      <c r="E306" s="396"/>
      <c r="F306" s="396"/>
      <c r="I306" s="391"/>
    </row>
    <row r="307" spans="1:9" ht="13.7" customHeight="1">
      <c r="B307" s="386" t="s">
        <v>314</v>
      </c>
      <c r="D307" s="1272" t="s">
        <v>399</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314</v>
      </c>
      <c r="D313" s="1272" t="s">
        <v>400</v>
      </c>
      <c r="E313" s="1272"/>
      <c r="F313" s="1272"/>
      <c r="I313" s="391"/>
    </row>
    <row r="314" spans="1:9">
      <c r="D314" s="1272"/>
      <c r="E314" s="1272"/>
      <c r="F314" s="1272"/>
      <c r="I314" s="391"/>
    </row>
    <row r="315" spans="1:9" ht="14.25">
      <c r="A315" s="385"/>
      <c r="B315" s="385"/>
      <c r="D315" s="395"/>
      <c r="E315" s="396"/>
      <c r="F315" s="396"/>
      <c r="I315" s="391"/>
    </row>
    <row r="316" spans="1:9">
      <c r="B316" s="386" t="s">
        <v>314</v>
      </c>
      <c r="D316" s="1261" t="s">
        <v>401</v>
      </c>
      <c r="E316" s="1261"/>
      <c r="F316" s="1261"/>
      <c r="I316" s="391"/>
    </row>
    <row r="317" spans="1:9">
      <c r="E317" s="348"/>
      <c r="F317" s="348"/>
      <c r="I317" s="391"/>
    </row>
    <row r="318" spans="1:9" ht="14.25">
      <c r="A318" s="385"/>
      <c r="B318" s="386" t="s">
        <v>314</v>
      </c>
      <c r="D318" s="1263" t="s">
        <v>402</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314</v>
      </c>
      <c r="D334" s="1263" t="s">
        <v>403</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314</v>
      </c>
      <c r="D344" s="1263" t="s">
        <v>404</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405</v>
      </c>
      <c r="G349" s="71"/>
      <c r="I349" s="391"/>
    </row>
    <row r="350" spans="1:9">
      <c r="D350" s="347"/>
      <c r="E350" s="347"/>
      <c r="F350" s="347"/>
      <c r="I350" s="391"/>
    </row>
    <row r="351" spans="1:9" ht="13.5" thickBot="1">
      <c r="A351" s="913"/>
      <c r="B351" s="913"/>
      <c r="C351" s="913"/>
      <c r="D351" s="1291" t="s">
        <v>406</v>
      </c>
      <c r="E351" s="1291"/>
      <c r="F351" s="1291"/>
      <c r="G351" s="918"/>
      <c r="H351" s="918"/>
      <c r="I351" s="1045"/>
    </row>
    <row r="352" spans="1:9" ht="13.5" thickTop="1">
      <c r="D352" s="1290" t="s">
        <v>407</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61" t="s">
        <v>408</v>
      </c>
      <c r="E355" s="1261"/>
      <c r="F355" s="1261"/>
      <c r="I355" s="391"/>
    </row>
    <row r="356" spans="1:9" ht="12.75" customHeight="1">
      <c r="D356" s="928"/>
      <c r="E356" s="71" t="s">
        <v>409</v>
      </c>
      <c r="F356" s="928"/>
      <c r="I356" s="391"/>
    </row>
    <row r="357" spans="1:9">
      <c r="D357" s="1263" t="s">
        <v>410</v>
      </c>
      <c r="E357" s="1263"/>
      <c r="F357" s="1263"/>
      <c r="I357" s="391"/>
    </row>
    <row r="358" spans="1:9">
      <c r="D358" s="1263"/>
      <c r="E358" s="1263"/>
      <c r="F358" s="1263"/>
      <c r="I358" s="391"/>
    </row>
    <row r="359" spans="1:9">
      <c r="D359" s="1263"/>
      <c r="E359" s="1263"/>
      <c r="F359" s="1263"/>
      <c r="I359" s="391"/>
    </row>
    <row r="360" spans="1:9" ht="14.25">
      <c r="A360" s="385"/>
      <c r="B360" s="386" t="s">
        <v>314</v>
      </c>
      <c r="C360" s="377"/>
      <c r="D360" s="1280" t="s">
        <v>411</v>
      </c>
      <c r="E360" s="1280"/>
      <c r="F360" s="1280"/>
      <c r="I360" s="381"/>
    </row>
    <row r="361" spans="1:9">
      <c r="A361" s="377"/>
      <c r="B361" s="377"/>
      <c r="C361" s="377"/>
      <c r="D361" s="349"/>
      <c r="E361" s="349"/>
      <c r="F361" s="348"/>
      <c r="I361" s="391"/>
    </row>
    <row r="362" spans="1:9">
      <c r="A362" s="377"/>
      <c r="B362" s="386" t="s">
        <v>314</v>
      </c>
      <c r="C362" s="377"/>
      <c r="D362" s="1234" t="s">
        <v>412</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4" customHeight="1">
      <c r="A375" s="377"/>
      <c r="B375" s="386" t="s">
        <v>314</v>
      </c>
      <c r="C375" s="377"/>
      <c r="D375" s="1242" t="s">
        <v>413</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314</v>
      </c>
      <c r="C387" s="377"/>
      <c r="D387" s="1234" t="s">
        <v>420</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421</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422</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314</v>
      </c>
      <c r="C420" s="377"/>
      <c r="D420" s="1234" t="s">
        <v>423</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314</v>
      </c>
      <c r="D423" s="1234" t="s">
        <v>424</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314</v>
      </c>
      <c r="C429" s="377"/>
      <c r="D429" s="1234" t="s">
        <v>425</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426</v>
      </c>
      <c r="E433" s="1234"/>
      <c r="F433" s="1234"/>
      <c r="I433" s="391"/>
    </row>
    <row r="434" spans="1:9">
      <c r="D434" s="348"/>
      <c r="E434" s="348"/>
      <c r="F434" s="348"/>
      <c r="I434" s="391"/>
    </row>
    <row r="435" spans="1:9" ht="14.25">
      <c r="A435" s="385"/>
      <c r="B435" s="386" t="s">
        <v>314</v>
      </c>
      <c r="C435" s="388"/>
      <c r="D435" s="1263" t="s">
        <v>427</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314</v>
      </c>
      <c r="C467" s="388"/>
      <c r="D467" s="1263" t="s">
        <v>428</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314</v>
      </c>
      <c r="C471" s="385"/>
      <c r="D471" s="1263" t="s">
        <v>429</v>
      </c>
      <c r="E471" s="1263"/>
      <c r="F471" s="1263"/>
      <c r="I471" s="391"/>
    </row>
    <row r="472" spans="1:9">
      <c r="D472" s="1263"/>
      <c r="E472" s="1263"/>
      <c r="F472" s="1263"/>
      <c r="I472" s="391"/>
    </row>
    <row r="473" spans="1:9">
      <c r="D473" s="348"/>
      <c r="E473" s="348"/>
      <c r="F473" s="348"/>
      <c r="I473" s="391"/>
    </row>
    <row r="474" spans="1:9" ht="14.25">
      <c r="B474" s="386" t="s">
        <v>314</v>
      </c>
      <c r="C474" s="385"/>
      <c r="D474" s="1263" t="s">
        <v>430</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314</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314</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314</v>
      </c>
      <c r="C486" s="305"/>
      <c r="D486" s="1263"/>
      <c r="E486" s="1263"/>
      <c r="F486" s="1263"/>
      <c r="I486" s="391"/>
    </row>
    <row r="487" spans="1:9">
      <c r="A487" s="305"/>
      <c r="C487" s="305"/>
      <c r="D487" s="1263"/>
      <c r="E487" s="1263"/>
      <c r="F487" s="1263"/>
      <c r="I487" s="391"/>
    </row>
    <row r="488" spans="1:9">
      <c r="A488" s="305"/>
      <c r="B488" s="386" t="s">
        <v>314</v>
      </c>
      <c r="C488" s="305"/>
      <c r="D488" s="1263" t="s">
        <v>431</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432</v>
      </c>
      <c r="E494" s="1261"/>
      <c r="F494" s="1261"/>
      <c r="I494" s="391"/>
    </row>
    <row r="495" spans="1:9">
      <c r="A495" s="348"/>
      <c r="B495" s="348"/>
      <c r="I495" s="391"/>
    </row>
    <row r="496" spans="1:9">
      <c r="A496" s="1270" t="s">
        <v>433</v>
      </c>
      <c r="B496" s="1270"/>
      <c r="C496" s="1270"/>
      <c r="D496" s="1270"/>
      <c r="E496" s="1270"/>
      <c r="F496" s="1270"/>
      <c r="G496" s="1270"/>
      <c r="H496" s="919"/>
      <c r="I496" s="1042"/>
    </row>
    <row r="497" spans="1:9">
      <c r="A497" s="348"/>
      <c r="B497" s="348"/>
      <c r="I497" s="391"/>
    </row>
    <row r="498" spans="1:9">
      <c r="D498" s="1289" t="s">
        <v>434</v>
      </c>
      <c r="E498" s="1289"/>
      <c r="F498" s="1289"/>
      <c r="I498" s="391"/>
    </row>
    <row r="499" spans="1:9" ht="14.25">
      <c r="A499" s="385"/>
      <c r="B499" s="385"/>
      <c r="D499" s="1280" t="s">
        <v>435</v>
      </c>
      <c r="E499" s="1280"/>
      <c r="F499" s="1280"/>
      <c r="I499" s="391"/>
    </row>
    <row r="500" spans="1:9" ht="14.25">
      <c r="A500" s="385"/>
      <c r="B500" s="385"/>
      <c r="D500" s="349"/>
      <c r="I500" s="391"/>
    </row>
    <row r="501" spans="1:9" ht="14.25">
      <c r="A501" s="385"/>
      <c r="B501" s="386" t="s">
        <v>314</v>
      </c>
      <c r="D501" s="1234" t="s">
        <v>436</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314</v>
      </c>
      <c r="D504" s="1275" t="s">
        <v>437</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314</v>
      </c>
      <c r="D509" s="1261" t="s">
        <v>438</v>
      </c>
      <c r="E509" s="1261"/>
      <c r="F509" s="1261"/>
      <c r="I509" s="391"/>
    </row>
    <row r="510" spans="1:9" ht="14.25">
      <c r="A510" s="385"/>
      <c r="B510" s="385"/>
      <c r="D510" s="348"/>
      <c r="I510" s="391"/>
    </row>
    <row r="511" spans="1:9" ht="14.25">
      <c r="A511" s="385"/>
      <c r="B511" s="386" t="s">
        <v>314</v>
      </c>
      <c r="D511" s="1263" t="s">
        <v>439</v>
      </c>
      <c r="E511" s="1263"/>
      <c r="F511" s="1263"/>
      <c r="I511" s="391"/>
    </row>
    <row r="512" spans="1:9" ht="14.25">
      <c r="A512" s="385"/>
      <c r="D512" s="1263"/>
      <c r="E512" s="1263"/>
      <c r="F512" s="1263"/>
      <c r="I512" s="391"/>
    </row>
    <row r="513" spans="1:9">
      <c r="A513" s="391"/>
      <c r="B513" s="391"/>
      <c r="D513" s="349"/>
      <c r="I513" s="391"/>
    </row>
    <row r="514" spans="1:9">
      <c r="A514" s="391"/>
      <c r="B514" s="386" t="s">
        <v>314</v>
      </c>
      <c r="D514" s="1261" t="s">
        <v>440</v>
      </c>
      <c r="E514" s="1261"/>
      <c r="F514" s="1261"/>
      <c r="I514" s="391"/>
    </row>
    <row r="515" spans="1:9">
      <c r="D515" s="348"/>
      <c r="E515" s="348"/>
      <c r="F515" s="348"/>
      <c r="I515" s="391"/>
    </row>
    <row r="516" spans="1:9">
      <c r="B516" s="386" t="s">
        <v>314</v>
      </c>
      <c r="D516" s="1263" t="s">
        <v>441</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442</v>
      </c>
      <c r="B521" s="1270"/>
      <c r="C521" s="1270"/>
      <c r="D521" s="1270"/>
      <c r="E521" s="1270"/>
      <c r="F521" s="1270"/>
      <c r="G521" s="1270"/>
      <c r="H521" s="919"/>
      <c r="I521" s="1042"/>
    </row>
    <row r="522" spans="1:9" ht="12" customHeight="1">
      <c r="A522" s="385"/>
      <c r="B522" s="385"/>
      <c r="D522" s="348"/>
      <c r="I522" s="391"/>
    </row>
    <row r="523" spans="1:9">
      <c r="C523" s="383"/>
      <c r="D523" s="1271" t="s">
        <v>443</v>
      </c>
      <c r="E523" s="1271"/>
      <c r="F523" s="1271"/>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309</v>
      </c>
      <c r="C527" s="384"/>
      <c r="D527" s="1234" t="s">
        <v>446</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314</v>
      </c>
      <c r="D530" s="289" t="s">
        <v>447</v>
      </c>
      <c r="E530" s="288"/>
      <c r="F530" s="288"/>
      <c r="I530" s="391"/>
    </row>
    <row r="531" spans="1:9">
      <c r="A531" s="384"/>
      <c r="B531" s="384"/>
      <c r="C531" s="384"/>
      <c r="D531" s="288"/>
      <c r="E531" s="71" t="s">
        <v>448</v>
      </c>
      <c r="I531" s="391"/>
    </row>
    <row r="532" spans="1:9">
      <c r="A532" s="384"/>
      <c r="B532" s="384"/>
      <c r="D532" s="1242" t="s">
        <v>449</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314</v>
      </c>
      <c r="C536" s="384"/>
      <c r="D536" s="1263" t="s">
        <v>450</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451</v>
      </c>
      <c r="B539" s="1270"/>
      <c r="C539" s="1270"/>
      <c r="D539" s="1270"/>
      <c r="E539" s="1270"/>
      <c r="F539" s="1270"/>
      <c r="G539" s="1270"/>
      <c r="H539" s="919"/>
      <c r="I539" s="1042"/>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452</v>
      </c>
      <c r="B543" s="1262"/>
      <c r="C543" s="1262"/>
      <c r="D543" s="1262"/>
      <c r="E543" s="1262"/>
      <c r="F543" s="1262"/>
      <c r="G543" s="1262"/>
      <c r="H543" s="919"/>
      <c r="I543" s="1042"/>
    </row>
    <row r="544" spans="1:9">
      <c r="A544" s="348"/>
      <c r="B544" s="348"/>
      <c r="C544" s="388"/>
      <c r="D544" s="348"/>
      <c r="F544" s="348"/>
      <c r="I544" s="391"/>
    </row>
    <row r="545" spans="1:9">
      <c r="C545" s="388"/>
      <c r="D545" s="1271" t="s">
        <v>453</v>
      </c>
      <c r="E545" s="1271"/>
      <c r="F545" s="1271"/>
      <c r="I545" s="391"/>
    </row>
    <row r="546" spans="1:9">
      <c r="C546" s="388"/>
      <c r="D546" s="1261" t="s">
        <v>454</v>
      </c>
      <c r="E546" s="1261"/>
      <c r="F546" s="1261"/>
      <c r="I546" s="391"/>
    </row>
    <row r="547" spans="1:9">
      <c r="C547" s="388"/>
      <c r="D547" s="348"/>
      <c r="E547" s="348"/>
      <c r="F547" s="348"/>
      <c r="I547" s="391"/>
    </row>
    <row r="548" spans="1:9" ht="13.7" customHeight="1">
      <c r="A548" s="385"/>
      <c r="B548" s="386" t="s">
        <v>309</v>
      </c>
      <c r="C548" s="388"/>
      <c r="D548" s="1261" t="s">
        <v>455</v>
      </c>
      <c r="E548" s="1261"/>
      <c r="F548" s="1261"/>
      <c r="I548" s="391"/>
    </row>
    <row r="549" spans="1:9" ht="13.7" customHeight="1">
      <c r="A549" s="388"/>
      <c r="B549" s="388"/>
      <c r="C549" s="388"/>
      <c r="D549" s="348"/>
      <c r="I549" s="391"/>
    </row>
    <row r="550" spans="1:9" ht="14.25">
      <c r="A550" s="385"/>
      <c r="B550" s="386" t="s">
        <v>309</v>
      </c>
      <c r="C550" s="388"/>
      <c r="D550" s="1263" t="s">
        <v>456</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457</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458</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459</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314</v>
      </c>
      <c r="C563" s="388"/>
      <c r="D563" s="1263" t="s">
        <v>460</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309</v>
      </c>
      <c r="C566" s="388"/>
      <c r="D566" s="1263" t="s">
        <v>461</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462</v>
      </c>
      <c r="E569" s="1261"/>
      <c r="F569" s="1261"/>
      <c r="I569" s="391"/>
    </row>
    <row r="570" spans="1:9">
      <c r="A570" s="391"/>
      <c r="B570" s="391"/>
      <c r="C570" s="388"/>
      <c r="D570" s="1261" t="s">
        <v>463</v>
      </c>
      <c r="E570" s="1261"/>
      <c r="F570" s="1261"/>
      <c r="I570" s="391"/>
    </row>
    <row r="571" spans="1:9">
      <c r="A571" s="391"/>
      <c r="B571" s="391"/>
      <c r="C571" s="388"/>
      <c r="E571" s="71" t="s">
        <v>464</v>
      </c>
      <c r="F571" s="307"/>
      <c r="I571" s="391"/>
    </row>
    <row r="572" spans="1:9" ht="14.25">
      <c r="A572" s="385"/>
      <c r="B572" s="385"/>
      <c r="C572" s="388"/>
      <c r="E572" s="348"/>
      <c r="F572" s="348"/>
      <c r="I572" s="391"/>
    </row>
    <row r="573" spans="1:9" ht="14.25">
      <c r="A573" s="385"/>
      <c r="B573" s="386" t="s">
        <v>309</v>
      </c>
      <c r="C573" s="388"/>
      <c r="D573" s="1261" t="s">
        <v>465</v>
      </c>
      <c r="E573" s="1261"/>
      <c r="F573" s="1261"/>
      <c r="I573" s="391"/>
    </row>
    <row r="574" spans="1:9">
      <c r="C574" s="388"/>
      <c r="D574" s="1263" t="s">
        <v>466</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467</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468</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469</v>
      </c>
      <c r="E585" s="1279"/>
      <c r="F585" s="1279"/>
      <c r="I585" s="391"/>
    </row>
    <row r="586" spans="1:9">
      <c r="A586" s="384"/>
      <c r="B586" s="384"/>
      <c r="C586" s="384"/>
      <c r="D586" s="1275" t="s">
        <v>470</v>
      </c>
      <c r="E586" s="1275"/>
      <c r="F586" s="1275"/>
      <c r="I586" s="391"/>
    </row>
    <row r="587" spans="1:9">
      <c r="A587" s="305"/>
      <c r="B587" s="305"/>
      <c r="C587" s="384"/>
      <c r="D587" s="400"/>
      <c r="I587" s="391"/>
    </row>
    <row r="588" spans="1:9">
      <c r="A588" s="384"/>
      <c r="B588" s="386" t="s">
        <v>309</v>
      </c>
      <c r="D588" s="1275" t="s">
        <v>471</v>
      </c>
      <c r="E588" s="1275"/>
      <c r="F588" s="1275"/>
      <c r="I588" s="391"/>
    </row>
    <row r="589" spans="1:9">
      <c r="A589" s="391"/>
      <c r="B589" s="391"/>
      <c r="D589" s="377"/>
      <c r="I589" s="391"/>
    </row>
    <row r="590" spans="1:9">
      <c r="A590" s="391"/>
      <c r="B590" s="386" t="s">
        <v>309</v>
      </c>
      <c r="D590" s="1275" t="s">
        <v>472</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473</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474</v>
      </c>
      <c r="E599" s="1275"/>
      <c r="F599" s="1275"/>
      <c r="I599" s="391"/>
    </row>
    <row r="600" spans="1:9">
      <c r="A600" s="391"/>
      <c r="B600" s="391"/>
      <c r="D600" s="1275"/>
      <c r="E600" s="1275"/>
      <c r="F600" s="1275"/>
      <c r="I600" s="391"/>
    </row>
    <row r="601" spans="1:9">
      <c r="A601" s="391"/>
      <c r="B601" s="391"/>
      <c r="D601" s="400"/>
      <c r="I601" s="391"/>
    </row>
    <row r="602" spans="1:9">
      <c r="A602" s="391"/>
      <c r="B602" s="386" t="s">
        <v>314</v>
      </c>
      <c r="D602" s="1275" t="s">
        <v>475</v>
      </c>
      <c r="E602" s="1275"/>
      <c r="F602" s="1275"/>
      <c r="I602" s="391"/>
    </row>
    <row r="603" spans="1:9">
      <c r="A603" s="391"/>
      <c r="B603" s="391"/>
      <c r="D603" s="1275"/>
      <c r="E603" s="1275"/>
      <c r="F603" s="1275"/>
      <c r="I603" s="391"/>
    </row>
    <row r="604" spans="1:9" ht="14.25">
      <c r="A604" s="385"/>
      <c r="B604" s="385"/>
      <c r="D604" s="400"/>
      <c r="I604" s="391"/>
    </row>
    <row r="605" spans="1:9">
      <c r="A605" s="1270" t="s">
        <v>476</v>
      </c>
      <c r="B605" s="1270"/>
      <c r="C605" s="1270"/>
      <c r="D605" s="1270"/>
      <c r="E605" s="1270"/>
      <c r="F605" s="1270"/>
      <c r="G605" s="1270"/>
      <c r="H605" s="919"/>
      <c r="I605" s="1042"/>
    </row>
    <row r="606" spans="1:9">
      <c r="I606" s="391"/>
    </row>
    <row r="607" spans="1:9">
      <c r="D607" s="1271" t="s">
        <v>477</v>
      </c>
      <c r="E607" s="1271"/>
      <c r="F607" s="1271"/>
      <c r="I607" s="391"/>
    </row>
    <row r="608" spans="1:9">
      <c r="D608" s="1243" t="s">
        <v>478</v>
      </c>
      <c r="E608" s="1243"/>
      <c r="F608" s="1243"/>
      <c r="I608" s="391"/>
    </row>
    <row r="609" spans="1:9">
      <c r="D609" s="346"/>
      <c r="I609" s="391"/>
    </row>
    <row r="610" spans="1:9" ht="14.25" customHeight="1">
      <c r="A610" s="385"/>
      <c r="B610" s="386" t="s">
        <v>309</v>
      </c>
      <c r="D610" s="1276" t="s">
        <v>479</v>
      </c>
      <c r="E610" s="1276"/>
      <c r="F610" s="1276"/>
      <c r="I610" s="391"/>
    </row>
    <row r="611" spans="1:9">
      <c r="D611" s="1276"/>
      <c r="E611" s="1276"/>
      <c r="F611" s="1276"/>
      <c r="I611" s="391"/>
    </row>
    <row r="612" spans="1:9">
      <c r="D612" s="288"/>
      <c r="E612" s="927" t="s">
        <v>480</v>
      </c>
      <c r="F612" s="288"/>
      <c r="I612" s="391"/>
    </row>
    <row r="613" spans="1:9">
      <c r="I613" s="391"/>
    </row>
    <row r="614" spans="1:9">
      <c r="A614" s="1270" t="s">
        <v>481</v>
      </c>
      <c r="B614" s="1270"/>
      <c r="C614" s="1270"/>
      <c r="D614" s="1270"/>
      <c r="E614" s="1270"/>
      <c r="F614" s="1270"/>
      <c r="G614" s="1270"/>
      <c r="H614" s="919"/>
      <c r="I614" s="1042"/>
    </row>
    <row r="615" spans="1:9">
      <c r="A615" s="348"/>
      <c r="B615" s="348"/>
      <c r="I615" s="391"/>
    </row>
    <row r="616" spans="1:9">
      <c r="A616" s="383"/>
      <c r="B616" s="383"/>
      <c r="C616" s="383"/>
      <c r="D616" s="1260" t="s">
        <v>482</v>
      </c>
      <c r="E616" s="1260"/>
      <c r="F616" s="1260"/>
      <c r="I616" s="391"/>
    </row>
    <row r="617" spans="1:9">
      <c r="A617" s="383"/>
      <c r="B617" s="383"/>
      <c r="C617" s="383"/>
      <c r="D617" s="1260"/>
      <c r="E617" s="1260"/>
      <c r="F617" s="1260"/>
      <c r="I617" s="391"/>
    </row>
    <row r="618" spans="1:9">
      <c r="C618" s="384"/>
      <c r="D618" s="1243" t="s">
        <v>483</v>
      </c>
      <c r="E618" s="1243"/>
      <c r="F618" s="1243"/>
      <c r="I618" s="391"/>
    </row>
    <row r="619" spans="1:9">
      <c r="C619" s="384"/>
      <c r="D619" s="346"/>
      <c r="E619" s="346"/>
      <c r="F619" s="346"/>
      <c r="I619" s="391"/>
    </row>
    <row r="620" spans="1:9" ht="12.75" customHeight="1">
      <c r="A620" s="391"/>
      <c r="B620" s="386" t="s">
        <v>309</v>
      </c>
      <c r="D620" s="1269" t="s">
        <v>484</v>
      </c>
      <c r="E620" s="1269"/>
      <c r="F620" s="1269"/>
      <c r="I620" s="391"/>
    </row>
    <row r="621" spans="1:9">
      <c r="D621" s="1269"/>
      <c r="E621" s="1269"/>
      <c r="F621" s="1269"/>
      <c r="I621" s="391"/>
    </row>
    <row r="622" spans="1:9">
      <c r="I622" s="391"/>
    </row>
    <row r="623" spans="1:9">
      <c r="B623" s="386" t="s">
        <v>309</v>
      </c>
      <c r="D623" s="1269" t="s">
        <v>485</v>
      </c>
      <c r="E623" s="1269"/>
      <c r="F623" s="1269"/>
      <c r="I623" s="391"/>
    </row>
    <row r="624" spans="1:9">
      <c r="C624" s="401"/>
      <c r="D624" s="1269"/>
      <c r="E624" s="1269"/>
      <c r="F624" s="1269"/>
      <c r="I624" s="391"/>
    </row>
    <row r="625" spans="1:9">
      <c r="C625" s="401"/>
      <c r="I625" s="391"/>
    </row>
    <row r="626" spans="1:9">
      <c r="B626" s="386" t="s">
        <v>314</v>
      </c>
      <c r="C626" s="401"/>
      <c r="D626" s="1269" t="s">
        <v>486</v>
      </c>
      <c r="E626" s="1269"/>
      <c r="F626" s="1269"/>
      <c r="I626" s="391"/>
    </row>
    <row r="627" spans="1:9">
      <c r="C627" s="401"/>
      <c r="D627" s="1269"/>
      <c r="E627" s="1269"/>
      <c r="F627" s="1269"/>
      <c r="I627" s="401"/>
    </row>
    <row r="628" spans="1:9">
      <c r="C628" s="401"/>
      <c r="I628" s="391"/>
    </row>
    <row r="629" spans="1:9">
      <c r="A629" s="1270" t="s">
        <v>487</v>
      </c>
      <c r="B629" s="1270"/>
      <c r="C629" s="1270"/>
      <c r="D629" s="1270"/>
      <c r="E629" s="1270"/>
      <c r="F629" s="1270"/>
      <c r="G629" s="1270"/>
      <c r="H629" s="919"/>
      <c r="I629" s="1042"/>
    </row>
    <row r="630" spans="1:9">
      <c r="A630" s="383"/>
      <c r="B630" s="383"/>
      <c r="C630" s="383"/>
      <c r="I630" s="391"/>
    </row>
    <row r="631" spans="1:9">
      <c r="C631" s="391"/>
      <c r="D631" s="1271" t="s">
        <v>488</v>
      </c>
      <c r="E631" s="1271"/>
      <c r="F631" s="1271"/>
      <c r="I631" s="391"/>
    </row>
    <row r="632" spans="1:9">
      <c r="A632" s="391"/>
      <c r="B632" s="391"/>
      <c r="D632" s="307"/>
      <c r="I632" s="391"/>
    </row>
    <row r="633" spans="1:9" ht="14.25" customHeight="1">
      <c r="A633" s="385"/>
      <c r="B633" s="386" t="s">
        <v>309</v>
      </c>
      <c r="D633" s="1276" t="s">
        <v>489</v>
      </c>
      <c r="E633" s="1276"/>
      <c r="F633" s="1276"/>
      <c r="I633" s="391"/>
    </row>
    <row r="634" spans="1:9">
      <c r="D634" s="1276"/>
      <c r="E634" s="1276"/>
      <c r="F634" s="1276"/>
      <c r="I634" s="391"/>
    </row>
    <row r="635" spans="1:9">
      <c r="D635" s="288"/>
      <c r="E635" s="927" t="s">
        <v>490</v>
      </c>
      <c r="F635" s="288"/>
      <c r="I635" s="391"/>
    </row>
    <row r="636" spans="1:9">
      <c r="D636" s="1263" t="s">
        <v>491</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314</v>
      </c>
      <c r="D640" s="1263" t="s">
        <v>492</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314</v>
      </c>
      <c r="C643" s="388"/>
      <c r="D643" s="1263" t="s">
        <v>493</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314</v>
      </c>
      <c r="C646" s="388"/>
      <c r="D646" s="1261" t="s">
        <v>494</v>
      </c>
      <c r="E646" s="1261"/>
      <c r="F646" s="1261"/>
      <c r="I646" s="391"/>
    </row>
    <row r="647" spans="1:9">
      <c r="A647" s="388"/>
      <c r="B647" s="388"/>
      <c r="C647" s="388"/>
      <c r="D647" s="348"/>
      <c r="E647" s="348"/>
      <c r="F647" s="348"/>
      <c r="I647" s="391"/>
    </row>
    <row r="648" spans="1:9">
      <c r="A648" s="1270" t="s">
        <v>495</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496</v>
      </c>
      <c r="E650" s="1271"/>
      <c r="F650" s="1271"/>
      <c r="I650" s="391"/>
    </row>
    <row r="651" spans="1:9">
      <c r="A651" s="384"/>
      <c r="B651" s="384"/>
      <c r="C651" s="384"/>
      <c r="D651" s="1261" t="s">
        <v>497</v>
      </c>
      <c r="E651" s="1261"/>
      <c r="F651" s="1261"/>
      <c r="I651" s="391"/>
    </row>
    <row r="652" spans="1:9">
      <c r="A652" s="384"/>
      <c r="B652" s="384"/>
      <c r="C652" s="384"/>
      <c r="D652" s="348"/>
      <c r="E652" s="348"/>
      <c r="F652" s="348"/>
      <c r="I652" s="391"/>
    </row>
    <row r="653" spans="1:9" ht="12.75" customHeight="1">
      <c r="B653" s="386" t="s">
        <v>309</v>
      </c>
      <c r="C653" s="388"/>
      <c r="D653" s="1263" t="s">
        <v>498</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309</v>
      </c>
      <c r="C658" s="388"/>
      <c r="D658" s="1263" t="s">
        <v>499</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314</v>
      </c>
      <c r="C664" s="388"/>
      <c r="D664" s="1263" t="s">
        <v>500</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314</v>
      </c>
      <c r="C669" s="388"/>
      <c r="D669" s="1263" t="s">
        <v>501</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502</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503</v>
      </c>
      <c r="E681" s="1271"/>
      <c r="F681" s="1271"/>
      <c r="H681" s="402"/>
      <c r="I681" s="384"/>
      <c r="J681" s="402"/>
      <c r="K681" s="402"/>
    </row>
    <row r="682" spans="1:11">
      <c r="A682" s="383"/>
      <c r="B682" s="383"/>
      <c r="C682" s="383"/>
      <c r="D682" s="1271" t="s">
        <v>504</v>
      </c>
      <c r="E682" s="1271"/>
      <c r="F682" s="1271"/>
      <c r="H682" s="402"/>
      <c r="I682" s="384"/>
      <c r="J682" s="402"/>
      <c r="K682" s="402"/>
    </row>
    <row r="683" spans="1:11">
      <c r="A683" s="384"/>
      <c r="B683" s="384"/>
      <c r="C683" s="384"/>
      <c r="D683" s="1261" t="s">
        <v>505</v>
      </c>
      <c r="E683" s="1261"/>
      <c r="F683" s="1261"/>
      <c r="H683" s="402"/>
      <c r="I683" s="384"/>
      <c r="J683" s="402"/>
      <c r="K683" s="402"/>
    </row>
    <row r="684" spans="1:11">
      <c r="A684" s="384"/>
      <c r="B684" s="384"/>
      <c r="C684" s="384"/>
      <c r="H684" s="402"/>
      <c r="I684" s="384"/>
      <c r="J684" s="402"/>
      <c r="K684" s="402"/>
    </row>
    <row r="685" spans="1:11" ht="14.25">
      <c r="A685" s="385"/>
      <c r="B685" s="386" t="s">
        <v>314</v>
      </c>
      <c r="C685" s="384"/>
      <c r="D685" s="1261" t="s">
        <v>506</v>
      </c>
      <c r="E685" s="1261"/>
      <c r="F685" s="1261"/>
      <c r="H685" s="402"/>
      <c r="I685" s="384"/>
      <c r="J685" s="402"/>
      <c r="K685" s="402"/>
    </row>
    <row r="686" spans="1:11">
      <c r="A686" s="384"/>
      <c r="B686" s="384"/>
      <c r="C686" s="384"/>
      <c r="D686" s="1261" t="s">
        <v>507</v>
      </c>
      <c r="E686" s="1261"/>
      <c r="F686" s="1261"/>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3" t="s">
        <v>510</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314</v>
      </c>
      <c r="C694" s="384"/>
      <c r="D694" s="1261" t="s">
        <v>511</v>
      </c>
      <c r="E694" s="1261"/>
      <c r="F694" s="1261"/>
      <c r="H694" s="402"/>
      <c r="I694" s="384"/>
      <c r="J694" s="402"/>
      <c r="K694" s="402"/>
    </row>
    <row r="695" spans="1:11" ht="14.25">
      <c r="A695" s="385"/>
      <c r="B695" s="385"/>
      <c r="C695" s="384"/>
      <c r="D695" s="1261" t="s">
        <v>507</v>
      </c>
      <c r="E695" s="1261"/>
      <c r="F695" s="1261"/>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61" t="s">
        <v>513</v>
      </c>
      <c r="E698" s="1261"/>
      <c r="F698" s="1261"/>
      <c r="H698" s="402"/>
      <c r="I698" s="384"/>
      <c r="J698" s="402"/>
      <c r="K698" s="402"/>
    </row>
    <row r="699" spans="1:11" ht="14.25">
      <c r="A699" s="385"/>
      <c r="B699" s="385"/>
      <c r="C699" s="384"/>
      <c r="D699" s="1261" t="s">
        <v>507</v>
      </c>
      <c r="E699" s="1261"/>
      <c r="F699" s="1261"/>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63" t="s">
        <v>515</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516</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3" t="s">
        <v>517</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518</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519</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520</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314</v>
      </c>
      <c r="C738" s="384"/>
      <c r="D738" s="1263" t="s">
        <v>521</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314</v>
      </c>
      <c r="C744" s="384"/>
      <c r="D744" s="1263" t="s">
        <v>522</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523</v>
      </c>
      <c r="E751" s="1264"/>
      <c r="F751" s="1264"/>
      <c r="H751" s="402"/>
      <c r="I751" s="384"/>
      <c r="J751" s="402"/>
      <c r="K751" s="402"/>
    </row>
    <row r="752" spans="1:11">
      <c r="A752" s="384"/>
      <c r="B752" s="384"/>
      <c r="C752" s="384"/>
      <c r="D752" s="244"/>
      <c r="H752" s="402"/>
      <c r="I752" s="384"/>
      <c r="J752" s="402"/>
      <c r="K752" s="402"/>
    </row>
    <row r="753" spans="1:11">
      <c r="A753" s="1262" t="s">
        <v>524</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525</v>
      </c>
      <c r="E755" s="1279"/>
      <c r="F755" s="1279"/>
      <c r="G755" s="402"/>
      <c r="H755" s="402"/>
      <c r="I755" s="384"/>
      <c r="J755" s="402"/>
      <c r="K755" s="402"/>
    </row>
    <row r="756" spans="1:11">
      <c r="A756" s="384"/>
      <c r="B756" s="384"/>
      <c r="C756" s="384"/>
      <c r="D756" s="1265" t="s">
        <v>526</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527</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3" t="s">
        <v>528</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309</v>
      </c>
      <c r="C770" s="405"/>
      <c r="D770" s="1269" t="s">
        <v>529</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314</v>
      </c>
      <c r="D774" s="1263" t="s">
        <v>530</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531</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532</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533</v>
      </c>
      <c r="E783" s="1277"/>
      <c r="F783" s="1277"/>
      <c r="G783" s="3"/>
      <c r="I783" s="391"/>
    </row>
    <row r="784" spans="1:11">
      <c r="A784" s="49"/>
      <c r="B784" s="49"/>
      <c r="C784" s="257"/>
      <c r="D784" s="1280" t="s">
        <v>534</v>
      </c>
      <c r="E784" s="1280"/>
      <c r="F784" s="1280"/>
      <c r="G784" s="3"/>
      <c r="I784" s="391"/>
    </row>
    <row r="785" spans="1:9">
      <c r="A785" s="49"/>
      <c r="B785" s="49"/>
      <c r="C785" s="257"/>
      <c r="D785" s="349"/>
      <c r="E785" s="349"/>
      <c r="F785" s="349"/>
      <c r="G785" s="3"/>
      <c r="I785" s="391"/>
    </row>
    <row r="786" spans="1:9">
      <c r="A786" s="49"/>
      <c r="B786" s="386" t="s">
        <v>309</v>
      </c>
      <c r="C786" s="257"/>
      <c r="D786" s="1256" t="s">
        <v>535</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536</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314</v>
      </c>
      <c r="C794" s="883"/>
      <c r="D794" s="1256" t="s">
        <v>537</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314</v>
      </c>
      <c r="C798" s="883"/>
      <c r="D798" s="1256" t="s">
        <v>538</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539</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314</v>
      </c>
      <c r="C808" s="883"/>
      <c r="D808" s="1256" t="s">
        <v>540</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309</v>
      </c>
      <c r="C815" s="883"/>
      <c r="D815" s="1256" t="s">
        <v>541</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314</v>
      </c>
      <c r="C822" s="883"/>
      <c r="D822" s="1251" t="s">
        <v>542</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543</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544</v>
      </c>
      <c r="E831" s="1267"/>
      <c r="F831" s="1267"/>
      <c r="G831" s="3"/>
      <c r="I831" s="391"/>
    </row>
    <row r="832" spans="1:9" ht="14.25" customHeight="1">
      <c r="A832" s="122"/>
      <c r="B832" s="122"/>
      <c r="C832" s="257"/>
      <c r="D832" s="1224" t="s">
        <v>545</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546</v>
      </c>
      <c r="E834" s="1224"/>
      <c r="F834" s="1224"/>
      <c r="G834" s="3"/>
      <c r="I834" s="391" t="s">
        <v>547</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392</v>
      </c>
      <c r="C837" s="883"/>
      <c r="D837" s="1268" t="s">
        <v>548</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549</v>
      </c>
      <c r="E848" s="1224"/>
      <c r="F848" s="1224"/>
      <c r="G848" s="3"/>
      <c r="I848" s="391" t="s">
        <v>550</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551</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552</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553</v>
      </c>
      <c r="E861" s="1224"/>
      <c r="F861" s="1224"/>
      <c r="G861" s="3"/>
      <c r="I861" s="391" t="s">
        <v>554</v>
      </c>
    </row>
    <row r="862" spans="1:9" ht="12.75" customHeight="1">
      <c r="A862" s="122"/>
      <c r="B862" s="122"/>
      <c r="C862" s="883"/>
      <c r="D862" s="1224" t="s">
        <v>555</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556</v>
      </c>
      <c r="E865" s="1224"/>
      <c r="F865" s="1224"/>
      <c r="G865" s="3"/>
      <c r="I865" s="391" t="s">
        <v>557</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559</v>
      </c>
      <c r="E872" s="1257"/>
      <c r="F872" s="1257"/>
      <c r="G872" s="882"/>
      <c r="I872" s="391"/>
    </row>
    <row r="873" spans="1:9" ht="12.75" customHeight="1">
      <c r="A873" s="257"/>
      <c r="B873" s="257"/>
      <c r="C873" s="121"/>
      <c r="D873" s="1266" t="s">
        <v>560</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561</v>
      </c>
      <c r="E875" s="1250"/>
      <c r="F875" s="1250"/>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552</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553</v>
      </c>
      <c r="E890" s="1249"/>
      <c r="F890" s="1249"/>
      <c r="G890" s="882"/>
      <c r="I890" s="391"/>
    </row>
    <row r="891" spans="1:9" ht="12.75" customHeight="1">
      <c r="A891" s="122"/>
      <c r="B891" s="122"/>
      <c r="C891" s="257"/>
      <c r="D891" s="1249" t="s">
        <v>555</v>
      </c>
      <c r="E891" s="1249"/>
      <c r="F891" s="1249"/>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556</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565</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566</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568</v>
      </c>
      <c r="E905" s="1245"/>
      <c r="F905" s="1245"/>
      <c r="G905" s="882"/>
      <c r="I905" s="391"/>
    </row>
    <row r="906" spans="1:9" ht="12.75" customHeight="1">
      <c r="A906" s="119"/>
      <c r="B906" s="119"/>
      <c r="C906" s="119"/>
      <c r="D906" s="1250" t="s">
        <v>569</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570</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571</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572</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573</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575</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576</v>
      </c>
      <c r="E932" s="1250"/>
      <c r="F932" s="1250"/>
      <c r="G932" s="882"/>
      <c r="I932" s="391"/>
    </row>
    <row r="933" spans="1:9" ht="12.75" customHeight="1">
      <c r="A933" s="121"/>
      <c r="B933" s="121"/>
      <c r="C933" s="121"/>
      <c r="D933" s="2"/>
      <c r="E933" s="3"/>
      <c r="F933" s="882"/>
      <c r="G933" s="882"/>
      <c r="I933" s="391"/>
    </row>
    <row r="934" spans="1:9" ht="12.75" customHeight="1">
      <c r="A934" s="891"/>
      <c r="B934" s="386" t="s">
        <v>314</v>
      </c>
      <c r="C934" s="892"/>
      <c r="D934" s="1235" t="s">
        <v>577</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578</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579</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581</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582</v>
      </c>
      <c r="E969" s="1257"/>
      <c r="F969" s="1257"/>
      <c r="G969" s="3"/>
      <c r="I969" s="391"/>
    </row>
    <row r="970" spans="1:9" ht="12.75" customHeight="1">
      <c r="A970" s="122"/>
      <c r="B970" s="386" t="s">
        <v>314</v>
      </c>
      <c r="C970" s="257"/>
      <c r="D970" s="1250" t="s">
        <v>583</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584</v>
      </c>
      <c r="E972" s="1257"/>
      <c r="F972" s="1257"/>
      <c r="G972"/>
      <c r="I972" s="391"/>
    </row>
    <row r="973" spans="1:9" ht="12.75" customHeight="1">
      <c r="A973" s="122"/>
      <c r="B973" s="386" t="s">
        <v>314</v>
      </c>
      <c r="C973" s="257"/>
      <c r="D973" s="1224" t="s">
        <v>585</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586</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587</v>
      </c>
      <c r="E991" s="1257"/>
      <c r="F991" s="1257"/>
      <c r="G991" s="3"/>
      <c r="I991" s="391"/>
    </row>
    <row r="992" spans="1:9" ht="12.75" customHeight="1">
      <c r="A992" s="119"/>
      <c r="B992" s="119"/>
      <c r="C992" s="119"/>
      <c r="D992" s="1250" t="s">
        <v>588</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589</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592</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593</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594</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595</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596</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597</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598</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46" t="s">
        <v>599</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600</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601</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602</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603</v>
      </c>
      <c r="E1031" s="1245"/>
      <c r="F1031" s="1245"/>
      <c r="G1031" s="3"/>
      <c r="I1031" s="391"/>
    </row>
    <row r="1032" spans="1:9" ht="12.75" customHeight="1">
      <c r="A1032" s="257"/>
      <c r="B1032" s="257"/>
      <c r="C1032" s="257"/>
      <c r="D1032" s="1246" t="s">
        <v>604</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605</v>
      </c>
      <c r="E1034" s="1245"/>
      <c r="F1034" s="1245"/>
      <c r="G1034" s="3"/>
      <c r="I1034" s="391"/>
    </row>
    <row r="1035" spans="1:9" ht="12.75" customHeight="1">
      <c r="A1035" s="257"/>
      <c r="B1035" s="386" t="s">
        <v>309</v>
      </c>
      <c r="C1035" s="257"/>
      <c r="D1035" s="1246" t="s">
        <v>606</v>
      </c>
      <c r="E1035" s="1246"/>
      <c r="F1035" s="1246"/>
      <c r="G1035" s="3"/>
      <c r="I1035" s="391"/>
    </row>
    <row r="1036" spans="1:9" ht="12.75" customHeight="1">
      <c r="A1036" s="257"/>
      <c r="B1036" s="122"/>
      <c r="C1036" s="257"/>
      <c r="D1036" s="1246" t="s">
        <v>607</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608</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609</v>
      </c>
      <c r="E1040" s="1244"/>
      <c r="F1040" s="1244"/>
      <c r="G1040" s="3"/>
      <c r="I1040" s="391"/>
    </row>
    <row r="1041" spans="1:9" ht="12.75" hidden="1" customHeight="1">
      <c r="A1041" s="84"/>
      <c r="B1041" s="386" t="s">
        <v>392</v>
      </c>
      <c r="D1041" s="1243" t="s">
        <v>606</v>
      </c>
      <c r="E1041" s="1243"/>
      <c r="F1041" s="1243"/>
      <c r="G1041" s="3"/>
      <c r="I1041" s="391"/>
    </row>
    <row r="1042" spans="1:9" ht="12.75" hidden="1" customHeight="1">
      <c r="A1042" s="84"/>
      <c r="B1042" s="305"/>
      <c r="D1042" s="1243" t="s">
        <v>610</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611</v>
      </c>
      <c r="E1044" s="1248"/>
      <c r="F1044" s="1248"/>
      <c r="G1044" s="3"/>
      <c r="I1044" s="391"/>
    </row>
    <row r="1045" spans="1:9" ht="12.75" customHeight="1">
      <c r="A1045" s="224"/>
      <c r="B1045" s="224"/>
      <c r="C1045" s="224"/>
      <c r="D1045" s="1249" t="s">
        <v>612</v>
      </c>
      <c r="E1045" s="1249"/>
      <c r="F1045" s="1249"/>
      <c r="G1045" s="73"/>
      <c r="I1045" s="391"/>
    </row>
    <row r="1046" spans="1:9" ht="12.75" customHeight="1">
      <c r="A1046" s="122"/>
      <c r="B1046" s="386" t="s">
        <v>314</v>
      </c>
      <c r="C1046" s="257"/>
      <c r="D1046" s="1249" t="s">
        <v>613</v>
      </c>
      <c r="E1046" s="1249"/>
      <c r="F1046" s="1249"/>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7" t="s">
        <v>615</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314</v>
      </c>
      <c r="C1054" s="305"/>
      <c r="D1054" s="1253" t="s">
        <v>618</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309</v>
      </c>
      <c r="C1064" s="305"/>
      <c r="D1064" s="1253" t="s">
        <v>621</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622</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4" t="s">
        <v>628</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2" t="s">
        <v>631</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632</v>
      </c>
      <c r="I1092" s="391"/>
    </row>
    <row r="1093" spans="1:9">
      <c r="A1093" s="305"/>
      <c r="B1093" s="305"/>
      <c r="C1093" s="305"/>
      <c r="I1093" s="391"/>
    </row>
    <row r="1094" spans="1:9">
      <c r="A1094" s="305"/>
      <c r="B1094" s="386" t="s">
        <v>314</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634</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4" t="s">
        <v>635</v>
      </c>
      <c r="E1101" s="1254"/>
      <c r="F1101" s="1254"/>
      <c r="I1101" s="391"/>
    </row>
    <row r="1102" spans="1:9">
      <c r="A1102" s="305"/>
      <c r="B1102" s="305"/>
      <c r="C1102" s="305"/>
      <c r="D1102" s="1254"/>
      <c r="E1102" s="1254"/>
      <c r="F1102" s="1254"/>
      <c r="I1102" s="391"/>
    </row>
    <row r="1103" spans="1:9">
      <c r="A1103" s="305"/>
      <c r="B1103" s="305"/>
      <c r="C1103" s="305"/>
      <c r="D1103" s="1255" t="s">
        <v>636</v>
      </c>
      <c r="E1103" s="1224"/>
      <c r="F1103" s="1224"/>
      <c r="I1103" s="391"/>
    </row>
    <row r="1104" spans="1:9">
      <c r="A1104" s="305"/>
      <c r="B1104" s="305"/>
      <c r="C1104" s="305"/>
      <c r="D1104" s="427"/>
      <c r="I1104" s="391"/>
    </row>
    <row r="1105" spans="1:9">
      <c r="A1105" s="305"/>
      <c r="B1105" s="386" t="s">
        <v>314</v>
      </c>
      <c r="C1105" s="305"/>
      <c r="D1105" s="1252" t="s">
        <v>637</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314</v>
      </c>
      <c r="C1108" s="305"/>
      <c r="D1108" s="1252" t="s">
        <v>638</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314</v>
      </c>
      <c r="C1115" s="305"/>
      <c r="D1115" s="1252" t="s">
        <v>639</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314</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641</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35" workbookViewId="0">
      <selection activeCell="AQ570" sqref="AQ57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Inland (Fresno, Imperial, Kern, Kings, Madera, Merced, Riverside, San Bernardino, Stanislaus, and Tulare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17</v>
      </c>
    </row>
    <row r="8" spans="1:58" ht="26.25" customHeight="1">
      <c r="A8" s="1372" t="s">
        <v>652</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653</v>
      </c>
      <c r="BE8" s="1138">
        <f>SUMIF($AC$718:$AC$752,"&lt;=35%",$G$718:G$752)-SUM($BE$5:BE7)</f>
        <v>0</v>
      </c>
    </row>
    <row r="9" spans="1:58" ht="12.95" customHeight="1">
      <c r="A9" s="1334" t="s">
        <v>654</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655</v>
      </c>
      <c r="BE9" s="1138">
        <f>SUMIF($AC$718:$AC$752,"&lt;=40%",$G$718:G$752)-SUM($BE$5:BE8)</f>
        <v>0</v>
      </c>
    </row>
    <row r="10" spans="1:58" ht="12.95" customHeight="1">
      <c r="A10" s="1334" t="s">
        <v>656</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657</v>
      </c>
      <c r="BE10" s="1138">
        <f>SUMIF($AC$718:$AC$752,"&lt;=45%",$G$718:G$752)-SUM($BE$5:BE9)</f>
        <v>0</v>
      </c>
    </row>
    <row r="11" spans="1:58" ht="12.95" customHeight="1">
      <c r="A11" s="1334" t="s">
        <v>658</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659</v>
      </c>
      <c r="BE11" s="1138">
        <f>SUMIF($AC$718:$AC$752,"&lt;=50%",$G$718:G$752)-SUM($BE$5:BE10)</f>
        <v>7</v>
      </c>
    </row>
    <row r="12" spans="1:58" ht="12.95" customHeight="1">
      <c r="A12" s="1373" t="s">
        <v>660</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661</v>
      </c>
      <c r="BE12" s="1138">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663</v>
      </c>
      <c r="BE13" s="1138">
        <f>SUMIF($AC$718:$AC$752,"&lt;=60%",$G$718:G$752)-SUM($BE$5:BE12)</f>
        <v>11</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 xml:space="preserve">Bakersfield Senior Affordable Housing </v>
      </c>
    </row>
    <row r="17" spans="1:58" ht="12.95" customHeight="1">
      <c r="BD17" s="1136" t="s">
        <v>668</v>
      </c>
      <c r="BE17" s="1138">
        <f>Application!AA934</f>
        <v>0</v>
      </c>
    </row>
    <row r="18" spans="1:58" ht="12.95" customHeight="1">
      <c r="A18" s="49" t="s">
        <v>669</v>
      </c>
      <c r="C18" s="3"/>
      <c r="D18" s="3"/>
      <c r="E18" s="3"/>
      <c r="F18" s="3"/>
      <c r="G18" s="3"/>
      <c r="H18" s="1377" t="s">
        <v>670</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671</v>
      </c>
      <c r="BE18" s="1138">
        <f>'CalHFA Addendum'!N11</f>
        <v>0</v>
      </c>
    </row>
    <row r="19" spans="1:58" ht="12.95" customHeight="1">
      <c r="BD19" s="1136" t="s">
        <v>672</v>
      </c>
      <c r="BE19" s="1138">
        <f>Application!M26</f>
        <v>982617</v>
      </c>
    </row>
    <row r="20" spans="1:58" ht="12.95" customHeight="1">
      <c r="A20" s="1374" t="s">
        <v>673</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674</v>
      </c>
      <c r="BE20" s="1138">
        <f>Application!M27</f>
        <v>0</v>
      </c>
    </row>
    <row r="21" spans="1:58" ht="12.95"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676</v>
      </c>
      <c r="BE21" s="1138">
        <f>Application!AM554</f>
        <v>5400000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19356561</v>
      </c>
      <c r="BF22" s="3" t="s">
        <v>678</v>
      </c>
    </row>
    <row r="23" spans="1:58" ht="12.95"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680</v>
      </c>
      <c r="BE23" s="1138">
        <f>'Sources and Uses Budget'!B4</f>
        <v>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681</v>
      </c>
      <c r="BE24" s="1138">
        <f>Application!AG450</f>
        <v>25937</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v>
      </c>
    </row>
    <row r="26" spans="1:58" ht="12.95" customHeight="1">
      <c r="A26" s="3"/>
      <c r="C26" s="3"/>
      <c r="D26" s="3"/>
      <c r="E26" s="3"/>
      <c r="F26" s="3"/>
      <c r="G26" s="3"/>
      <c r="H26" s="3"/>
      <c r="I26" s="3"/>
      <c r="J26" s="3"/>
      <c r="K26" s="3"/>
      <c r="L26" s="3"/>
      <c r="M26" s="1378">
        <f>'Basis &amp; Credits'!AB56</f>
        <v>982617</v>
      </c>
      <c r="N26" s="1378"/>
      <c r="O26" s="1378"/>
      <c r="P26" s="1378"/>
      <c r="Q26" s="1378"/>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5">
        <f>'Basis &amp; Credits'!AB78</f>
        <v>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375" t="s">
        <v>688</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689</v>
      </c>
      <c r="BE29" s="1138"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690</v>
      </c>
      <c r="BE30" s="1138" t="b">
        <f>Application!AJ355="Yes"</f>
        <v>1</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691</v>
      </c>
      <c r="BE31" s="1138" t="str">
        <f>Application!D211</f>
        <v>Seniors</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294" t="s">
        <v>694</v>
      </c>
      <c r="P33" s="1294"/>
      <c r="Q33" s="1376" t="s">
        <v>695</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696</v>
      </c>
      <c r="BE33" s="1138" t="str">
        <f>Application!D220</f>
        <v>Central Valley Region: Fresno, Kern, Kings, Madera, Merced, San Joaquin, Stanislaus, and Tulare Counties</v>
      </c>
    </row>
    <row r="34" spans="1:57" ht="12.95" customHeight="1">
      <c r="A34" s="1375" t="s">
        <v>697</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698</v>
      </c>
      <c r="BE34" s="1138" t="str">
        <f>Application!I185</f>
        <v>530 4th Street</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699</v>
      </c>
      <c r="BE35" s="1138" t="str">
        <f>IF(Application!E187="","",Application!E187)</f>
        <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700</v>
      </c>
      <c r="BE36" s="1138" t="str">
        <f>Application!I189</f>
        <v>Bakersfield</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701</v>
      </c>
      <c r="BE37" s="1138" t="str">
        <f>Application!T189</f>
        <v>Kern</v>
      </c>
    </row>
    <row r="38" spans="1:57" ht="12.95" customHeight="1">
      <c r="A38" s="3"/>
      <c r="AZ38" s="17"/>
      <c r="BD38" s="1137" t="s">
        <v>702</v>
      </c>
      <c r="BE38" s="1138">
        <f>Application!I190</f>
        <v>93304</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704</v>
      </c>
      <c r="BE39" s="1138">
        <f>Application!AG437</f>
        <v>36</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35</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705</v>
      </c>
      <c r="BE42" s="1140">
        <f>Application!AC753</f>
        <v>0.43428571428571427</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706</v>
      </c>
      <c r="BE43" s="1140">
        <f>Application!AH753</f>
        <v>0.38046051564780281</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707</v>
      </c>
      <c r="BE44" s="1138">
        <f>Application!AC454</f>
        <v>537682.25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2.95"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710</v>
      </c>
      <c r="BE46" s="1138"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711</v>
      </c>
      <c r="BE47" s="1138" t="b">
        <f>Application!T196="Yes"</f>
        <v>1</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712</v>
      </c>
      <c r="BE48" s="1138" t="str">
        <f>Application!M243</f>
        <v>Golden Empire Affordable Housing</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713</v>
      </c>
      <c r="BE49" s="1138" t="str">
        <f>Application!M246</f>
        <v>Stephen M. Pelz</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f>Application!AA249</f>
        <v>0</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716</v>
      </c>
      <c r="BE51" s="1138" t="str">
        <f>Application!M251</f>
        <v xml:space="preserve">Housing Authority of the County of Kern </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717</v>
      </c>
      <c r="BE52" s="1138" t="str">
        <f>Application!M254</f>
        <v>Stephen M. Pelz</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720</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721</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722</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723</v>
      </c>
      <c r="BE57" s="1138" t="str">
        <f>Application!H287</f>
        <v>Housing Authority of the County of Kern</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724</v>
      </c>
      <c r="BE58" s="1138" t="str">
        <f>Application!H288</f>
        <v>601 24th Street</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Bakersfield, CA 93301</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727</v>
      </c>
      <c r="BE60" s="1138" t="str">
        <f>Application!H290</f>
        <v>Stephen M. Pelz</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728</v>
      </c>
      <c r="BE61" s="1138" t="str">
        <f>Application!H293</f>
        <v>spelz@kernha.org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0.84</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734</v>
      </c>
      <c r="BE65" s="1138" t="str">
        <f>Z205</f>
        <v>(select)</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735</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739</v>
      </c>
      <c r="BE69" s="1138" t="str">
        <f>Application!W700</f>
        <v>Housing Authority of the County of Kern</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740</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5" customHeight="1">
      <c r="A72" s="1375" t="s">
        <v>742</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743</v>
      </c>
      <c r="BE72" s="1138">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744</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727" t="s">
        <v>746</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747</v>
      </c>
      <c r="BE75" s="1138">
        <f>'Points System'!AF808</f>
        <v>10</v>
      </c>
    </row>
    <row r="76" spans="1:57" ht="12.95"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748</v>
      </c>
      <c r="BE76" s="1138">
        <f>'Points System'!AF811</f>
        <v>10</v>
      </c>
    </row>
    <row r="77" spans="1:57" ht="12.95"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752</v>
      </c>
      <c r="BE79" s="1138">
        <f>'Points System'!AF815</f>
        <v>9</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753</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757</v>
      </c>
      <c r="BE83" s="1142">
        <f>'Tie Breaker'!H5</f>
        <v>1.7727480458491673</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758</v>
      </c>
      <c r="BE84" s="1138" t="str">
        <f>Application!O153</f>
        <v>City of Bakersfield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Christian Clegg</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761</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762</v>
      </c>
      <c r="BE87" s="1138" t="str">
        <f>Application!O156</f>
        <v>1600 Truxtun Ave.</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Bakersfield</v>
      </c>
    </row>
    <row r="89" spans="1:57" ht="12.95" customHeight="1">
      <c r="A89" s="1726" t="s">
        <v>764</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765</v>
      </c>
      <c r="BE89" s="1138">
        <f>Application!O158</f>
        <v>93301</v>
      </c>
    </row>
    <row r="90" spans="1:57" ht="12.95"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766</v>
      </c>
      <c r="BE90" s="1138" t="str">
        <f>Application!H16</f>
        <v>Housing Authority of the County of Kern</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601 24th Street</v>
      </c>
    </row>
    <row r="92" spans="1:57" ht="12.95" customHeight="1">
      <c r="A92" s="1727" t="s">
        <v>768</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769</v>
      </c>
      <c r="BE92" s="1138" t="str">
        <f>Application!M234</f>
        <v>Bakersfield</v>
      </c>
    </row>
    <row r="93" spans="1:57" ht="12.95"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770</v>
      </c>
      <c r="BE93" s="1138" t="str">
        <f>Application!W234</f>
        <v>CA</v>
      </c>
    </row>
    <row r="94" spans="1:57" ht="12.95"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771</v>
      </c>
      <c r="BE94" s="1138">
        <f>Application!AC234</f>
        <v>93301</v>
      </c>
    </row>
    <row r="95" spans="1:57" ht="12.95"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772</v>
      </c>
      <c r="BE95" s="1138" t="str">
        <f>Application!M235</f>
        <v>Stephen M. Pelz</v>
      </c>
    </row>
    <row r="96" spans="1:57" ht="12.95"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773</v>
      </c>
      <c r="BE96" s="1138" t="str">
        <f>Application!M237</f>
        <v>spelz@kernha.org</v>
      </c>
    </row>
    <row r="97" spans="1:57" ht="12.95"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774</v>
      </c>
      <c r="BE97" s="1138" t="str">
        <f>Application!M248</f>
        <v>spelz@kernha.org</v>
      </c>
    </row>
    <row r="98" spans="1:57" ht="12.95"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775</v>
      </c>
      <c r="BE98" s="1138" t="str">
        <f>Application!M256</f>
        <v>spelz@kernha.org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728" t="s">
        <v>777</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778</v>
      </c>
      <c r="BE100" s="1138" t="str">
        <f>Application!L279</f>
        <v>spelz@kernha.org</v>
      </c>
    </row>
    <row r="101" spans="1:57" ht="12.95"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779</v>
      </c>
      <c r="BE101">
        <f>'Sources and Uses Budget'!C105</f>
        <v>19356561</v>
      </c>
    </row>
    <row r="102" spans="1:57" ht="12.95"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780</v>
      </c>
      <c r="BE102" t="b">
        <f>T197="Yes"</f>
        <v>0</v>
      </c>
    </row>
    <row r="103" spans="1:57" ht="12.95"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8" t="s">
        <v>782</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2.95"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729"/>
      <c r="H113" s="1729"/>
      <c r="I113" s="3" t="s">
        <v>785</v>
      </c>
      <c r="L113" s="1729"/>
      <c r="M113" s="1729"/>
      <c r="N113" s="1729"/>
      <c r="O113" s="1729"/>
      <c r="P113" s="1734" t="s">
        <v>786</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9"/>
      <c r="D115" s="1739"/>
      <c r="E115" s="1739"/>
      <c r="F115" s="1739"/>
      <c r="G115" s="1739"/>
      <c r="H115" s="1739"/>
      <c r="I115" s="1739"/>
      <c r="J115" s="1739"/>
      <c r="K115" s="1739"/>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729"/>
      <c r="Z117" s="1729"/>
      <c r="AA117" s="1729"/>
      <c r="AB117" s="1729"/>
      <c r="AC117" s="1729"/>
      <c r="AD117" s="1729"/>
      <c r="AE117" s="1729"/>
      <c r="AF117" s="1729"/>
      <c r="AG117" s="1729"/>
      <c r="AH117" s="1729"/>
      <c r="AI117" s="1729"/>
      <c r="AJ117" s="1729"/>
      <c r="AK117" s="1729"/>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9" t="s">
        <v>790</v>
      </c>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2" t="s">
        <v>793</v>
      </c>
      <c r="CV122" s="1603"/>
      <c r="CW122" s="13"/>
      <c r="CX122" s="13" t="s">
        <v>794</v>
      </c>
      <c r="CY122" s="13"/>
      <c r="CZ122" s="13"/>
      <c r="DA122" s="13"/>
      <c r="DB122" s="13"/>
      <c r="DC122" s="13"/>
      <c r="DD122" s="13"/>
      <c r="DE122" s="13"/>
      <c r="DF122" s="13"/>
      <c r="DG122" s="1599" t="str">
        <f>T189</f>
        <v>Kern</v>
      </c>
      <c r="DH122" s="1600"/>
      <c r="DI122" s="1600"/>
      <c r="DJ122" s="1600"/>
      <c r="DK122" s="1600"/>
      <c r="DL122" s="1600"/>
      <c r="DM122" s="1601"/>
    </row>
    <row r="123" spans="1:117" ht="12.95" customHeight="1">
      <c r="A123" s="3"/>
      <c r="B123" s="3"/>
      <c r="T123" s="3"/>
      <c r="U123" s="3"/>
      <c r="V123" s="3"/>
      <c r="W123" s="3"/>
      <c r="X123" s="3"/>
      <c r="Y123" s="1729" t="s">
        <v>795</v>
      </c>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377" t="s">
        <v>802</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803</v>
      </c>
      <c r="CR153" s="26" t="s">
        <v>804</v>
      </c>
      <c r="CS153" s="27"/>
      <c r="CT153" s="27"/>
      <c r="CU153" s="27"/>
      <c r="CV153" s="27"/>
      <c r="CW153" s="27"/>
      <c r="CX153" s="13"/>
      <c r="CY153" s="26" t="s">
        <v>805</v>
      </c>
      <c r="CZ153" s="13"/>
      <c r="DA153" s="13"/>
      <c r="DB153" s="13"/>
      <c r="DC153" s="13"/>
      <c r="DD153" s="13"/>
    </row>
    <row r="154" spans="1:108" ht="12.95"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2.95" customHeight="1">
      <c r="D155" s="7" t="s">
        <v>809</v>
      </c>
      <c r="F155" s="7"/>
      <c r="G155" s="7"/>
      <c r="H155" s="7"/>
      <c r="I155" s="7"/>
      <c r="J155" s="7"/>
      <c r="K155" s="7"/>
      <c r="L155" s="7"/>
      <c r="M155" s="7"/>
      <c r="N155" s="7"/>
      <c r="O155" s="1746" t="s">
        <v>810</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811</v>
      </c>
      <c r="CR155" s="26"/>
      <c r="CS155" s="27"/>
      <c r="CT155" s="27"/>
      <c r="CU155" s="27"/>
      <c r="CV155" s="27"/>
      <c r="CW155" s="27"/>
      <c r="CX155" s="13"/>
      <c r="CY155" s="26"/>
      <c r="CZ155" s="13"/>
      <c r="DA155" s="13"/>
      <c r="DB155" s="13"/>
      <c r="DC155" s="13"/>
      <c r="DD155" s="13"/>
    </row>
    <row r="156" spans="1:108" ht="12.95" customHeight="1">
      <c r="D156" t="s">
        <v>812</v>
      </c>
      <c r="O156" s="1333" t="s">
        <v>813</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392</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377" t="s">
        <v>817</v>
      </c>
      <c r="P157" s="1377"/>
      <c r="Q157" s="1377"/>
      <c r="R157" s="1377"/>
      <c r="S157" s="1377"/>
      <c r="T157" s="1377"/>
      <c r="U157" s="1377"/>
      <c r="V157" s="1377"/>
      <c r="W157" s="1377"/>
      <c r="X157" s="1377"/>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2.95" customHeight="1">
      <c r="D158" t="s">
        <v>822</v>
      </c>
      <c r="O158" s="1731">
        <v>93301</v>
      </c>
      <c r="P158" s="1731"/>
      <c r="Q158" s="1731"/>
      <c r="R158" s="1731"/>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825</v>
      </c>
      <c r="O159" s="1721" t="s">
        <v>826</v>
      </c>
      <c r="P159" s="1721"/>
      <c r="Q159" s="1721"/>
      <c r="R159" s="1721"/>
      <c r="S159" s="1721"/>
      <c r="T159" s="1721"/>
      <c r="V159" s="72" t="s">
        <v>827</v>
      </c>
      <c r="W159" s="1732"/>
      <c r="X159" s="1732"/>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2.95" customHeight="1">
      <c r="D160" t="s">
        <v>839</v>
      </c>
      <c r="O160" s="1721"/>
      <c r="P160" s="1721"/>
      <c r="Q160" s="1721"/>
      <c r="R160" s="1721"/>
      <c r="S160" s="1721"/>
      <c r="T160" s="1721"/>
      <c r="U160" s="9"/>
      <c r="V160" s="9"/>
      <c r="W160" s="9"/>
      <c r="X160" s="9"/>
      <c r="Y160" s="9"/>
      <c r="Z160" s="9"/>
      <c r="AA160" s="9"/>
      <c r="AB160" s="9"/>
      <c r="AC160" s="9"/>
      <c r="AD160" s="9"/>
      <c r="AE160" s="9"/>
      <c r="AF160" s="9"/>
      <c r="BN160" s="133" t="s">
        <v>840</v>
      </c>
      <c r="BS160">
        <v>6</v>
      </c>
      <c r="BT160" t="s">
        <v>841</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2.95" customHeight="1">
      <c r="D161" t="s">
        <v>842</v>
      </c>
      <c r="O161" s="1725" t="s">
        <v>843</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694</v>
      </c>
      <c r="BN161" s="133" t="s">
        <v>844</v>
      </c>
      <c r="BS161">
        <v>7</v>
      </c>
      <c r="BT161" t="s">
        <v>845</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846</v>
      </c>
      <c r="BN162" s="133" t="s">
        <v>847</v>
      </c>
      <c r="BS162">
        <v>7</v>
      </c>
      <c r="BT162" t="s">
        <v>848</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2.95" customHeight="1">
      <c r="C163" s="23" t="s">
        <v>849</v>
      </c>
      <c r="D163" s="3" t="s">
        <v>850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851</v>
      </c>
      <c r="BS163">
        <v>2</v>
      </c>
      <c r="BT163" t="s">
        <v>852</v>
      </c>
      <c r="CB163" s="253" t="s">
        <v>841</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840</v>
      </c>
      <c r="CS163" s="226">
        <v>319236</v>
      </c>
      <c r="CT163" s="226">
        <v>368076</v>
      </c>
      <c r="CU163" s="226">
        <v>444000</v>
      </c>
      <c r="CV163" s="226">
        <v>568320</v>
      </c>
      <c r="CW163" s="226">
        <v>633144</v>
      </c>
      <c r="CX163" s="13"/>
      <c r="CY163" s="133" t="s">
        <v>840</v>
      </c>
      <c r="CZ163" s="226">
        <v>319236</v>
      </c>
      <c r="DA163" s="226">
        <v>368076</v>
      </c>
      <c r="DB163" s="226">
        <v>444000</v>
      </c>
      <c r="DC163" s="226">
        <v>568320</v>
      </c>
      <c r="DD163" s="226">
        <v>633144</v>
      </c>
    </row>
    <row r="164" spans="1:108" ht="12.95" customHeight="1">
      <c r="C164" s="23"/>
      <c r="D164" s="1740" t="s">
        <v>853</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854</v>
      </c>
      <c r="BS164">
        <v>7</v>
      </c>
      <c r="BT164" t="s">
        <v>855</v>
      </c>
      <c r="CB164" s="253" t="s">
        <v>845</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856</v>
      </c>
      <c r="BS165">
        <v>6</v>
      </c>
      <c r="BT165" t="s">
        <v>857</v>
      </c>
      <c r="CB165" s="253" t="s">
        <v>848</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847</v>
      </c>
      <c r="CS165" s="226">
        <v>352022</v>
      </c>
      <c r="CT165" s="226">
        <v>405878</v>
      </c>
      <c r="CU165" s="226">
        <v>489600</v>
      </c>
      <c r="CV165" s="226">
        <v>626688</v>
      </c>
      <c r="CW165" s="226">
        <v>698170</v>
      </c>
      <c r="CX165" s="13"/>
      <c r="CY165" s="133" t="s">
        <v>847</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858</v>
      </c>
      <c r="BS166">
        <v>5</v>
      </c>
      <c r="BT166" t="s">
        <v>859</v>
      </c>
      <c r="CB166" s="253" t="s">
        <v>852</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851</v>
      </c>
      <c r="CS166" s="228">
        <v>473390</v>
      </c>
      <c r="CT166" s="228">
        <v>545814</v>
      </c>
      <c r="CU166" s="228">
        <v>658400</v>
      </c>
      <c r="CV166" s="228">
        <v>842752</v>
      </c>
      <c r="CW166" s="228">
        <v>938878</v>
      </c>
      <c r="CX166" s="13"/>
      <c r="CY166" s="133" t="s">
        <v>851</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860</v>
      </c>
      <c r="BS167">
        <v>7</v>
      </c>
      <c r="BT167" t="s">
        <v>861</v>
      </c>
      <c r="CB167" s="253" t="s">
        <v>855</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854</v>
      </c>
      <c r="CS167" s="226">
        <v>352022</v>
      </c>
      <c r="CT167" s="226">
        <v>405878</v>
      </c>
      <c r="CU167" s="226">
        <v>489600</v>
      </c>
      <c r="CV167" s="226">
        <v>626688</v>
      </c>
      <c r="CW167" s="226">
        <v>698170</v>
      </c>
      <c r="CX167" s="13"/>
      <c r="CY167" s="133" t="s">
        <v>854</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862</v>
      </c>
      <c r="BS168">
        <v>7</v>
      </c>
      <c r="BT168" t="s">
        <v>863</v>
      </c>
      <c r="CB168" s="253" t="s">
        <v>857</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856</v>
      </c>
      <c r="CS168" s="228">
        <v>331890</v>
      </c>
      <c r="CT168" s="228">
        <v>382666</v>
      </c>
      <c r="CU168" s="228">
        <v>461600</v>
      </c>
      <c r="CV168" s="228">
        <v>590848</v>
      </c>
      <c r="CW168" s="228">
        <v>658242</v>
      </c>
      <c r="CX168" s="13"/>
      <c r="CY168" s="133" t="s">
        <v>856</v>
      </c>
      <c r="CZ168" s="228">
        <v>331890</v>
      </c>
      <c r="DA168" s="228">
        <v>382666</v>
      </c>
      <c r="DB168" s="228">
        <v>461600</v>
      </c>
      <c r="DC168" s="228">
        <v>590848</v>
      </c>
      <c r="DD168" s="228">
        <v>658242</v>
      </c>
    </row>
    <row r="169" spans="1:108" ht="12.95" customHeight="1">
      <c r="A169" s="1381" t="s">
        <v>864</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865</v>
      </c>
      <c r="BS169">
        <v>5</v>
      </c>
      <c r="BT169" t="s">
        <v>866</v>
      </c>
      <c r="CB169" s="253" t="s">
        <v>859</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858</v>
      </c>
      <c r="CS169" s="226">
        <v>307732</v>
      </c>
      <c r="CT169" s="226">
        <v>354812</v>
      </c>
      <c r="CU169" s="226">
        <v>428000</v>
      </c>
      <c r="CV169" s="226">
        <v>547840</v>
      </c>
      <c r="CW169" s="226">
        <v>610328</v>
      </c>
      <c r="CX169" s="13"/>
      <c r="CY169" s="133" t="s">
        <v>858</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867</v>
      </c>
      <c r="BS170">
        <v>7</v>
      </c>
      <c r="BT170" t="s">
        <v>868</v>
      </c>
      <c r="CB170" s="253" t="s">
        <v>861</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860</v>
      </c>
      <c r="CS170" s="228">
        <v>352022</v>
      </c>
      <c r="CT170" s="228">
        <v>405878</v>
      </c>
      <c r="CU170" s="228">
        <v>489600</v>
      </c>
      <c r="CV170" s="228">
        <v>626688</v>
      </c>
      <c r="CW170" s="228">
        <v>698170</v>
      </c>
      <c r="CX170" s="13"/>
      <c r="CY170" s="133" t="s">
        <v>860</v>
      </c>
      <c r="CZ170" s="228">
        <v>352022</v>
      </c>
      <c r="DA170" s="228">
        <v>405878</v>
      </c>
      <c r="DB170" s="228">
        <v>489600</v>
      </c>
      <c r="DC170" s="228">
        <v>626688</v>
      </c>
      <c r="DD170" s="228">
        <v>698170</v>
      </c>
    </row>
    <row r="171" spans="1:108" ht="12.95" customHeight="1">
      <c r="BN171" s="133" t="s">
        <v>869</v>
      </c>
      <c r="BS171">
        <v>5</v>
      </c>
      <c r="BT171" t="s">
        <v>870</v>
      </c>
      <c r="CB171" s="253" t="s">
        <v>863</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862</v>
      </c>
      <c r="CS171" s="226">
        <v>352022</v>
      </c>
      <c r="CT171" s="226">
        <v>405878</v>
      </c>
      <c r="CU171" s="226">
        <v>489600</v>
      </c>
      <c r="CV171" s="226">
        <v>626688</v>
      </c>
      <c r="CW171" s="226">
        <v>698170</v>
      </c>
      <c r="CX171" s="13"/>
      <c r="CY171" s="133" t="s">
        <v>862</v>
      </c>
      <c r="CZ171" s="226">
        <v>352022</v>
      </c>
      <c r="DA171" s="226">
        <v>405878</v>
      </c>
      <c r="DB171" s="226">
        <v>489600</v>
      </c>
      <c r="DC171" s="226">
        <v>626688</v>
      </c>
      <c r="DD171" s="226">
        <v>698170</v>
      </c>
    </row>
    <row r="172" spans="1:108" ht="12.95" customHeight="1">
      <c r="A172" s="2" t="s">
        <v>871</v>
      </c>
      <c r="C172" s="2" t="s">
        <v>91</v>
      </c>
      <c r="BN172" s="133" t="s">
        <v>872</v>
      </c>
      <c r="BS172">
        <v>5</v>
      </c>
      <c r="BT172" t="s">
        <v>873</v>
      </c>
      <c r="CB172" s="253" t="s">
        <v>866</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865</v>
      </c>
      <c r="CS172" s="228">
        <v>324988</v>
      </c>
      <c r="CT172" s="228">
        <v>374708</v>
      </c>
      <c r="CU172" s="228">
        <v>452000</v>
      </c>
      <c r="CV172" s="228">
        <v>578560</v>
      </c>
      <c r="CW172" s="228">
        <v>644552</v>
      </c>
      <c r="CX172" s="13"/>
      <c r="CY172" s="133" t="s">
        <v>865</v>
      </c>
      <c r="CZ172" s="228">
        <v>324988</v>
      </c>
      <c r="DA172" s="228">
        <v>374708</v>
      </c>
      <c r="DB172" s="228">
        <v>452000</v>
      </c>
      <c r="DC172" s="228">
        <v>578560</v>
      </c>
      <c r="DD172" s="228">
        <v>644552</v>
      </c>
    </row>
    <row r="173" spans="1:108" ht="12.95" customHeight="1">
      <c r="C173" s="20"/>
      <c r="D173" t="s">
        <v>874</v>
      </c>
      <c r="J173" s="1745" t="s">
        <v>875</v>
      </c>
      <c r="K173" s="1745"/>
      <c r="L173" s="1745"/>
      <c r="M173" s="1745"/>
      <c r="N173" s="1745"/>
      <c r="O173" s="1745"/>
      <c r="P173" s="1745"/>
      <c r="Q173" s="1745"/>
      <c r="R173" s="1745"/>
      <c r="S173" s="1745"/>
      <c r="U173" s="21"/>
      <c r="X173" s="21"/>
      <c r="BB173" s="3" t="s">
        <v>392</v>
      </c>
      <c r="BN173" s="133" t="s">
        <v>876</v>
      </c>
      <c r="BS173">
        <v>7</v>
      </c>
      <c r="BT173" t="s">
        <v>877</v>
      </c>
      <c r="CB173" s="253" t="s">
        <v>868</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867</v>
      </c>
      <c r="CS173" s="226">
        <v>352022</v>
      </c>
      <c r="CT173" s="226">
        <v>405878</v>
      </c>
      <c r="CU173" s="226">
        <v>489600</v>
      </c>
      <c r="CV173" s="226">
        <v>626688</v>
      </c>
      <c r="CW173" s="226">
        <v>698170</v>
      </c>
      <c r="CX173" s="13"/>
      <c r="CY173" s="133" t="s">
        <v>867</v>
      </c>
      <c r="CZ173" s="226">
        <v>352022</v>
      </c>
      <c r="DA173" s="226">
        <v>405878</v>
      </c>
      <c r="DB173" s="226">
        <v>489600</v>
      </c>
      <c r="DC173" s="226">
        <v>626688</v>
      </c>
      <c r="DD173" s="226">
        <v>698170</v>
      </c>
    </row>
    <row r="174" spans="1:108" ht="12.95" customHeight="1">
      <c r="C174" s="20"/>
      <c r="D174" s="3" t="s">
        <v>878</v>
      </c>
      <c r="J174" s="1333" t="s">
        <v>879</v>
      </c>
      <c r="K174" s="1333"/>
      <c r="L174" s="1333"/>
      <c r="M174" s="1333"/>
      <c r="N174" s="1333"/>
      <c r="O174" s="1333"/>
      <c r="P174" s="1333"/>
      <c r="Q174" s="1333"/>
      <c r="R174" s="1333"/>
      <c r="S174" s="1333"/>
      <c r="T174" s="1333"/>
      <c r="U174" s="1333"/>
      <c r="V174" s="1333"/>
      <c r="W174" s="1333"/>
      <c r="X174" s="1333"/>
      <c r="Y174" s="1333"/>
      <c r="Z174" s="1333"/>
      <c r="AA174" s="1333"/>
      <c r="AB174" s="1333"/>
      <c r="BB174" t="s">
        <v>880</v>
      </c>
      <c r="BN174" s="133" t="s">
        <v>881</v>
      </c>
      <c r="BS174">
        <v>7</v>
      </c>
      <c r="BT174" t="s">
        <v>882</v>
      </c>
      <c r="CB174" s="253" t="s">
        <v>870</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869</v>
      </c>
      <c r="CS174" s="228">
        <v>307732</v>
      </c>
      <c r="CT174" s="228">
        <v>354812</v>
      </c>
      <c r="CU174" s="228">
        <v>428000</v>
      </c>
      <c r="CV174" s="228">
        <v>547840</v>
      </c>
      <c r="CW174" s="228">
        <v>610328</v>
      </c>
      <c r="CX174" s="13"/>
      <c r="CY174" s="133" t="s">
        <v>869</v>
      </c>
      <c r="CZ174" s="228">
        <v>307732</v>
      </c>
      <c r="DA174" s="228">
        <v>354812</v>
      </c>
      <c r="DB174" s="228">
        <v>428000</v>
      </c>
      <c r="DC174" s="228">
        <v>547840</v>
      </c>
      <c r="DD174" s="228">
        <v>610328</v>
      </c>
    </row>
    <row r="175" spans="1:108" ht="12.95" customHeight="1">
      <c r="C175" s="7"/>
      <c r="D175" s="3" t="s">
        <v>883</v>
      </c>
      <c r="O175" s="23"/>
      <c r="U175" s="1294" t="s">
        <v>694</v>
      </c>
      <c r="V175" s="1294"/>
      <c r="BB175" t="s">
        <v>884</v>
      </c>
      <c r="BN175" s="133" t="s">
        <v>885</v>
      </c>
      <c r="BS175">
        <v>1</v>
      </c>
      <c r="BT175" t="s">
        <v>886</v>
      </c>
      <c r="CB175" s="253" t="s">
        <v>873</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872</v>
      </c>
      <c r="CS175" s="226">
        <v>307732</v>
      </c>
      <c r="CT175" s="226">
        <v>354812</v>
      </c>
      <c r="CU175" s="226">
        <v>428000</v>
      </c>
      <c r="CV175" s="226">
        <v>547840</v>
      </c>
      <c r="CW175" s="226">
        <v>610328</v>
      </c>
      <c r="CX175" s="13"/>
      <c r="CY175" s="133" t="s">
        <v>872</v>
      </c>
      <c r="CZ175" s="226">
        <v>307732</v>
      </c>
      <c r="DA175" s="226">
        <v>354812</v>
      </c>
      <c r="DB175" s="226">
        <v>428000</v>
      </c>
      <c r="DC175" s="226">
        <v>547840</v>
      </c>
      <c r="DD175" s="226">
        <v>610328</v>
      </c>
    </row>
    <row r="176" spans="1:108" ht="12.95" customHeight="1">
      <c r="C176" s="7"/>
      <c r="D176" s="22"/>
      <c r="E176" t="s">
        <v>887</v>
      </c>
      <c r="O176" s="23"/>
      <c r="P176" t="s">
        <v>888</v>
      </c>
      <c r="T176" s="23" t="s">
        <v>889</v>
      </c>
      <c r="U176" s="1384"/>
      <c r="V176" s="1384"/>
      <c r="W176" s="1" t="s">
        <v>890</v>
      </c>
      <c r="X176" s="1724"/>
      <c r="Y176" s="1724"/>
      <c r="BB176" t="s">
        <v>891</v>
      </c>
      <c r="BN176" s="133" t="s">
        <v>892</v>
      </c>
      <c r="BS176">
        <v>5</v>
      </c>
      <c r="BT176" t="s">
        <v>893</v>
      </c>
      <c r="CB176" s="253" t="s">
        <v>877</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876</v>
      </c>
      <c r="CS176" s="228">
        <v>352022</v>
      </c>
      <c r="CT176" s="228">
        <v>405878</v>
      </c>
      <c r="CU176" s="228">
        <v>489600</v>
      </c>
      <c r="CV176" s="228">
        <v>626688</v>
      </c>
      <c r="CW176" s="228">
        <v>698170</v>
      </c>
      <c r="CX176" s="13"/>
      <c r="CY176" s="133" t="s">
        <v>876</v>
      </c>
      <c r="CZ176" s="228">
        <v>352022</v>
      </c>
      <c r="DA176" s="228">
        <v>405878</v>
      </c>
      <c r="DB176" s="228">
        <v>489600</v>
      </c>
      <c r="DC176" s="228">
        <v>626688</v>
      </c>
      <c r="DD176" s="228">
        <v>698170</v>
      </c>
    </row>
    <row r="177" spans="1:108" ht="12.95" customHeight="1">
      <c r="C177" s="20"/>
      <c r="D177" t="s">
        <v>894</v>
      </c>
      <c r="R177" s="1294"/>
      <c r="S177" s="1294"/>
      <c r="BB177" t="s">
        <v>895</v>
      </c>
      <c r="BN177" s="133" t="s">
        <v>896</v>
      </c>
      <c r="BS177">
        <v>2</v>
      </c>
      <c r="BT177" t="s">
        <v>897</v>
      </c>
      <c r="CB177" s="253" t="s">
        <v>882</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881</v>
      </c>
      <c r="CS177" s="226">
        <v>352022</v>
      </c>
      <c r="CT177" s="226">
        <v>405878</v>
      </c>
      <c r="CU177" s="226">
        <v>489600</v>
      </c>
      <c r="CV177" s="226">
        <v>626688</v>
      </c>
      <c r="CW177" s="226">
        <v>698170</v>
      </c>
      <c r="CX177" s="13"/>
      <c r="CY177" s="133" t="s">
        <v>881</v>
      </c>
      <c r="CZ177" s="226">
        <v>352022</v>
      </c>
      <c r="DA177" s="226">
        <v>405878</v>
      </c>
      <c r="DB177" s="226">
        <v>489600</v>
      </c>
      <c r="DC177" s="226">
        <v>626688</v>
      </c>
      <c r="DD177" s="226">
        <v>698170</v>
      </c>
    </row>
    <row r="178" spans="1:108" ht="12.95" customHeight="1">
      <c r="C178" s="20"/>
      <c r="D178" s="3" t="s">
        <v>898</v>
      </c>
      <c r="AA178" t="s">
        <v>888</v>
      </c>
      <c r="AE178" s="23" t="s">
        <v>889</v>
      </c>
      <c r="AF178" s="1723"/>
      <c r="AG178" s="1723"/>
      <c r="AH178" s="1" t="s">
        <v>890</v>
      </c>
      <c r="AI178" s="1742"/>
      <c r="AJ178" s="1742"/>
      <c r="AK178" s="1742"/>
      <c r="BB178" t="s">
        <v>899</v>
      </c>
      <c r="BN178" s="133" t="s">
        <v>900</v>
      </c>
      <c r="BS178">
        <v>7</v>
      </c>
      <c r="BT178" t="s">
        <v>901</v>
      </c>
      <c r="CB178" s="253" t="s">
        <v>886</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885</v>
      </c>
      <c r="CS178" s="228">
        <v>437727</v>
      </c>
      <c r="CT178" s="228">
        <v>504695</v>
      </c>
      <c r="CU178" s="228">
        <v>608800</v>
      </c>
      <c r="CV178" s="228">
        <v>779264</v>
      </c>
      <c r="CW178" s="228">
        <v>868149</v>
      </c>
      <c r="CX178" s="13"/>
      <c r="CY178" s="133" t="s">
        <v>885</v>
      </c>
      <c r="CZ178" s="228">
        <v>437727</v>
      </c>
      <c r="DA178" s="228">
        <v>504695</v>
      </c>
      <c r="DB178" s="228">
        <v>608800</v>
      </c>
      <c r="DC178" s="228">
        <v>779264</v>
      </c>
      <c r="DD178" s="228">
        <v>868149</v>
      </c>
    </row>
    <row r="179" spans="1:108" ht="12.95" customHeight="1">
      <c r="C179" s="20"/>
      <c r="BN179" s="133" t="s">
        <v>902</v>
      </c>
      <c r="BS179">
        <v>7</v>
      </c>
      <c r="BT179" t="s">
        <v>903</v>
      </c>
      <c r="CB179" s="253" t="s">
        <v>893</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892</v>
      </c>
      <c r="CS179" s="226">
        <v>307732</v>
      </c>
      <c r="CT179" s="226">
        <v>354812</v>
      </c>
      <c r="CU179" s="226">
        <v>428000</v>
      </c>
      <c r="CV179" s="226">
        <v>547840</v>
      </c>
      <c r="CW179" s="226">
        <v>610328</v>
      </c>
      <c r="CX179" s="13"/>
      <c r="CY179" s="133" t="s">
        <v>892</v>
      </c>
      <c r="CZ179" s="226">
        <v>307732</v>
      </c>
      <c r="DA179" s="226">
        <v>354812</v>
      </c>
      <c r="DB179" s="226">
        <v>428000</v>
      </c>
      <c r="DC179" s="226">
        <v>547840</v>
      </c>
      <c r="DD179" s="226">
        <v>610328</v>
      </c>
    </row>
    <row r="180" spans="1:108" ht="12.95" customHeight="1">
      <c r="C180" s="20"/>
      <c r="D180" t="s">
        <v>904</v>
      </c>
      <c r="X180" s="1294" t="s">
        <v>694</v>
      </c>
      <c r="Y180" s="1294"/>
      <c r="BN180" s="133" t="s">
        <v>905</v>
      </c>
      <c r="BS180">
        <v>5</v>
      </c>
      <c r="BT180" t="s">
        <v>906</v>
      </c>
      <c r="CB180" s="253" t="s">
        <v>897</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896</v>
      </c>
      <c r="CS180" s="228">
        <v>384234</v>
      </c>
      <c r="CT180" s="228">
        <v>443018</v>
      </c>
      <c r="CU180" s="228">
        <v>534400</v>
      </c>
      <c r="CV180" s="228">
        <v>684032</v>
      </c>
      <c r="CW180" s="228">
        <v>762054</v>
      </c>
      <c r="CX180" s="13"/>
      <c r="CY180" s="133" t="s">
        <v>896</v>
      </c>
      <c r="CZ180" s="228">
        <v>384234</v>
      </c>
      <c r="DA180" s="228">
        <v>443018</v>
      </c>
      <c r="DB180" s="228">
        <v>534400</v>
      </c>
      <c r="DC180" s="228">
        <v>684032</v>
      </c>
      <c r="DD180" s="228">
        <v>762054</v>
      </c>
    </row>
    <row r="181" spans="1:108" ht="12.95" customHeight="1">
      <c r="C181" s="7"/>
      <c r="E181" s="3" t="s">
        <v>907</v>
      </c>
      <c r="BN181" s="133" t="s">
        <v>908</v>
      </c>
      <c r="BS181">
        <v>7</v>
      </c>
      <c r="BT181" t="s">
        <v>909</v>
      </c>
      <c r="CB181" s="253" t="s">
        <v>901</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900</v>
      </c>
      <c r="CS181" s="226">
        <v>352022</v>
      </c>
      <c r="CT181" s="226">
        <v>405878</v>
      </c>
      <c r="CU181" s="226">
        <v>489600</v>
      </c>
      <c r="CV181" s="226">
        <v>626688</v>
      </c>
      <c r="CW181" s="226">
        <v>698170</v>
      </c>
      <c r="CX181" s="13"/>
      <c r="CY181" s="133" t="s">
        <v>900</v>
      </c>
      <c r="CZ181" s="226">
        <v>352022</v>
      </c>
      <c r="DA181" s="226">
        <v>405878</v>
      </c>
      <c r="DB181" s="226">
        <v>489600</v>
      </c>
      <c r="DC181" s="226">
        <v>626688</v>
      </c>
      <c r="DD181" s="226">
        <v>698170</v>
      </c>
    </row>
    <row r="182" spans="1:108" ht="12.95" customHeight="1">
      <c r="C182" s="430"/>
      <c r="BN182" s="133" t="s">
        <v>910</v>
      </c>
      <c r="BS182">
        <v>7</v>
      </c>
      <c r="BT182" t="s">
        <v>911</v>
      </c>
      <c r="CB182" s="253" t="s">
        <v>903</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902</v>
      </c>
      <c r="CS182" s="228">
        <v>352022</v>
      </c>
      <c r="CT182" s="228">
        <v>405878</v>
      </c>
      <c r="CU182" s="228">
        <v>489600</v>
      </c>
      <c r="CV182" s="228">
        <v>626688</v>
      </c>
      <c r="CW182" s="228">
        <v>698170</v>
      </c>
      <c r="CX182" s="13"/>
      <c r="CY182" s="133" t="s">
        <v>902</v>
      </c>
      <c r="CZ182" s="228">
        <v>352022</v>
      </c>
      <c r="DA182" s="228">
        <v>405878</v>
      </c>
      <c r="DB182" s="228">
        <v>489600</v>
      </c>
      <c r="DC182" s="228">
        <v>626688</v>
      </c>
      <c r="DD182" s="228">
        <v>698170</v>
      </c>
    </row>
    <row r="183" spans="1:108" ht="12.95" customHeight="1">
      <c r="A183" s="2" t="s">
        <v>912</v>
      </c>
      <c r="C183" s="2" t="s">
        <v>93</v>
      </c>
      <c r="BN183" s="133" t="s">
        <v>913</v>
      </c>
      <c r="BS183">
        <v>4</v>
      </c>
      <c r="BT183" t="s">
        <v>914</v>
      </c>
      <c r="CB183" s="253" t="s">
        <v>906</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905</v>
      </c>
      <c r="CS183" s="226">
        <v>307732</v>
      </c>
      <c r="CT183" s="226">
        <v>354812</v>
      </c>
      <c r="CU183" s="226">
        <v>428000</v>
      </c>
      <c r="CV183" s="226">
        <v>547840</v>
      </c>
      <c r="CW183" s="226">
        <v>610328</v>
      </c>
      <c r="CX183" s="13"/>
      <c r="CY183" s="133" t="s">
        <v>905</v>
      </c>
      <c r="CZ183" s="226">
        <v>307732</v>
      </c>
      <c r="DA183" s="226">
        <v>354812</v>
      </c>
      <c r="DB183" s="226">
        <v>428000</v>
      </c>
      <c r="DC183" s="226">
        <v>547840</v>
      </c>
      <c r="DD183" s="226">
        <v>610328</v>
      </c>
    </row>
    <row r="184" spans="1:108" ht="12.95" customHeight="1">
      <c r="C184" s="18"/>
      <c r="D184" t="s">
        <v>915</v>
      </c>
      <c r="I184" s="1320" t="str">
        <f>H18</f>
        <v xml:space="preserve">Bakersfield Senior Affordable Housing </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916</v>
      </c>
      <c r="BN184" s="133" t="s">
        <v>917</v>
      </c>
      <c r="BS184">
        <v>4</v>
      </c>
      <c r="BT184" t="s">
        <v>918</v>
      </c>
      <c r="CB184" s="253" t="s">
        <v>909</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908</v>
      </c>
      <c r="CS184" s="228">
        <v>352022</v>
      </c>
      <c r="CT184" s="228">
        <v>405878</v>
      </c>
      <c r="CU184" s="228">
        <v>489600</v>
      </c>
      <c r="CV184" s="228">
        <v>626688</v>
      </c>
      <c r="CW184" s="228">
        <v>698170</v>
      </c>
      <c r="CX184" s="13"/>
      <c r="CY184" s="133" t="s">
        <v>908</v>
      </c>
      <c r="CZ184" s="228">
        <v>352022</v>
      </c>
      <c r="DA184" s="228">
        <v>405878</v>
      </c>
      <c r="DB184" s="228">
        <v>489600</v>
      </c>
      <c r="DC184" s="228">
        <v>626688</v>
      </c>
      <c r="DD184" s="228">
        <v>698170</v>
      </c>
    </row>
    <row r="185" spans="1:108" ht="12.95" customHeight="1">
      <c r="C185" s="18"/>
      <c r="D185" t="s">
        <v>919</v>
      </c>
      <c r="I185" s="1310" t="s">
        <v>920</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921</v>
      </c>
      <c r="BN185" s="133" t="s">
        <v>922</v>
      </c>
      <c r="BS185">
        <v>7</v>
      </c>
      <c r="BT185" t="s">
        <v>923</v>
      </c>
      <c r="CB185" s="253" t="s">
        <v>911</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910</v>
      </c>
      <c r="CS185" s="226">
        <v>352022</v>
      </c>
      <c r="CT185" s="226">
        <v>405878</v>
      </c>
      <c r="CU185" s="226">
        <v>489600</v>
      </c>
      <c r="CV185" s="226">
        <v>626688</v>
      </c>
      <c r="CW185" s="226">
        <v>698170</v>
      </c>
      <c r="CX185" s="13"/>
      <c r="CY185" s="133" t="s">
        <v>910</v>
      </c>
      <c r="CZ185" s="226">
        <v>352022</v>
      </c>
      <c r="DA185" s="226">
        <v>405878</v>
      </c>
      <c r="DB185" s="226">
        <v>489600</v>
      </c>
      <c r="DC185" s="226">
        <v>626688</v>
      </c>
      <c r="DD185" s="226">
        <v>698170</v>
      </c>
    </row>
    <row r="186" spans="1:108" ht="12.95" customHeight="1">
      <c r="C186" s="18"/>
      <c r="E186" t="s">
        <v>924</v>
      </c>
      <c r="BN186" s="133" t="s">
        <v>925</v>
      </c>
      <c r="BS186">
        <v>4</v>
      </c>
      <c r="BT186" t="s">
        <v>926</v>
      </c>
      <c r="CB186" s="253" t="s">
        <v>914</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913</v>
      </c>
      <c r="CS186" s="228">
        <v>404366</v>
      </c>
      <c r="CT186" s="228">
        <v>466230</v>
      </c>
      <c r="CU186" s="228">
        <v>562400</v>
      </c>
      <c r="CV186" s="228">
        <v>719872</v>
      </c>
      <c r="CW186" s="228">
        <v>801982</v>
      </c>
      <c r="CX186" s="13"/>
      <c r="CY186" s="133" t="s">
        <v>913</v>
      </c>
      <c r="CZ186" s="228">
        <v>404366</v>
      </c>
      <c r="DA186" s="228">
        <v>466230</v>
      </c>
      <c r="DB186" s="228">
        <v>562400</v>
      </c>
      <c r="DC186" s="228">
        <v>719872</v>
      </c>
      <c r="DD186" s="228">
        <v>801982</v>
      </c>
    </row>
    <row r="187" spans="1:108" ht="12.95"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927</v>
      </c>
      <c r="BS187">
        <v>6</v>
      </c>
      <c r="BT187" t="s">
        <v>928</v>
      </c>
      <c r="CB187" s="253" t="s">
        <v>918</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917</v>
      </c>
      <c r="CS187" s="226">
        <v>384234</v>
      </c>
      <c r="CT187" s="226">
        <v>443018</v>
      </c>
      <c r="CU187" s="226">
        <v>534400</v>
      </c>
      <c r="CV187" s="226">
        <v>684032</v>
      </c>
      <c r="CW187" s="226">
        <v>762054</v>
      </c>
      <c r="CX187" s="13"/>
      <c r="CY187" s="133" t="s">
        <v>917</v>
      </c>
      <c r="CZ187" s="226">
        <v>384234</v>
      </c>
      <c r="DA187" s="226">
        <v>443018</v>
      </c>
      <c r="DB187" s="226">
        <v>534400</v>
      </c>
      <c r="DC187" s="226">
        <v>684032</v>
      </c>
      <c r="DD187" s="226">
        <v>762054</v>
      </c>
    </row>
    <row r="188" spans="1:108" ht="12.95"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929</v>
      </c>
      <c r="BS188">
        <v>7</v>
      </c>
      <c r="BT188" t="s">
        <v>930</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2.95" customHeight="1">
      <c r="C189" s="18"/>
      <c r="D189" t="s">
        <v>931</v>
      </c>
      <c r="I189" s="1377" t="s">
        <v>817</v>
      </c>
      <c r="J189" s="1333"/>
      <c r="K189" s="1333"/>
      <c r="L189" s="1333"/>
      <c r="M189" s="1333"/>
      <c r="N189" s="1333"/>
      <c r="O189" s="1333"/>
      <c r="P189" s="1333"/>
      <c r="Q189" t="s">
        <v>932</v>
      </c>
      <c r="T189" s="1333" t="s">
        <v>870</v>
      </c>
      <c r="U189" s="1333"/>
      <c r="V189" s="1333"/>
      <c r="W189" s="1333"/>
      <c r="X189" s="1333"/>
      <c r="Y189" s="1333"/>
      <c r="Z189" s="1333"/>
      <c r="AA189" s="1333"/>
      <c r="AB189" s="1333"/>
      <c r="AC189" s="1333"/>
      <c r="AD189" s="1333"/>
      <c r="AE189" s="1333"/>
      <c r="BC189" t="s">
        <v>392</v>
      </c>
      <c r="BH189" s="3" t="s">
        <v>811</v>
      </c>
      <c r="BN189" s="133" t="s">
        <v>933</v>
      </c>
      <c r="BS189">
        <v>5</v>
      </c>
      <c r="BT189" t="s">
        <v>934</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2.95" customHeight="1">
      <c r="C190" s="18"/>
      <c r="D190" t="s">
        <v>935</v>
      </c>
      <c r="I190" s="1310">
        <v>93304</v>
      </c>
      <c r="J190" s="1310"/>
      <c r="K190" s="1310"/>
      <c r="L190" s="1310"/>
      <c r="M190" s="1310"/>
      <c r="N190" s="1310"/>
      <c r="O190" t="s">
        <v>936</v>
      </c>
      <c r="T190" s="1730">
        <v>20.010000000000002</v>
      </c>
      <c r="U190" s="1730"/>
      <c r="V190" s="1730"/>
      <c r="W190" s="1730"/>
      <c r="X190" s="1730"/>
      <c r="Y190" s="1730"/>
      <c r="Z190" s="1730"/>
      <c r="AA190" s="1730"/>
      <c r="AB190" s="1730"/>
      <c r="AC190" s="1730"/>
      <c r="AD190" s="1730"/>
      <c r="AE190" s="1730"/>
      <c r="BC190" t="s">
        <v>937</v>
      </c>
      <c r="BH190" t="s">
        <v>937</v>
      </c>
      <c r="BN190" s="133" t="s">
        <v>938</v>
      </c>
      <c r="BS190">
        <v>6</v>
      </c>
      <c r="BT190" t="s">
        <v>939</v>
      </c>
      <c r="CB190" s="253" t="s">
        <v>928</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927</v>
      </c>
      <c r="CS190" s="228">
        <v>331890</v>
      </c>
      <c r="CT190" s="228">
        <v>382666</v>
      </c>
      <c r="CU190" s="228">
        <v>461600</v>
      </c>
      <c r="CV190" s="228">
        <v>590848</v>
      </c>
      <c r="CW190" s="228">
        <v>658242</v>
      </c>
      <c r="CX190" s="13"/>
      <c r="CY190" s="133" t="s">
        <v>927</v>
      </c>
      <c r="CZ190" s="228">
        <v>331890</v>
      </c>
      <c r="DA190" s="228">
        <v>382666</v>
      </c>
      <c r="DB190" s="228">
        <v>461600</v>
      </c>
      <c r="DC190" s="228">
        <v>590848</v>
      </c>
      <c r="DD190" s="228">
        <v>658242</v>
      </c>
    </row>
    <row r="191" spans="1:108" ht="12.95" customHeight="1">
      <c r="C191" s="18"/>
      <c r="D191" t="s">
        <v>940</v>
      </c>
      <c r="N191" s="1741" t="s">
        <v>941</v>
      </c>
      <c r="O191" s="1741"/>
      <c r="P191" s="1741"/>
      <c r="Q191" s="1741"/>
      <c r="R191" s="1741"/>
      <c r="S191" s="1741"/>
      <c r="T191" s="1741"/>
      <c r="U191" s="1741"/>
      <c r="V191" s="1741"/>
      <c r="W191" s="1741"/>
      <c r="X191" s="1741"/>
      <c r="Y191" s="1741"/>
      <c r="Z191" s="1741"/>
      <c r="AA191" s="1741"/>
      <c r="AB191" s="1741"/>
      <c r="AC191" s="1741"/>
      <c r="AD191" s="1741"/>
      <c r="AE191" s="1741"/>
      <c r="BC191" t="s">
        <v>942</v>
      </c>
      <c r="BH191" t="s">
        <v>942</v>
      </c>
      <c r="BN191" s="133" t="s">
        <v>943</v>
      </c>
      <c r="BS191">
        <v>4</v>
      </c>
      <c r="BT191" t="s">
        <v>944</v>
      </c>
      <c r="CB191" s="253" t="s">
        <v>930</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929</v>
      </c>
      <c r="CS191" s="226">
        <v>352022</v>
      </c>
      <c r="CT191" s="226">
        <v>405878</v>
      </c>
      <c r="CU191" s="226">
        <v>489600</v>
      </c>
      <c r="CV191" s="226">
        <v>626688</v>
      </c>
      <c r="CW191" s="226">
        <v>698170</v>
      </c>
      <c r="CX191" s="13"/>
      <c r="CY191" s="133" t="s">
        <v>929</v>
      </c>
      <c r="CZ191" s="226">
        <v>352022</v>
      </c>
      <c r="DA191" s="226">
        <v>405878</v>
      </c>
      <c r="DB191" s="226">
        <v>489600</v>
      </c>
      <c r="DC191" s="226">
        <v>626688</v>
      </c>
      <c r="DD191" s="226">
        <v>698170</v>
      </c>
    </row>
    <row r="192" spans="1:108" ht="12.95"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945</v>
      </c>
      <c r="BH192" s="3" t="s">
        <v>946</v>
      </c>
      <c r="BN192" s="133" t="s">
        <v>947</v>
      </c>
      <c r="BS192">
        <v>5</v>
      </c>
      <c r="BT192" t="s">
        <v>948</v>
      </c>
      <c r="CB192" s="253" t="s">
        <v>934</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933</v>
      </c>
      <c r="CS192" s="228">
        <v>324988</v>
      </c>
      <c r="CT192" s="228">
        <v>374708</v>
      </c>
      <c r="CU192" s="228">
        <v>452000</v>
      </c>
      <c r="CV192" s="228">
        <v>578560</v>
      </c>
      <c r="CW192" s="228">
        <v>644552</v>
      </c>
      <c r="CX192" s="13"/>
      <c r="CY192" s="133" t="s">
        <v>933</v>
      </c>
      <c r="CZ192" s="228">
        <v>324988</v>
      </c>
      <c r="DA192" s="228">
        <v>374708</v>
      </c>
      <c r="DB192" s="228">
        <v>452000</v>
      </c>
      <c r="DC192" s="228">
        <v>578560</v>
      </c>
      <c r="DD192" s="228">
        <v>644552</v>
      </c>
    </row>
    <row r="193" spans="1:108" ht="12.95" customHeight="1">
      <c r="C193" s="18"/>
      <c r="D193" t="s">
        <v>949</v>
      </c>
      <c r="M193" s="32"/>
      <c r="N193" s="790"/>
      <c r="O193" s="790"/>
      <c r="P193" s="790"/>
      <c r="Q193" s="790"/>
      <c r="R193" s="790"/>
      <c r="S193" s="790"/>
      <c r="T193" s="1733" t="s">
        <v>895</v>
      </c>
      <c r="U193" s="1733"/>
      <c r="V193" s="1733"/>
      <c r="W193" s="1733"/>
      <c r="X193" s="1733"/>
      <c r="Y193" s="1733"/>
      <c r="Z193" s="1733"/>
      <c r="AA193" s="1733"/>
      <c r="AB193" s="1733"/>
      <c r="AC193" s="1733"/>
      <c r="AD193" s="1733"/>
      <c r="AE193" s="1733"/>
      <c r="AF193" s="1733"/>
      <c r="AG193" s="1733"/>
      <c r="AH193" s="1733"/>
      <c r="AI193" s="1733"/>
      <c r="BC193" t="s">
        <v>950</v>
      </c>
      <c r="BH193" s="3" t="s">
        <v>951</v>
      </c>
      <c r="BN193" s="133" t="s">
        <v>952</v>
      </c>
      <c r="BS193">
        <v>4</v>
      </c>
      <c r="BT193" t="s">
        <v>953</v>
      </c>
      <c r="CB193" s="253" t="s">
        <v>939</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938</v>
      </c>
      <c r="CS193" s="226">
        <v>331890</v>
      </c>
      <c r="CT193" s="226">
        <v>382666</v>
      </c>
      <c r="CU193" s="226">
        <v>461600</v>
      </c>
      <c r="CV193" s="226">
        <v>590848</v>
      </c>
      <c r="CW193" s="226">
        <v>658242</v>
      </c>
      <c r="CX193" s="13"/>
      <c r="CY193" s="133" t="s">
        <v>938</v>
      </c>
      <c r="CZ193" s="226">
        <v>331890</v>
      </c>
      <c r="DA193" s="226">
        <v>382666</v>
      </c>
      <c r="DB193" s="226">
        <v>461600</v>
      </c>
      <c r="DC193" s="226">
        <v>590848</v>
      </c>
      <c r="DD193" s="226">
        <v>658242</v>
      </c>
    </row>
    <row r="194" spans="1:108" ht="12.95" customHeight="1">
      <c r="C194" s="18"/>
      <c r="D194" s="3" t="s">
        <v>954</v>
      </c>
      <c r="M194" s="32"/>
      <c r="N194" s="790"/>
      <c r="O194" s="790"/>
      <c r="P194" s="790"/>
      <c r="Q194" s="790"/>
      <c r="R194" s="790"/>
      <c r="S194" s="790"/>
      <c r="AH194" s="1294" t="s">
        <v>846</v>
      </c>
      <c r="AI194" s="1294"/>
      <c r="BC194" t="s">
        <v>946</v>
      </c>
      <c r="BN194" s="133" t="s">
        <v>955</v>
      </c>
      <c r="BS194">
        <v>2</v>
      </c>
      <c r="BT194" t="s">
        <v>956</v>
      </c>
      <c r="CB194" s="253" t="s">
        <v>944</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943</v>
      </c>
      <c r="CS194" s="228">
        <v>352022</v>
      </c>
      <c r="CT194" s="228">
        <v>405878</v>
      </c>
      <c r="CU194" s="228">
        <v>489600</v>
      </c>
      <c r="CV194" s="228">
        <v>626688</v>
      </c>
      <c r="CW194" s="228">
        <v>698170</v>
      </c>
      <c r="CX194" s="13"/>
      <c r="CY194" s="133" t="s">
        <v>943</v>
      </c>
      <c r="CZ194" s="228">
        <v>352022</v>
      </c>
      <c r="DA194" s="228">
        <v>405878</v>
      </c>
      <c r="DB194" s="228">
        <v>489600</v>
      </c>
      <c r="DC194" s="228">
        <v>626688</v>
      </c>
      <c r="DD194" s="228">
        <v>698170</v>
      </c>
    </row>
    <row r="195" spans="1:108" ht="12.95" customHeight="1">
      <c r="C195" s="18"/>
      <c r="D195" t="s">
        <v>957</v>
      </c>
      <c r="T195" s="1294" t="s">
        <v>694</v>
      </c>
      <c r="U195" s="1294"/>
      <c r="W195" t="s">
        <v>958</v>
      </c>
      <c r="AH195" s="1294">
        <v>22</v>
      </c>
      <c r="AI195" s="1294"/>
      <c r="BC195" t="s">
        <v>959</v>
      </c>
      <c r="BN195" s="133" t="s">
        <v>960</v>
      </c>
      <c r="BS195">
        <v>6</v>
      </c>
      <c r="BT195" t="s">
        <v>961</v>
      </c>
      <c r="CB195" s="253" t="s">
        <v>948</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947</v>
      </c>
      <c r="CS195" s="226">
        <v>324988</v>
      </c>
      <c r="CT195" s="226">
        <v>374708</v>
      </c>
      <c r="CU195" s="226">
        <v>452000</v>
      </c>
      <c r="CV195" s="226">
        <v>578560</v>
      </c>
      <c r="CW195" s="226">
        <v>644552</v>
      </c>
      <c r="CX195" s="13"/>
      <c r="CY195" s="133" t="s">
        <v>947</v>
      </c>
      <c r="CZ195" s="226">
        <v>324988</v>
      </c>
      <c r="DA195" s="226">
        <v>374708</v>
      </c>
      <c r="DB195" s="226">
        <v>452000</v>
      </c>
      <c r="DC195" s="226">
        <v>578560</v>
      </c>
      <c r="DD195" s="226">
        <v>644552</v>
      </c>
    </row>
    <row r="196" spans="1:108" ht="12.95" customHeight="1">
      <c r="C196" s="18"/>
      <c r="D196" t="s">
        <v>962</v>
      </c>
      <c r="T196" s="1364" t="s">
        <v>846</v>
      </c>
      <c r="U196" s="1364"/>
      <c r="W196" t="s">
        <v>963</v>
      </c>
      <c r="AH196" s="1294">
        <v>32</v>
      </c>
      <c r="AI196" s="1294"/>
      <c r="BN196" s="133" t="s">
        <v>964</v>
      </c>
      <c r="BS196">
        <v>4</v>
      </c>
      <c r="BT196" t="s">
        <v>965</v>
      </c>
      <c r="CB196" s="253" t="s">
        <v>953</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952</v>
      </c>
      <c r="CS196" s="228">
        <v>353173</v>
      </c>
      <c r="CT196" s="228">
        <v>407205</v>
      </c>
      <c r="CU196" s="228">
        <v>491200</v>
      </c>
      <c r="CV196" s="228">
        <v>628736</v>
      </c>
      <c r="CW196" s="228">
        <v>700451</v>
      </c>
      <c r="CX196" s="13"/>
      <c r="CY196" s="133" t="s">
        <v>952</v>
      </c>
      <c r="CZ196" s="228">
        <v>353173</v>
      </c>
      <c r="DA196" s="228">
        <v>407205</v>
      </c>
      <c r="DB196" s="228">
        <v>491200</v>
      </c>
      <c r="DC196" s="228">
        <v>628736</v>
      </c>
      <c r="DD196" s="228">
        <v>700451</v>
      </c>
    </row>
    <row r="197" spans="1:108" ht="12.95" customHeight="1">
      <c r="C197" s="18"/>
      <c r="D197" s="3" t="s">
        <v>966</v>
      </c>
      <c r="T197" s="1364" t="s">
        <v>694</v>
      </c>
      <c r="U197" s="1364"/>
      <c r="W197" t="s">
        <v>967</v>
      </c>
      <c r="AH197" s="1294">
        <v>12</v>
      </c>
      <c r="AI197" s="1294"/>
      <c r="BC197" t="s">
        <v>392</v>
      </c>
      <c r="BN197" s="133" t="s">
        <v>968</v>
      </c>
      <c r="BS197">
        <v>2</v>
      </c>
      <c r="BT197" t="s">
        <v>969</v>
      </c>
      <c r="CB197" s="253" t="s">
        <v>956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2.95" customHeight="1">
      <c r="A198"/>
      <c r="B198"/>
      <c r="C198" s="18"/>
      <c r="D198" s="3" t="s">
        <v>970</v>
      </c>
      <c r="E198"/>
      <c r="F198"/>
      <c r="G198"/>
      <c r="H198"/>
      <c r="I198"/>
      <c r="J198"/>
      <c r="K198"/>
      <c r="L198"/>
      <c r="M198"/>
      <c r="N198"/>
      <c r="O198"/>
      <c r="P198"/>
      <c r="Q198"/>
      <c r="R198"/>
      <c r="S198"/>
      <c r="T198" s="1364" t="s">
        <v>971</v>
      </c>
      <c r="U198" s="1364"/>
      <c r="V198"/>
      <c r="X198" s="1375" t="s">
        <v>972</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811</v>
      </c>
      <c r="BD198"/>
      <c r="BN198" s="133" t="s">
        <v>973</v>
      </c>
      <c r="BO198"/>
      <c r="BP198"/>
      <c r="BQ198"/>
      <c r="BR198"/>
      <c r="BS198">
        <v>4</v>
      </c>
      <c r="BT198" t="s">
        <v>974</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2.95" customHeight="1">
      <c r="A199"/>
      <c r="B199"/>
      <c r="C199" s="18"/>
      <c r="D199" s="84" t="s">
        <v>975</v>
      </c>
      <c r="E199"/>
      <c r="F199"/>
      <c r="G199"/>
      <c r="H199"/>
      <c r="I199"/>
      <c r="J199"/>
      <c r="K199"/>
      <c r="L199"/>
      <c r="M199"/>
      <c r="N199"/>
      <c r="O199"/>
      <c r="P199"/>
      <c r="Q199"/>
      <c r="R199"/>
      <c r="S199"/>
      <c r="T199" s="1294" t="s">
        <v>694</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976</v>
      </c>
      <c r="BO199"/>
      <c r="BP199"/>
      <c r="BQ199"/>
      <c r="BR199"/>
      <c r="BS199">
        <v>2</v>
      </c>
      <c r="BT199" s="27" t="s">
        <v>977</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2.95" customHeight="1">
      <c r="A200"/>
      <c r="B200"/>
      <c r="C200" s="18"/>
      <c r="D200" s="13" t="s">
        <v>978</v>
      </c>
      <c r="T200" s="1294" t="s">
        <v>694</v>
      </c>
      <c r="U200" s="1294"/>
      <c r="V200"/>
      <c r="W200"/>
      <c r="X200"/>
      <c r="Y200"/>
      <c r="AA200"/>
      <c r="AB200" s="1139" t="s">
        <v>979</v>
      </c>
      <c r="AC200"/>
      <c r="AF200"/>
      <c r="AG200"/>
      <c r="AH200" s="1"/>
      <c r="AJ200"/>
      <c r="AK200"/>
      <c r="AL200"/>
      <c r="AM200"/>
      <c r="AN200"/>
      <c r="AO200"/>
      <c r="AP200"/>
      <c r="AQ200"/>
      <c r="AR200"/>
      <c r="AS200"/>
      <c r="AU200"/>
      <c r="AV200"/>
      <c r="AW200"/>
      <c r="AX200"/>
      <c r="AY200"/>
      <c r="AZ200" s="25"/>
      <c r="BA200" s="25"/>
      <c r="BC200" s="3" t="s">
        <v>980</v>
      </c>
      <c r="BD200" s="339"/>
      <c r="BN200" s="133" t="s">
        <v>981</v>
      </c>
      <c r="BO200"/>
      <c r="BP200"/>
      <c r="BQ200"/>
      <c r="BR200"/>
      <c r="BS200">
        <v>2</v>
      </c>
      <c r="BT200" s="27" t="s">
        <v>982</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2.95" customHeight="1">
      <c r="A201"/>
      <c r="B201"/>
      <c r="C201" s="18"/>
      <c r="E201" s="3" t="s">
        <v>983</v>
      </c>
      <c r="V201"/>
      <c r="X201"/>
      <c r="Y201"/>
      <c r="Z201"/>
      <c r="AB201" s="1139" t="s">
        <v>984</v>
      </c>
      <c r="AC201"/>
      <c r="AH201" s="1"/>
      <c r="AJ201"/>
      <c r="AK201"/>
      <c r="AL201"/>
      <c r="AM201"/>
      <c r="AN201"/>
      <c r="AO201"/>
      <c r="AP201"/>
      <c r="AQ201"/>
      <c r="AR201"/>
      <c r="AS201"/>
      <c r="AU201"/>
      <c r="AV201"/>
      <c r="AW201"/>
      <c r="AX201"/>
      <c r="AY201"/>
      <c r="AZ201" s="25"/>
      <c r="BA201" s="25"/>
      <c r="BC201" s="3" t="s">
        <v>985</v>
      </c>
      <c r="BD201" s="339"/>
      <c r="BN201" s="133" t="s">
        <v>986</v>
      </c>
      <c r="BO201" s="26"/>
      <c r="BP201" s="27"/>
      <c r="BQ201" s="27"/>
      <c r="BR201" s="27"/>
      <c r="BS201">
        <v>6</v>
      </c>
      <c r="BT201" s="27" t="s">
        <v>987</v>
      </c>
      <c r="BU201"/>
      <c r="CB201" s="253" t="s">
        <v>974</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973</v>
      </c>
      <c r="CS201" s="226">
        <v>404366</v>
      </c>
      <c r="CT201" s="226">
        <v>466230</v>
      </c>
      <c r="CU201" s="226">
        <v>562400</v>
      </c>
      <c r="CV201" s="226">
        <v>719872</v>
      </c>
      <c r="CW201" s="226">
        <v>801982</v>
      </c>
      <c r="CY201" s="133" t="s">
        <v>973</v>
      </c>
      <c r="CZ201" s="226">
        <v>404366</v>
      </c>
      <c r="DA201" s="226">
        <v>466230</v>
      </c>
      <c r="DB201" s="226">
        <v>562400</v>
      </c>
      <c r="DC201" s="226">
        <v>719872</v>
      </c>
      <c r="DD201" s="226">
        <v>801982</v>
      </c>
    </row>
    <row r="202" spans="1:108" ht="12.95" customHeight="1">
      <c r="C202" s="18"/>
      <c r="AE202" s="7"/>
      <c r="BC202" t="s">
        <v>988</v>
      </c>
      <c r="BD202" s="339"/>
      <c r="BN202" s="133" t="s">
        <v>989</v>
      </c>
      <c r="BO202" s="13"/>
      <c r="BP202" s="27"/>
      <c r="BQ202" s="27"/>
      <c r="BR202" s="27"/>
      <c r="BS202">
        <v>7</v>
      </c>
      <c r="BT202" s="27" t="s">
        <v>990</v>
      </c>
      <c r="CB202" s="253" t="s">
        <v>977</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976</v>
      </c>
      <c r="CS202" s="227">
        <v>532060</v>
      </c>
      <c r="CT202" s="227">
        <v>613460</v>
      </c>
      <c r="CU202" s="227">
        <v>740000</v>
      </c>
      <c r="CV202" s="227">
        <v>947200</v>
      </c>
      <c r="CW202" s="227">
        <v>1055240</v>
      </c>
      <c r="CX202" s="13"/>
      <c r="CY202" s="133" t="s">
        <v>976</v>
      </c>
      <c r="CZ202" s="227">
        <v>532060</v>
      </c>
      <c r="DA202" s="227">
        <v>613460</v>
      </c>
      <c r="DB202" s="227">
        <v>740000</v>
      </c>
      <c r="DC202" s="227">
        <v>947200</v>
      </c>
      <c r="DD202" s="227">
        <v>1055240</v>
      </c>
    </row>
    <row r="203" spans="1:108" ht="12.95" customHeight="1">
      <c r="A203" s="2" t="s">
        <v>991</v>
      </c>
      <c r="C203" s="2" t="s">
        <v>992</v>
      </c>
      <c r="BC203" t="s">
        <v>993</v>
      </c>
      <c r="BN203" s="133" t="s">
        <v>994</v>
      </c>
      <c r="BO203" s="13"/>
      <c r="BP203" s="27"/>
      <c r="BQ203" s="27"/>
      <c r="BR203" s="27"/>
      <c r="BS203">
        <v>7</v>
      </c>
      <c r="BT203" s="27" t="s">
        <v>995</v>
      </c>
      <c r="CB203" s="253" t="s">
        <v>982</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981</v>
      </c>
      <c r="CS203" s="226">
        <v>404366</v>
      </c>
      <c r="CT203" s="226">
        <v>466230</v>
      </c>
      <c r="CU203" s="226">
        <v>562400</v>
      </c>
      <c r="CV203" s="226">
        <v>719872</v>
      </c>
      <c r="CW203" s="226">
        <v>801982</v>
      </c>
      <c r="CX203" s="13"/>
      <c r="CY203" s="133" t="s">
        <v>981</v>
      </c>
      <c r="CZ203" s="226">
        <v>404366</v>
      </c>
      <c r="DA203" s="226">
        <v>466230</v>
      </c>
      <c r="DB203" s="226">
        <v>562400</v>
      </c>
      <c r="DC203" s="226">
        <v>719872</v>
      </c>
      <c r="DD203" s="226">
        <v>801982</v>
      </c>
    </row>
    <row r="204" spans="1:108" ht="12.95" customHeight="1">
      <c r="D204" s="1320" t="s">
        <v>996</v>
      </c>
      <c r="E204" s="1320"/>
      <c r="F204" s="1320"/>
      <c r="G204" s="1320"/>
      <c r="H204" s="1320"/>
      <c r="I204" s="1320"/>
      <c r="J204" s="1320"/>
      <c r="K204" s="1320"/>
      <c r="L204" s="1320"/>
      <c r="M204" s="1320"/>
      <c r="P204" s="1378">
        <f>M26</f>
        <v>982617</v>
      </c>
      <c r="Q204" s="1722"/>
      <c r="R204" s="1722"/>
      <c r="S204" s="1722"/>
      <c r="T204" s="1722"/>
      <c r="U204" s="1722"/>
      <c r="BC204" t="s">
        <v>997</v>
      </c>
      <c r="BN204" s="133" t="s">
        <v>998</v>
      </c>
      <c r="BS204">
        <v>6</v>
      </c>
      <c r="BT204" s="27" t="s">
        <v>999</v>
      </c>
      <c r="BU204" s="13"/>
      <c r="CB204" s="253" t="s">
        <v>987</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986</v>
      </c>
      <c r="CS204" s="228">
        <v>319236</v>
      </c>
      <c r="CT204" s="228">
        <v>368076</v>
      </c>
      <c r="CU204" s="228">
        <v>444000</v>
      </c>
      <c r="CV204" s="228">
        <v>568320</v>
      </c>
      <c r="CW204" s="228">
        <v>633144</v>
      </c>
      <c r="CX204" s="13"/>
      <c r="CY204" s="133" t="s">
        <v>986</v>
      </c>
      <c r="CZ204" s="228">
        <v>319236</v>
      </c>
      <c r="DA204" s="228">
        <v>368076</v>
      </c>
      <c r="DB204" s="228">
        <v>444000</v>
      </c>
      <c r="DC204" s="228">
        <v>568320</v>
      </c>
      <c r="DD204" s="228">
        <v>633144</v>
      </c>
    </row>
    <row r="205" spans="1:108" ht="12.95" customHeight="1">
      <c r="C205" s="18"/>
      <c r="D205" s="1719" t="s">
        <v>1000</v>
      </c>
      <c r="E205" s="1320"/>
      <c r="F205" s="1320"/>
      <c r="G205" s="1320"/>
      <c r="H205" s="1320"/>
      <c r="I205" s="1320"/>
      <c r="J205" s="1320"/>
      <c r="K205" s="1320"/>
      <c r="L205" s="1320"/>
      <c r="M205" s="1320"/>
      <c r="P205" s="1722">
        <f>M27</f>
        <v>0</v>
      </c>
      <c r="Q205" s="1722"/>
      <c r="R205" s="1722"/>
      <c r="S205" s="1722"/>
      <c r="T205" s="1722"/>
      <c r="U205" s="1722"/>
      <c r="V205" s="19"/>
      <c r="W205" s="3" t="s">
        <v>1001</v>
      </c>
      <c r="Z205" s="1747" t="s">
        <v>1028</v>
      </c>
      <c r="AA205" s="1747"/>
      <c r="AB205" s="1747"/>
      <c r="AC205" s="1747"/>
      <c r="AD205" s="1747"/>
      <c r="AE205" s="1747"/>
      <c r="AF205" s="1747"/>
      <c r="AG205" s="1747"/>
      <c r="AH205" s="1747"/>
      <c r="AI205" s="1747"/>
      <c r="AJ205" s="1747"/>
      <c r="AK205" s="1747"/>
      <c r="AL205" s="1747"/>
      <c r="AM205" s="1747"/>
      <c r="AN205" s="1747"/>
      <c r="AP205" s="1297"/>
      <c r="AQ205" s="1297"/>
      <c r="BC205" t="s">
        <v>1003</v>
      </c>
      <c r="BN205" s="133" t="s">
        <v>1004</v>
      </c>
      <c r="BS205">
        <v>4</v>
      </c>
      <c r="BT205" s="27" t="s">
        <v>1005</v>
      </c>
      <c r="BU205" s="13"/>
      <c r="CB205" s="253" t="s">
        <v>990</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989</v>
      </c>
      <c r="CS205" s="226">
        <v>352022</v>
      </c>
      <c r="CT205" s="226">
        <v>405878</v>
      </c>
      <c r="CU205" s="226">
        <v>489600</v>
      </c>
      <c r="CV205" s="226">
        <v>626688</v>
      </c>
      <c r="CW205" s="226">
        <v>698170</v>
      </c>
      <c r="CX205" s="13"/>
      <c r="CY205" s="133" t="s">
        <v>989</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1006</v>
      </c>
      <c r="BN206" s="133" t="s">
        <v>1007</v>
      </c>
      <c r="BS206">
        <v>5</v>
      </c>
      <c r="BT206" s="27" t="s">
        <v>1008</v>
      </c>
      <c r="BU206" s="13"/>
      <c r="CB206" s="253" t="s">
        <v>995</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994</v>
      </c>
      <c r="CS206" s="228">
        <v>352022</v>
      </c>
      <c r="CT206" s="228">
        <v>405878</v>
      </c>
      <c r="CU206" s="228">
        <v>489600</v>
      </c>
      <c r="CV206" s="228">
        <v>626688</v>
      </c>
      <c r="CW206" s="228">
        <v>698170</v>
      </c>
      <c r="CX206" s="13"/>
      <c r="CY206" s="133" t="s">
        <v>994</v>
      </c>
      <c r="CZ206" s="228">
        <v>352022</v>
      </c>
      <c r="DA206" s="228">
        <v>405878</v>
      </c>
      <c r="DB206" s="228">
        <v>489600</v>
      </c>
      <c r="DC206" s="228">
        <v>626688</v>
      </c>
      <c r="DD206" s="228">
        <v>698170</v>
      </c>
    </row>
    <row r="207" spans="1:108" ht="12.95" customHeight="1">
      <c r="A207" s="2" t="s">
        <v>1009</v>
      </c>
      <c r="C207" s="2" t="s">
        <v>1010</v>
      </c>
      <c r="BC207" s="340" t="s">
        <v>1011</v>
      </c>
      <c r="BN207" s="133" t="s">
        <v>1012</v>
      </c>
      <c r="BS207">
        <v>6</v>
      </c>
      <c r="BT207" s="27" t="s">
        <v>1013</v>
      </c>
      <c r="CB207" s="253" t="s">
        <v>999</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998</v>
      </c>
      <c r="CS207" s="226">
        <v>384234</v>
      </c>
      <c r="CT207" s="226">
        <v>443018</v>
      </c>
      <c r="CU207" s="226">
        <v>534400</v>
      </c>
      <c r="CV207" s="226">
        <v>684032</v>
      </c>
      <c r="CW207" s="226">
        <v>762054</v>
      </c>
      <c r="CX207" s="13"/>
      <c r="CY207" s="133" t="s">
        <v>998</v>
      </c>
      <c r="CZ207" s="226">
        <v>384234</v>
      </c>
      <c r="DA207" s="226">
        <v>443018</v>
      </c>
      <c r="DB207" s="226">
        <v>534400</v>
      </c>
      <c r="DC207" s="226">
        <v>684032</v>
      </c>
      <c r="DD207" s="226">
        <v>762054</v>
      </c>
    </row>
    <row r="208" spans="1:108" ht="12.95" customHeight="1">
      <c r="C208" s="18"/>
      <c r="D208" s="1377" t="s">
        <v>2739</v>
      </c>
      <c r="E208" s="1377"/>
      <c r="F208" s="1377"/>
      <c r="G208" s="1377"/>
      <c r="H208" s="1377"/>
      <c r="I208" s="1377"/>
      <c r="J208" s="1377"/>
      <c r="K208" s="1377"/>
      <c r="L208" s="1377"/>
      <c r="M208" s="1377"/>
      <c r="BC208" s="3" t="s">
        <v>1014</v>
      </c>
      <c r="BN208" s="133" t="s">
        <v>1015</v>
      </c>
      <c r="BS208">
        <v>7</v>
      </c>
      <c r="BT208" s="27" t="s">
        <v>1016</v>
      </c>
      <c r="CB208" s="253" t="s">
        <v>1005</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1004</v>
      </c>
      <c r="CS208" s="228">
        <v>384234</v>
      </c>
      <c r="CT208" s="228">
        <v>443018</v>
      </c>
      <c r="CU208" s="228">
        <v>534400</v>
      </c>
      <c r="CV208" s="228">
        <v>684032</v>
      </c>
      <c r="CW208" s="228">
        <v>762054</v>
      </c>
      <c r="CX208" s="13"/>
      <c r="CY208" s="133" t="s">
        <v>1004</v>
      </c>
      <c r="CZ208" s="228">
        <v>384234</v>
      </c>
      <c r="DA208" s="228">
        <v>443018</v>
      </c>
      <c r="DB208" s="228">
        <v>534400</v>
      </c>
      <c r="DC208" s="228">
        <v>684032</v>
      </c>
      <c r="DD208" s="228">
        <v>762054</v>
      </c>
    </row>
    <row r="209" spans="1:108" ht="12.95" customHeight="1">
      <c r="BC209" t="s">
        <v>1017</v>
      </c>
      <c r="BN209" s="133" t="s">
        <v>1018</v>
      </c>
      <c r="BS209">
        <v>7</v>
      </c>
      <c r="BT209" s="27" t="s">
        <v>1019</v>
      </c>
      <c r="CB209" s="253" t="s">
        <v>1008</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1007</v>
      </c>
      <c r="CS209" s="226">
        <v>307732</v>
      </c>
      <c r="CT209" s="226">
        <v>354812</v>
      </c>
      <c r="CU209" s="226">
        <v>428000</v>
      </c>
      <c r="CV209" s="226">
        <v>547840</v>
      </c>
      <c r="CW209" s="226">
        <v>610328</v>
      </c>
      <c r="CX209" s="13"/>
      <c r="CY209" s="133" t="s">
        <v>1007</v>
      </c>
      <c r="CZ209" s="226">
        <v>307732</v>
      </c>
      <c r="DA209" s="226">
        <v>354812</v>
      </c>
      <c r="DB209" s="226">
        <v>428000</v>
      </c>
      <c r="DC209" s="226">
        <v>547840</v>
      </c>
      <c r="DD209" s="226">
        <v>610328</v>
      </c>
    </row>
    <row r="210" spans="1:108" ht="12.95" customHeight="1">
      <c r="A210" s="2" t="s">
        <v>1020</v>
      </c>
      <c r="C210" s="2" t="s">
        <v>1021</v>
      </c>
      <c r="BC210" t="s">
        <v>1022</v>
      </c>
      <c r="BN210" s="133" t="s">
        <v>1023</v>
      </c>
      <c r="BS210">
        <v>5</v>
      </c>
      <c r="BT210" s="27" t="s">
        <v>1024</v>
      </c>
      <c r="CB210" s="253" t="s">
        <v>1013</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1012</v>
      </c>
      <c r="CS210" s="228">
        <v>331890</v>
      </c>
      <c r="CT210" s="228">
        <v>382666</v>
      </c>
      <c r="CU210" s="228">
        <v>461600</v>
      </c>
      <c r="CV210" s="228">
        <v>590848</v>
      </c>
      <c r="CW210" s="228">
        <v>658242</v>
      </c>
      <c r="CX210" s="13"/>
      <c r="CY210" s="133" t="s">
        <v>1012</v>
      </c>
      <c r="CZ210" s="228">
        <v>331890</v>
      </c>
      <c r="DA210" s="228">
        <v>382666</v>
      </c>
      <c r="DB210" s="228">
        <v>461600</v>
      </c>
      <c r="DC210" s="228">
        <v>590848</v>
      </c>
      <c r="DD210" s="228">
        <v>658242</v>
      </c>
    </row>
    <row r="211" spans="1:108" ht="12.95" customHeight="1">
      <c r="C211" s="18"/>
      <c r="D211" s="1377" t="s">
        <v>942</v>
      </c>
      <c r="E211" s="1377"/>
      <c r="F211" s="1377"/>
      <c r="G211" s="1377"/>
      <c r="H211" s="1377"/>
      <c r="I211" s="1377"/>
      <c r="J211" s="1377"/>
      <c r="K211" s="1377"/>
      <c r="L211" s="1377"/>
      <c r="M211" s="1377"/>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2.95" customHeight="1">
      <c r="C212" s="18"/>
      <c r="D212" s="3" t="s">
        <v>1027</v>
      </c>
      <c r="Q212" s="1294"/>
      <c r="R212" s="1294"/>
      <c r="T212" s="1735">
        <f>IFERROR(Q212/AG440,0)</f>
        <v>0</v>
      </c>
      <c r="U212" s="1736"/>
      <c r="BC212" t="s">
        <v>392</v>
      </c>
      <c r="BI212" t="s">
        <v>1028</v>
      </c>
      <c r="BN212" s="133" t="s">
        <v>1029</v>
      </c>
      <c r="BS212">
        <v>4</v>
      </c>
      <c r="BT212" s="27" t="s">
        <v>1030</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2.95" customHeight="1">
      <c r="D213" s="1034" t="s">
        <v>1031</v>
      </c>
      <c r="BC213" t="s">
        <v>1032</v>
      </c>
      <c r="BI213" s="3" t="s">
        <v>1033</v>
      </c>
      <c r="BN213" s="133" t="s">
        <v>1034</v>
      </c>
      <c r="BS213">
        <v>6</v>
      </c>
      <c r="BT213" s="27" t="s">
        <v>1035</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2.95" customHeight="1">
      <c r="D214" s="1738" t="s">
        <v>811</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1036</v>
      </c>
      <c r="BI214" s="3" t="s">
        <v>1037</v>
      </c>
      <c r="BN214" s="133" t="s">
        <v>1038</v>
      </c>
      <c r="BS214">
        <v>6</v>
      </c>
      <c r="BT214" s="27" t="s">
        <v>1039</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2.95" customHeight="1">
      <c r="D215" s="3" t="s">
        <v>1040</v>
      </c>
      <c r="Z215" s="32"/>
      <c r="AB215" s="1737">
        <v>62</v>
      </c>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1041</v>
      </c>
      <c r="BI215" s="3" t="s">
        <v>1042</v>
      </c>
      <c r="CB215" s="253" t="s">
        <v>1030</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1029</v>
      </c>
      <c r="CS215" s="226">
        <v>404366</v>
      </c>
      <c r="CT215" s="226">
        <v>466230</v>
      </c>
      <c r="CU215" s="226">
        <v>562400</v>
      </c>
      <c r="CV215" s="226">
        <v>719872</v>
      </c>
      <c r="CW215" s="226">
        <v>801982</v>
      </c>
      <c r="CX215" s="13"/>
      <c r="CY215" s="133" t="s">
        <v>1029</v>
      </c>
      <c r="CZ215" s="226">
        <v>404366</v>
      </c>
      <c r="DA215" s="226">
        <v>466230</v>
      </c>
      <c r="DB215" s="226">
        <v>562400</v>
      </c>
      <c r="DC215" s="226">
        <v>719872</v>
      </c>
      <c r="DD215" s="226">
        <v>801982</v>
      </c>
    </row>
    <row r="216" spans="1:108" ht="12.95" customHeight="1">
      <c r="D216" s="3" t="s">
        <v>1043</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1044</v>
      </c>
      <c r="BI216" t="s">
        <v>1002</v>
      </c>
      <c r="CB216" s="253" t="s">
        <v>1035</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1034</v>
      </c>
      <c r="CS216" s="228">
        <v>331890</v>
      </c>
      <c r="CT216" s="228">
        <v>382666</v>
      </c>
      <c r="CU216" s="228">
        <v>461600</v>
      </c>
      <c r="CV216" s="228">
        <v>590848</v>
      </c>
      <c r="CW216" s="228">
        <v>658242</v>
      </c>
      <c r="CX216" s="13"/>
      <c r="CY216" s="133" t="s">
        <v>1034</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1039</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1038</v>
      </c>
      <c r="CS217" s="226">
        <v>331890</v>
      </c>
      <c r="CT217" s="226">
        <v>382666</v>
      </c>
      <c r="CU217" s="226">
        <v>461600</v>
      </c>
      <c r="CV217" s="226">
        <v>590848</v>
      </c>
      <c r="CW217" s="226">
        <v>658242</v>
      </c>
      <c r="CX217" s="13"/>
      <c r="CY217" s="133" t="s">
        <v>1038</v>
      </c>
      <c r="CZ217" s="226">
        <v>331890</v>
      </c>
      <c r="DA217" s="226">
        <v>382666</v>
      </c>
      <c r="DB217" s="226">
        <v>461600</v>
      </c>
      <c r="DC217" s="226">
        <v>590848</v>
      </c>
      <c r="DD217" s="226">
        <v>658242</v>
      </c>
    </row>
    <row r="218" spans="1:108" ht="12.95" customHeight="1">
      <c r="A218" s="2" t="s">
        <v>1047</v>
      </c>
      <c r="C218" s="2" t="s">
        <v>1048</v>
      </c>
      <c r="D218" s="19"/>
      <c r="AC218" s="2" t="s">
        <v>1049</v>
      </c>
      <c r="BC218" t="s">
        <v>1050</v>
      </c>
    </row>
    <row r="219" spans="1:108" ht="12.95" customHeight="1">
      <c r="A219" s="2"/>
      <c r="C219" s="2"/>
      <c r="D219" s="3" t="s">
        <v>1051</v>
      </c>
      <c r="AZ219" s="3"/>
      <c r="BA219" s="3"/>
      <c r="BC219" t="s">
        <v>1052</v>
      </c>
    </row>
    <row r="220" spans="1:108" ht="12.95" customHeight="1">
      <c r="A220" s="2"/>
      <c r="C220" s="2"/>
      <c r="D220" s="1377" t="s">
        <v>985</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803</v>
      </c>
      <c r="AD220" s="1690"/>
      <c r="AE220" s="1690"/>
      <c r="AF220" s="1690"/>
      <c r="AG220" s="1690"/>
      <c r="AH220" s="1690"/>
      <c r="AI220" s="1690"/>
      <c r="AJ220" s="1690"/>
      <c r="AK220" s="1690"/>
      <c r="AL220" s="1690"/>
      <c r="AM220" s="1690"/>
      <c r="AN220" s="1690"/>
      <c r="AO220" s="1690"/>
      <c r="AP220" s="1690"/>
      <c r="AQ220" s="1690"/>
      <c r="BA220" s="3"/>
      <c r="BC220" t="s">
        <v>1053</v>
      </c>
    </row>
    <row r="221" spans="1:108" ht="12.95" customHeight="1">
      <c r="A221" s="2"/>
      <c r="B221" s="13"/>
      <c r="C221" s="2"/>
      <c r="BA221" s="3"/>
    </row>
    <row r="222" spans="1:108" ht="12.95" customHeight="1">
      <c r="A222" s="1381" t="s">
        <v>1054</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871</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811</v>
      </c>
      <c r="AJ226" s="1294"/>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2.95"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846</v>
      </c>
      <c r="AJ227" s="1294"/>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2.95"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846</v>
      </c>
      <c r="AJ228" s="1294"/>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2.95"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2.95" customHeight="1">
      <c r="A231" s="2" t="s">
        <v>912</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1062</v>
      </c>
      <c r="E232" s="3"/>
      <c r="F232" s="3"/>
      <c r="G232" s="3"/>
      <c r="H232" s="3"/>
      <c r="I232" s="3"/>
      <c r="J232" s="3"/>
      <c r="K232" s="3"/>
      <c r="M232" s="1471" t="str">
        <f>H16</f>
        <v>Housing Authority of the County of Kern</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1057</v>
      </c>
      <c r="BG232" s="166">
        <f>IF(AND(AND($M$249="nonprofit",$M$257="nonprofit",$M$265="for profit")),2,0)</f>
        <v>0</v>
      </c>
    </row>
    <row r="233" spans="1:59" ht="12.95" customHeight="1">
      <c r="D233" s="3" t="s">
        <v>1063</v>
      </c>
      <c r="E233" s="3"/>
      <c r="F233" s="3"/>
      <c r="G233" s="3"/>
      <c r="H233" s="3"/>
      <c r="I233" s="3"/>
      <c r="J233" s="3"/>
      <c r="K233" s="3"/>
      <c r="M233" s="1377" t="s">
        <v>1064</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1057</v>
      </c>
      <c r="BG233" s="166">
        <f>IF(AND(AND($M$249="nonprofit",$M$257="for profit",$M$265="nonprofit")),2,0)</f>
        <v>0</v>
      </c>
    </row>
    <row r="234" spans="1:59" ht="12.95" customHeight="1">
      <c r="D234" s="3" t="s">
        <v>931</v>
      </c>
      <c r="E234" s="3"/>
      <c r="M234" s="1377" t="s">
        <v>817</v>
      </c>
      <c r="N234" s="1377"/>
      <c r="O234" s="1377"/>
      <c r="P234" s="1377"/>
      <c r="Q234" s="1377"/>
      <c r="R234" s="1377"/>
      <c r="S234" s="1377"/>
      <c r="T234" s="1377"/>
      <c r="V234" s="923" t="s">
        <v>1065</v>
      </c>
      <c r="W234" s="1395" t="s">
        <v>1066</v>
      </c>
      <c r="X234" s="1395"/>
      <c r="Y234" s="3" t="s">
        <v>935</v>
      </c>
      <c r="AC234" s="1377">
        <v>93301</v>
      </c>
      <c r="AD234" s="1377"/>
      <c r="AE234" s="1377"/>
      <c r="AU234" s="3"/>
      <c r="AV234" s="3"/>
      <c r="AW234" s="3"/>
      <c r="AX234" s="3"/>
      <c r="AY234" s="3"/>
      <c r="AZ234" s="3"/>
      <c r="BB234" s="137" t="s">
        <v>1057</v>
      </c>
      <c r="BG234" s="165">
        <f>IF(AND(AND($M$249="for profit",$M$257="nonprofit",$M$265="nonprofit")),2,0)</f>
        <v>0</v>
      </c>
    </row>
    <row r="235" spans="1:59" ht="12.95" customHeight="1">
      <c r="D235" s="3" t="s">
        <v>1067</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2.95" customHeight="1">
      <c r="D236" s="3" t="s">
        <v>1068</v>
      </c>
      <c r="E236" s="3"/>
      <c r="F236" s="3"/>
      <c r="M236" s="1308" t="s">
        <v>1069</v>
      </c>
      <c r="N236" s="1308"/>
      <c r="O236" s="1308"/>
      <c r="P236" s="1308"/>
      <c r="Q236" s="1308"/>
      <c r="R236" s="1308"/>
      <c r="S236" s="3" t="s">
        <v>1070</v>
      </c>
      <c r="T236" s="3"/>
      <c r="U236" s="1395">
        <v>2005</v>
      </c>
      <c r="V236" s="1395"/>
      <c r="W236" s="1395"/>
      <c r="X236" s="3" t="s">
        <v>1071</v>
      </c>
      <c r="Z236" s="1308" t="s">
        <v>1072</v>
      </c>
      <c r="AA236" s="1308"/>
      <c r="AB236" s="1308"/>
      <c r="AC236" s="1308"/>
      <c r="AD236" s="1308"/>
      <c r="AE236" s="1308"/>
      <c r="AU236" s="3"/>
      <c r="AV236" s="3"/>
      <c r="AW236" s="3"/>
      <c r="AX236" s="3"/>
      <c r="AY236" s="3"/>
      <c r="AZ236" s="3"/>
      <c r="BB236" s="136" t="s">
        <v>1073</v>
      </c>
      <c r="BG236" s="166">
        <f>IF(AND(AND($M$249="nonprofit",$M$257="nonprofit",$M$265="(select one)")),1,0)</f>
        <v>1</v>
      </c>
    </row>
    <row r="237" spans="1:59" ht="12.95" customHeight="1">
      <c r="D237" s="3" t="s">
        <v>1074</v>
      </c>
      <c r="E237" s="3"/>
      <c r="F237" s="3"/>
      <c r="M237" s="1725" t="s">
        <v>1075</v>
      </c>
      <c r="N237" s="1725"/>
      <c r="O237" s="1725"/>
      <c r="P237" s="1725"/>
      <c r="Q237" s="1725"/>
      <c r="R237" s="1725"/>
      <c r="S237" s="1725"/>
      <c r="T237" s="1725"/>
      <c r="U237" s="1725"/>
      <c r="V237" s="1725"/>
      <c r="W237" s="1725"/>
      <c r="X237" s="1725"/>
      <c r="Y237" s="1725"/>
      <c r="Z237" s="1725"/>
      <c r="AA237" s="1725"/>
      <c r="AB237" s="1725"/>
      <c r="AC237" s="1725"/>
      <c r="AD237" s="1725"/>
      <c r="AE237" s="1725"/>
      <c r="AF237" s="3"/>
      <c r="AG237" s="3"/>
      <c r="AH237" s="3"/>
      <c r="AI237" s="3"/>
      <c r="AJ237" s="3"/>
      <c r="AK237" s="3"/>
      <c r="AL237" s="3"/>
      <c r="AM237" s="3"/>
      <c r="AN237" s="3"/>
      <c r="AO237" s="3"/>
      <c r="AP237" s="3"/>
      <c r="AQ237" s="3"/>
      <c r="AR237" s="3"/>
      <c r="AS237" s="3"/>
      <c r="AT237" s="3"/>
      <c r="AU237" s="3"/>
      <c r="AV237" s="3"/>
      <c r="AW237" s="3"/>
      <c r="AX237" s="3"/>
      <c r="AY237" s="3"/>
      <c r="BB237" s="136" t="s">
        <v>1073</v>
      </c>
      <c r="BG237" s="166">
        <f>IF(AND(AND($M$249="nonprofit",$M$257="nonprofit",$M$265="nonprofit")),1,0)</f>
        <v>0</v>
      </c>
    </row>
    <row r="238" spans="1:59" ht="12.95" customHeight="1">
      <c r="A238" s="2" t="s">
        <v>991</v>
      </c>
      <c r="C238" s="2" t="s">
        <v>1076</v>
      </c>
      <c r="M238" s="1310" t="s">
        <v>1050</v>
      </c>
      <c r="N238" s="1310"/>
      <c r="O238" s="1310"/>
      <c r="P238" s="1310"/>
      <c r="Q238" s="1310"/>
      <c r="R238" s="1310"/>
      <c r="S238" s="1310"/>
      <c r="T238" s="1310"/>
      <c r="U238" s="136" t="s">
        <v>1077</v>
      </c>
      <c r="V238" s="136"/>
      <c r="W238" s="136"/>
      <c r="X238" s="136"/>
      <c r="Y238" s="136"/>
      <c r="Z238" s="136"/>
      <c r="AA238" s="1716"/>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1073</v>
      </c>
      <c r="BG238" s="166">
        <f>IF(AND(AND($M$249="nonprofit",$M$257="(select one)",$M$265="(select one)")),1,0)</f>
        <v>0</v>
      </c>
    </row>
    <row r="239" spans="1:59" ht="12.95" customHeight="1">
      <c r="D239" t="s">
        <v>1078</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2.95" customHeight="1">
      <c r="D240" s="3"/>
      <c r="BB240" s="136" t="s">
        <v>1079</v>
      </c>
      <c r="BG240" s="166">
        <f>IF(AND(AND($M$249="for profit",$M$257="for profit",$M$265="for profit")),3,0)</f>
        <v>0</v>
      </c>
    </row>
    <row r="241" spans="1:67" ht="12.95" customHeight="1">
      <c r="A241" s="2" t="s">
        <v>1009</v>
      </c>
      <c r="C241" s="2" t="s">
        <v>1080</v>
      </c>
      <c r="D241" s="3"/>
      <c r="L241" s="7"/>
      <c r="M241" s="7"/>
      <c r="N241" s="7"/>
      <c r="AU241" s="3"/>
      <c r="AV241" s="3"/>
      <c r="AW241" s="3"/>
      <c r="AX241" s="3"/>
      <c r="AY241" s="3"/>
      <c r="BB241" s="136" t="s">
        <v>1079</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1081</v>
      </c>
      <c r="D243" s="3" t="s">
        <v>1082</v>
      </c>
      <c r="E243" s="3"/>
      <c r="F243" s="3"/>
      <c r="G243" s="3"/>
      <c r="H243" s="3"/>
      <c r="I243" s="3"/>
      <c r="J243" s="3"/>
      <c r="K243" s="3"/>
      <c r="L243" s="3"/>
      <c r="M243" s="1379" t="s">
        <v>1083</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1084</v>
      </c>
      <c r="AG243" s="1379"/>
      <c r="AH243" s="1379"/>
      <c r="AI243" s="1379"/>
      <c r="AJ243" s="1379"/>
      <c r="AK243" s="1379"/>
      <c r="AU243" s="3"/>
      <c r="AV243" s="3"/>
      <c r="AW243" s="3"/>
      <c r="AX243" s="3"/>
      <c r="AY243" s="3"/>
      <c r="BG243">
        <f>SUM(BG226:BG241)</f>
        <v>1</v>
      </c>
    </row>
    <row r="244" spans="1:67" ht="12.95" customHeight="1">
      <c r="A244" s="1160"/>
      <c r="B244" s="3"/>
      <c r="C244" s="3"/>
      <c r="D244" s="3" t="s">
        <v>1063</v>
      </c>
      <c r="E244" s="3"/>
      <c r="F244" s="3"/>
      <c r="G244" s="3"/>
      <c r="H244" s="3"/>
      <c r="I244" s="3"/>
      <c r="J244" s="3"/>
      <c r="K244" s="3"/>
      <c r="L244" s="3"/>
      <c r="M244" s="1377" t="s">
        <v>1085</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1086</v>
      </c>
      <c r="AL244" s="3"/>
      <c r="AM244" s="3"/>
      <c r="AN244" s="3"/>
      <c r="AO244" s="3"/>
      <c r="AP244" s="3"/>
      <c r="AQ244" s="3"/>
      <c r="AR244" s="3"/>
      <c r="AS244" s="3"/>
      <c r="AT244" s="3"/>
      <c r="BB244" t="s">
        <v>392</v>
      </c>
      <c r="BG244">
        <v>1</v>
      </c>
      <c r="BH244" t="s">
        <v>1087</v>
      </c>
    </row>
    <row r="245" spans="1:67" ht="12.95" customHeight="1">
      <c r="A245" s="1160"/>
      <c r="B245" s="3"/>
      <c r="C245" s="3"/>
      <c r="D245" s="3" t="s">
        <v>931</v>
      </c>
      <c r="E245" s="3"/>
      <c r="M245" s="1377" t="s">
        <v>817</v>
      </c>
      <c r="N245" s="1377"/>
      <c r="O245" s="1377"/>
      <c r="P245" s="1377"/>
      <c r="Q245" s="1377"/>
      <c r="R245" s="1377"/>
      <c r="S245" s="1377"/>
      <c r="T245" s="1377"/>
      <c r="V245" s="923" t="s">
        <v>1065</v>
      </c>
      <c r="W245" s="1395" t="s">
        <v>1066</v>
      </c>
      <c r="X245" s="1395"/>
      <c r="Y245" s="3" t="s">
        <v>935</v>
      </c>
      <c r="AC245" s="1377">
        <v>93301</v>
      </c>
      <c r="AD245" s="1377"/>
      <c r="AE245" s="1377"/>
      <c r="AF245" s="3" t="s">
        <v>1088</v>
      </c>
      <c r="AU245" s="3"/>
      <c r="AV245" s="3"/>
      <c r="AW245" s="3"/>
      <c r="AX245" s="3"/>
      <c r="AY245" s="3"/>
      <c r="BB245" s="3" t="s">
        <v>1089</v>
      </c>
      <c r="BG245">
        <v>2</v>
      </c>
      <c r="BH245" t="s">
        <v>1044</v>
      </c>
      <c r="BO245" s="1161" t="str">
        <f>VLOOKUP(BG243,BG244:BH247,2,FALSE)</f>
        <v>Nonprofit</v>
      </c>
    </row>
    <row r="246" spans="1:67" ht="12.95" customHeight="1">
      <c r="A246" s="1160"/>
      <c r="B246" s="3"/>
      <c r="C246" s="3"/>
      <c r="D246" s="3" t="s">
        <v>1067</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20">
        <v>5.0000000000000001E-4</v>
      </c>
      <c r="AI246" s="1718"/>
      <c r="AJ246" s="1718"/>
      <c r="AK246" s="1718"/>
      <c r="AL246" s="3"/>
      <c r="AM246" s="3"/>
      <c r="AN246" s="3"/>
      <c r="AO246" s="3"/>
      <c r="AP246" s="3"/>
      <c r="AQ246" s="3"/>
      <c r="AR246" s="3"/>
      <c r="AS246" s="3"/>
      <c r="AT246" s="3"/>
      <c r="BB246" s="3" t="s">
        <v>1090</v>
      </c>
      <c r="BG246">
        <v>3</v>
      </c>
      <c r="BH246" t="s">
        <v>1091</v>
      </c>
      <c r="BN246" s="3"/>
    </row>
    <row r="247" spans="1:67" ht="12.95" customHeight="1">
      <c r="A247" s="1160"/>
      <c r="B247" s="3"/>
      <c r="C247" s="3"/>
      <c r="D247" s="3" t="s">
        <v>1068</v>
      </c>
      <c r="E247" s="3"/>
      <c r="F247" s="3"/>
      <c r="M247" s="1308" t="s">
        <v>1069</v>
      </c>
      <c r="N247" s="1308"/>
      <c r="O247" s="1308"/>
      <c r="P247" s="1308"/>
      <c r="Q247" s="1308"/>
      <c r="R247" s="1308"/>
      <c r="S247" s="3" t="s">
        <v>1070</v>
      </c>
      <c r="T247" s="3"/>
      <c r="U247" s="1395">
        <v>2005</v>
      </c>
      <c r="V247" s="1395"/>
      <c r="W247" s="1395"/>
      <c r="X247" s="3" t="s">
        <v>1071</v>
      </c>
      <c r="Z247" s="1308" t="s">
        <v>1072</v>
      </c>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1074</v>
      </c>
      <c r="E248" s="3"/>
      <c r="F248" s="3"/>
      <c r="M248" s="1725" t="s">
        <v>1075</v>
      </c>
      <c r="N248" s="1725"/>
      <c r="O248" s="1725"/>
      <c r="P248" s="1725"/>
      <c r="Q248" s="1725"/>
      <c r="R248" s="1725"/>
      <c r="S248" s="1725"/>
      <c r="T248" s="1725"/>
      <c r="U248" s="1725"/>
      <c r="V248" s="1725"/>
      <c r="W248" s="1725"/>
      <c r="X248" s="1725"/>
      <c r="Y248" s="1725"/>
      <c r="Z248" s="1725"/>
      <c r="AA248" s="1725"/>
      <c r="AB248" s="1725"/>
      <c r="AC248" s="1725"/>
      <c r="AD248" s="1725"/>
      <c r="AE248" s="1725"/>
      <c r="AG248" s="3"/>
      <c r="AH248" s="3"/>
      <c r="AI248" s="3"/>
      <c r="AJ248" s="3"/>
      <c r="AK248" s="3"/>
      <c r="AL248" s="3"/>
      <c r="AM248" s="3"/>
      <c r="AN248" s="3"/>
      <c r="AO248" s="3"/>
      <c r="AP248" s="3"/>
      <c r="AQ248" s="3"/>
      <c r="AR248" s="3"/>
      <c r="AS248" s="3"/>
      <c r="AT248" s="3"/>
      <c r="BN248" s="3"/>
    </row>
    <row r="249" spans="1:67" ht="12.95" customHeight="1">
      <c r="A249" s="12"/>
      <c r="B249" s="3"/>
      <c r="C249" s="48"/>
      <c r="D249" s="3" t="s">
        <v>1092</v>
      </c>
      <c r="E249" s="3"/>
      <c r="F249" s="3"/>
      <c r="G249" s="3"/>
      <c r="H249" s="3"/>
      <c r="I249" s="3"/>
      <c r="J249" s="3"/>
      <c r="K249" s="3"/>
      <c r="L249" s="3"/>
      <c r="M249" s="1310" t="s">
        <v>1087</v>
      </c>
      <c r="N249" s="1310"/>
      <c r="O249" s="1310"/>
      <c r="P249" s="1310"/>
      <c r="Q249" s="1310"/>
      <c r="R249" s="1310"/>
      <c r="S249" s="1310"/>
      <c r="T249" s="1310"/>
      <c r="U249" s="136" t="s">
        <v>1077</v>
      </c>
      <c r="V249" s="136"/>
      <c r="W249" s="136"/>
      <c r="X249" s="136"/>
      <c r="Y249" s="136"/>
      <c r="Z249" s="136"/>
      <c r="AA249" s="1715"/>
      <c r="AB249" s="1716"/>
      <c r="AC249" s="1716"/>
      <c r="AD249" s="1716"/>
      <c r="AE249" s="1716"/>
      <c r="AF249" s="1716"/>
      <c r="AG249" s="1716"/>
      <c r="AH249" s="1716"/>
      <c r="AI249" s="1716"/>
      <c r="AJ249" s="1716"/>
      <c r="AK249" s="1716"/>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1093</v>
      </c>
      <c r="D251" s="3" t="s">
        <v>1094</v>
      </c>
      <c r="E251" s="3"/>
      <c r="F251" s="3"/>
      <c r="G251" s="3"/>
      <c r="H251" s="3"/>
      <c r="I251" s="3"/>
      <c r="J251" s="3"/>
      <c r="K251" s="3"/>
      <c r="L251" s="3"/>
      <c r="M251" s="1379" t="s">
        <v>1095</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1096</v>
      </c>
      <c r="AG251" s="1379"/>
      <c r="AH251" s="1379"/>
      <c r="AI251" s="1379"/>
      <c r="AJ251" s="1379"/>
      <c r="AK251" s="1379"/>
      <c r="AU251" s="3"/>
      <c r="AV251" s="3"/>
      <c r="AW251" s="3"/>
      <c r="AX251" s="3"/>
      <c r="AY251" s="3"/>
      <c r="BN251" s="3"/>
    </row>
    <row r="252" spans="1:67" ht="12.95" customHeight="1">
      <c r="A252" s="1160"/>
      <c r="B252" s="3"/>
      <c r="C252" s="3"/>
      <c r="D252" s="3" t="s">
        <v>1063</v>
      </c>
      <c r="E252" s="3"/>
      <c r="F252" s="3"/>
      <c r="G252" s="3"/>
      <c r="H252" s="3"/>
      <c r="I252" s="3"/>
      <c r="J252" s="3"/>
      <c r="K252" s="3"/>
      <c r="L252" s="3"/>
      <c r="M252" s="1377" t="s">
        <v>1064</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1086</v>
      </c>
      <c r="AL252" s="3"/>
      <c r="AM252" s="3"/>
      <c r="AN252" s="3"/>
      <c r="AO252" s="3"/>
      <c r="AP252" s="3"/>
      <c r="AQ252" s="3"/>
      <c r="AR252" s="3"/>
      <c r="AS252" s="3"/>
      <c r="AT252" s="3"/>
      <c r="BN252" s="3"/>
    </row>
    <row r="253" spans="1:67" ht="12.95" customHeight="1">
      <c r="A253" s="1160"/>
      <c r="B253" s="3"/>
      <c r="C253" s="3"/>
      <c r="D253" s="3" t="s">
        <v>931</v>
      </c>
      <c r="E253" s="3"/>
      <c r="M253" s="1377" t="s">
        <v>817</v>
      </c>
      <c r="N253" s="1377"/>
      <c r="O253" s="1377"/>
      <c r="P253" s="1377"/>
      <c r="Q253" s="1377"/>
      <c r="R253" s="1377"/>
      <c r="S253" s="1377"/>
      <c r="T253" s="1377"/>
      <c r="V253" s="923" t="s">
        <v>1065</v>
      </c>
      <c r="W253" s="1395" t="s">
        <v>1066</v>
      </c>
      <c r="X253" s="1395"/>
      <c r="Y253" s="3" t="s">
        <v>935</v>
      </c>
      <c r="AC253" s="1377">
        <v>93301</v>
      </c>
      <c r="AD253" s="1377"/>
      <c r="AE253" s="1377"/>
      <c r="AF253" s="3" t="s">
        <v>1088</v>
      </c>
      <c r="AU253" s="3"/>
      <c r="AV253" s="3"/>
      <c r="AW253" s="3"/>
      <c r="AX253" s="3"/>
      <c r="AY253" s="3"/>
      <c r="BN253" s="3"/>
    </row>
    <row r="254" spans="1:67" ht="12.95" customHeight="1">
      <c r="A254" s="1160"/>
      <c r="B254" s="3"/>
      <c r="C254" s="3"/>
      <c r="D254" s="3" t="s">
        <v>1067</v>
      </c>
      <c r="E254" s="3"/>
      <c r="F254" s="3"/>
      <c r="G254" s="3"/>
      <c r="H254" s="3"/>
      <c r="I254" s="3"/>
      <c r="J254" s="3"/>
      <c r="K254" s="3"/>
      <c r="L254" s="1160"/>
      <c r="M254" s="1377" t="s">
        <v>790</v>
      </c>
      <c r="N254" s="1377"/>
      <c r="O254" s="1377"/>
      <c r="P254" s="1377"/>
      <c r="Q254" s="1377"/>
      <c r="R254" s="1377"/>
      <c r="S254" s="1377"/>
      <c r="T254" s="1377"/>
      <c r="U254" s="1377"/>
      <c r="V254" s="1377"/>
      <c r="W254" s="1377"/>
      <c r="X254" s="1377"/>
      <c r="Y254" s="1377"/>
      <c r="Z254" s="1377"/>
      <c r="AA254" s="1377"/>
      <c r="AB254" s="1377"/>
      <c r="AC254" s="1377"/>
      <c r="AD254" s="1377"/>
      <c r="AE254" s="1377"/>
      <c r="AH254" s="1720">
        <v>5.0000000000000001E-4</v>
      </c>
      <c r="AI254" s="1718"/>
      <c r="AJ254" s="1718"/>
      <c r="AK254" s="1718"/>
      <c r="AL254" s="3"/>
      <c r="AM254" s="3"/>
      <c r="AN254" s="3"/>
      <c r="AO254" s="3"/>
      <c r="AP254" s="3"/>
      <c r="AQ254" s="3"/>
      <c r="AR254" s="3"/>
      <c r="AS254" s="3"/>
      <c r="AT254" s="3"/>
    </row>
    <row r="255" spans="1:67" ht="12.95" customHeight="1">
      <c r="A255" s="1160"/>
      <c r="B255" s="3"/>
      <c r="C255" s="3"/>
      <c r="D255" s="3" t="s">
        <v>1068</v>
      </c>
      <c r="E255" s="3"/>
      <c r="F255" s="3"/>
      <c r="M255" s="1308" t="s">
        <v>1069</v>
      </c>
      <c r="N255" s="1308"/>
      <c r="O255" s="1308"/>
      <c r="P255" s="1308"/>
      <c r="Q255" s="1308"/>
      <c r="R255" s="1308"/>
      <c r="S255" s="3" t="s">
        <v>1070</v>
      </c>
      <c r="T255" s="3"/>
      <c r="U255" s="1395">
        <v>2005</v>
      </c>
      <c r="V255" s="1395"/>
      <c r="W255" s="1395"/>
      <c r="X255" s="3" t="s">
        <v>1071</v>
      </c>
      <c r="Z255" s="1308" t="s">
        <v>1072</v>
      </c>
      <c r="AA255" s="1308"/>
      <c r="AB255" s="1308"/>
      <c r="AC255" s="1308"/>
      <c r="AD255" s="1308"/>
      <c r="AE255" s="1308"/>
      <c r="AU255" s="3"/>
      <c r="AV255" s="3"/>
      <c r="AW255" s="3"/>
      <c r="AX255" s="3"/>
      <c r="AY255" s="3"/>
      <c r="BN255" s="3"/>
    </row>
    <row r="256" spans="1:67" ht="12.95" customHeight="1">
      <c r="A256" s="1160"/>
      <c r="B256" s="3"/>
      <c r="C256" s="3"/>
      <c r="D256" s="3" t="s">
        <v>1074</v>
      </c>
      <c r="E256" s="3"/>
      <c r="F256" s="3"/>
      <c r="M256" s="1725" t="s">
        <v>1075</v>
      </c>
      <c r="N256" s="1725"/>
      <c r="O256" s="1725"/>
      <c r="P256" s="1725"/>
      <c r="Q256" s="1725"/>
      <c r="R256" s="1725"/>
      <c r="S256" s="1725"/>
      <c r="T256" s="1725"/>
      <c r="U256" s="1725"/>
      <c r="V256" s="1725"/>
      <c r="W256" s="1725"/>
      <c r="X256" s="1725"/>
      <c r="Y256" s="1725"/>
      <c r="Z256" s="1725"/>
      <c r="AA256" s="1725"/>
      <c r="AB256" s="1725"/>
      <c r="AC256" s="1725"/>
      <c r="AD256" s="1725"/>
      <c r="AE256" s="1725"/>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1092</v>
      </c>
      <c r="E257" s="3"/>
      <c r="F257" s="3"/>
      <c r="G257" s="3"/>
      <c r="H257" s="3"/>
      <c r="I257" s="3"/>
      <c r="J257" s="3"/>
      <c r="K257" s="3"/>
      <c r="L257" s="3"/>
      <c r="M257" s="1310" t="s">
        <v>1087</v>
      </c>
      <c r="N257" s="1310"/>
      <c r="O257" s="1310"/>
      <c r="P257" s="1310"/>
      <c r="Q257" s="1310"/>
      <c r="R257" s="1310"/>
      <c r="S257" s="1310"/>
      <c r="T257" s="1310"/>
      <c r="U257" s="136" t="s">
        <v>1077</v>
      </c>
      <c r="V257" s="136"/>
      <c r="W257" s="136"/>
      <c r="X257" s="136"/>
      <c r="Y257" s="136"/>
      <c r="Z257" s="136"/>
      <c r="AA257" s="1715"/>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1097</v>
      </c>
      <c r="D259" s="3" t="s">
        <v>1082</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392</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1063</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1086</v>
      </c>
      <c r="AL260" s="3"/>
      <c r="AM260" s="3"/>
      <c r="AN260" s="3"/>
      <c r="AO260" s="3"/>
      <c r="AP260" s="3"/>
      <c r="AQ260" s="3"/>
      <c r="AR260" s="3"/>
      <c r="AS260" s="3"/>
      <c r="AT260" s="3"/>
      <c r="AU260" s="3"/>
      <c r="AV260" s="3"/>
      <c r="AW260" s="3"/>
      <c r="AX260" s="3"/>
      <c r="AY260" s="3"/>
    </row>
    <row r="261" spans="1:51" ht="12.95" customHeight="1">
      <c r="A261" s="12"/>
      <c r="B261" s="3"/>
      <c r="C261" s="3"/>
      <c r="D261" s="3" t="s">
        <v>931</v>
      </c>
      <c r="E261" s="3"/>
      <c r="M261" s="1377"/>
      <c r="N261" s="1377"/>
      <c r="O261" s="1377"/>
      <c r="P261" s="1377"/>
      <c r="Q261" s="1377"/>
      <c r="R261" s="1377"/>
      <c r="S261" s="1377"/>
      <c r="T261" s="1377"/>
      <c r="V261" s="923" t="s">
        <v>1065</v>
      </c>
      <c r="W261" s="1395"/>
      <c r="X261" s="1395"/>
      <c r="Y261" s="3" t="s">
        <v>935</v>
      </c>
      <c r="AC261" s="1377"/>
      <c r="AD261" s="1377"/>
      <c r="AE261" s="1377"/>
      <c r="AF261" s="3" t="s">
        <v>1088</v>
      </c>
      <c r="AL261" s="3"/>
      <c r="AM261" s="3"/>
      <c r="AN261" s="3"/>
      <c r="AO261" s="3"/>
      <c r="AP261" s="3"/>
      <c r="AQ261" s="3"/>
      <c r="AR261" s="3"/>
      <c r="AS261" s="3"/>
      <c r="AT261" s="3"/>
      <c r="AU261" s="3"/>
      <c r="AV261" s="3"/>
      <c r="AW261" s="3"/>
      <c r="AX261" s="3"/>
      <c r="AY261" s="3"/>
    </row>
    <row r="262" spans="1:51" ht="12.95" customHeight="1">
      <c r="A262" s="12"/>
      <c r="B262" s="3"/>
      <c r="C262" s="3"/>
      <c r="D262" s="3" t="s">
        <v>1067</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8"/>
      <c r="AI262" s="1718"/>
      <c r="AJ262" s="1718"/>
      <c r="AK262" s="1718"/>
      <c r="AL262" s="3"/>
      <c r="AM262" s="3"/>
      <c r="AN262" s="3"/>
      <c r="AO262" s="3"/>
      <c r="AP262" s="3"/>
      <c r="AQ262" s="3"/>
      <c r="AR262" s="3"/>
      <c r="AS262" s="3"/>
      <c r="AT262" s="3"/>
      <c r="AU262" s="3"/>
      <c r="AV262" s="3"/>
      <c r="AW262" s="3"/>
      <c r="AX262" s="3"/>
      <c r="AY262" s="3"/>
    </row>
    <row r="263" spans="1:51" ht="12.95" customHeight="1">
      <c r="A263" s="12"/>
      <c r="B263" s="3"/>
      <c r="C263" s="3"/>
      <c r="D263" s="3" t="s">
        <v>1068</v>
      </c>
      <c r="E263" s="3"/>
      <c r="F263" s="3"/>
      <c r="M263" s="1308"/>
      <c r="N263" s="1308"/>
      <c r="O263" s="1308"/>
      <c r="P263" s="1308"/>
      <c r="Q263" s="1308"/>
      <c r="R263" s="1308"/>
      <c r="S263" s="3" t="s">
        <v>1070</v>
      </c>
      <c r="T263" s="3"/>
      <c r="U263" s="1395"/>
      <c r="V263" s="1395"/>
      <c r="W263" s="1395"/>
      <c r="X263" s="3" t="s">
        <v>1071</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1074</v>
      </c>
      <c r="E264" s="3"/>
      <c r="F264" s="3"/>
      <c r="M264" s="1725"/>
      <c r="N264" s="1725"/>
      <c r="O264" s="1725"/>
      <c r="P264" s="1725"/>
      <c r="Q264" s="1725"/>
      <c r="R264" s="1725"/>
      <c r="S264" s="1725"/>
      <c r="T264" s="1725"/>
      <c r="U264" s="1725"/>
      <c r="V264" s="1725"/>
      <c r="W264" s="1725"/>
      <c r="X264" s="1725"/>
      <c r="Y264" s="1725"/>
      <c r="Z264" s="1725"/>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1092</v>
      </c>
      <c r="E265" s="3"/>
      <c r="F265" s="3"/>
      <c r="G265" s="3"/>
      <c r="H265" s="3"/>
      <c r="I265" s="3"/>
      <c r="J265" s="3"/>
      <c r="K265" s="3"/>
      <c r="L265" s="3"/>
      <c r="M265" s="1310" t="s">
        <v>392</v>
      </c>
      <c r="N265" s="1310"/>
      <c r="O265" s="1310"/>
      <c r="P265" s="1310"/>
      <c r="Q265" s="1310"/>
      <c r="R265" s="1310"/>
      <c r="S265" s="1310"/>
      <c r="T265" s="1310"/>
      <c r="U265" s="136" t="s">
        <v>1077</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1020</v>
      </c>
      <c r="B267" s="3"/>
      <c r="C267" s="2" t="s">
        <v>1098</v>
      </c>
      <c r="D267" s="3"/>
      <c r="E267" s="3"/>
      <c r="F267" s="3"/>
      <c r="G267" s="3"/>
      <c r="H267" s="3"/>
      <c r="I267" s="3"/>
      <c r="J267" s="3"/>
      <c r="K267" s="3"/>
      <c r="L267" s="3"/>
      <c r="M267" s="84"/>
      <c r="N267" s="84"/>
      <c r="O267" s="84"/>
      <c r="P267" s="84"/>
      <c r="Q267" s="84"/>
      <c r="T267" s="1719" t="str">
        <f>IFERROR(BO245,"")</f>
        <v>Nonprofit</v>
      </c>
      <c r="U267" s="1719"/>
      <c r="V267" s="1719"/>
      <c r="W267" s="1719"/>
      <c r="X267" s="1719"/>
      <c r="Z267" s="214" t="s">
        <v>1099</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1100</v>
      </c>
      <c r="AF268" s="3"/>
      <c r="AG268" s="3"/>
      <c r="AH268" s="3"/>
      <c r="AI268" s="3"/>
      <c r="AJ268" s="3"/>
      <c r="AL268" s="56"/>
    </row>
    <row r="269" spans="1:51" ht="12.95"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1101</v>
      </c>
      <c r="AA269" s="40"/>
      <c r="AB269" s="40"/>
      <c r="AC269" s="40"/>
      <c r="AD269" s="40"/>
      <c r="AE269" s="40"/>
      <c r="AF269" s="792"/>
      <c r="AG269" s="792"/>
      <c r="AH269" s="792"/>
      <c r="AI269" s="792"/>
      <c r="AJ269" s="792"/>
      <c r="AK269" s="40"/>
      <c r="AL269" s="41"/>
    </row>
    <row r="270" spans="1:51" ht="12.95" customHeight="1">
      <c r="A270" s="3"/>
      <c r="B270" s="28">
        <v>0</v>
      </c>
      <c r="D270" s="1377" t="s">
        <v>1090</v>
      </c>
      <c r="E270" s="1377"/>
      <c r="F270" s="1377"/>
      <c r="G270" s="1377"/>
      <c r="H270" s="1377"/>
      <c r="J270" t="s">
        <v>1102</v>
      </c>
      <c r="X270" s="1635">
        <v>46023</v>
      </c>
      <c r="Y270" s="1635"/>
      <c r="Z270" s="1635"/>
      <c r="AA270" s="1635"/>
      <c r="AB270" s="1635"/>
      <c r="AC270" s="1635"/>
      <c r="AU270" s="3"/>
      <c r="AV270" s="3"/>
      <c r="AW270" s="3"/>
      <c r="AX270" s="3"/>
      <c r="AY270" s="3"/>
    </row>
    <row r="271" spans="1:51" ht="12.95" customHeight="1">
      <c r="A271" s="3"/>
      <c r="B271" s="1160"/>
      <c r="D271" s="29" t="s">
        <v>1103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1104</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1105</v>
      </c>
      <c r="E274" s="3"/>
      <c r="F274" s="3"/>
      <c r="G274" s="3"/>
      <c r="H274" s="3"/>
      <c r="I274" s="3"/>
      <c r="J274" s="3"/>
      <c r="K274" s="3"/>
      <c r="L274" s="1379" t="s">
        <v>790</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1063</v>
      </c>
      <c r="E275" s="3"/>
      <c r="F275" s="3"/>
      <c r="G275" s="3"/>
      <c r="H275" s="3"/>
      <c r="I275" s="3"/>
      <c r="J275" s="3"/>
      <c r="K275" s="3"/>
      <c r="L275" s="1377" t="s">
        <v>1064</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2.95" customHeight="1">
      <c r="D276" s="3" t="s">
        <v>931</v>
      </c>
      <c r="E276" s="3"/>
      <c r="L276" s="1377" t="s">
        <v>817</v>
      </c>
      <c r="M276" s="1377"/>
      <c r="N276" s="1377"/>
      <c r="O276" s="1377"/>
      <c r="P276" s="1377"/>
      <c r="Q276" s="1377"/>
      <c r="R276" s="1377"/>
      <c r="S276" s="1377"/>
      <c r="U276" s="923" t="s">
        <v>1065</v>
      </c>
      <c r="V276" s="1395" t="s">
        <v>1066</v>
      </c>
      <c r="W276" s="1395"/>
      <c r="X276" s="3" t="s">
        <v>935</v>
      </c>
      <c r="AB276" s="1377">
        <v>93301</v>
      </c>
      <c r="AC276" s="1377"/>
      <c r="AD276" s="1377"/>
      <c r="AK276" s="3"/>
      <c r="AL276" s="3"/>
      <c r="AM276" s="3"/>
      <c r="AN276" s="3"/>
      <c r="AO276" s="3"/>
      <c r="AP276" s="3"/>
      <c r="AQ276" s="3"/>
      <c r="AR276" s="3"/>
      <c r="AS276" s="3"/>
      <c r="AT276" s="3"/>
      <c r="AU276" s="3"/>
      <c r="AV276" s="3"/>
      <c r="AW276" s="3"/>
      <c r="AX276" s="3"/>
      <c r="AY276" s="3"/>
    </row>
    <row r="277" spans="1:51" ht="12.95" customHeight="1">
      <c r="D277" s="3" t="s">
        <v>1067</v>
      </c>
      <c r="E277" s="3"/>
      <c r="F277" s="3"/>
      <c r="G277" s="3"/>
      <c r="H277" s="3"/>
      <c r="I277" s="3"/>
      <c r="J277" s="3"/>
      <c r="K277" s="1160"/>
      <c r="L277" s="1377" t="s">
        <v>790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2.95" customHeight="1">
      <c r="D278" s="3" t="s">
        <v>1068</v>
      </c>
      <c r="E278" s="3"/>
      <c r="F278" s="3"/>
      <c r="L278" s="1308" t="s">
        <v>1069</v>
      </c>
      <c r="M278" s="1308"/>
      <c r="N278" s="1308"/>
      <c r="O278" s="1308"/>
      <c r="P278" s="1308"/>
      <c r="Q278" s="1308"/>
      <c r="R278" s="3" t="s">
        <v>1070</v>
      </c>
      <c r="S278" s="3"/>
      <c r="T278" s="1395">
        <v>2005</v>
      </c>
      <c r="U278" s="1395"/>
      <c r="V278" s="1395"/>
      <c r="W278" s="3" t="s">
        <v>1071</v>
      </c>
      <c r="Y278" s="1308" t="s">
        <v>1072</v>
      </c>
      <c r="Z278" s="1308"/>
      <c r="AA278" s="1308"/>
      <c r="AB278" s="1308"/>
      <c r="AC278" s="1308"/>
      <c r="AD278" s="1308"/>
    </row>
    <row r="279" spans="1:51" ht="12.95" customHeight="1">
      <c r="D279" s="3" t="s">
        <v>1074</v>
      </c>
      <c r="E279" s="3"/>
      <c r="F279" s="3"/>
      <c r="L279" s="1725" t="s">
        <v>1075</v>
      </c>
      <c r="M279" s="1725"/>
      <c r="N279" s="1725"/>
      <c r="O279" s="1725"/>
      <c r="P279" s="1725"/>
      <c r="Q279" s="1725"/>
      <c r="R279" s="1725"/>
      <c r="S279" s="1725"/>
      <c r="T279" s="1725"/>
      <c r="U279" s="1725"/>
      <c r="V279" s="1725"/>
      <c r="W279" s="1725"/>
      <c r="X279" s="1725"/>
      <c r="Y279" s="1725"/>
      <c r="Z279" s="1725"/>
      <c r="AA279" s="1725"/>
      <c r="AB279" s="1725"/>
      <c r="AC279" s="1725"/>
      <c r="AD279" s="1725"/>
      <c r="AF279" s="3"/>
      <c r="AG279" s="3"/>
      <c r="AH279" s="3"/>
      <c r="AI279" s="3"/>
      <c r="AJ279" s="3"/>
      <c r="AU279" s="3"/>
      <c r="AV279" s="3"/>
      <c r="AW279" s="3"/>
      <c r="AX279" s="3"/>
      <c r="AY279" s="3"/>
    </row>
    <row r="280" spans="1:51" ht="12.95" customHeight="1">
      <c r="D280" s="3" t="s">
        <v>1106</v>
      </c>
      <c r="E280" s="3"/>
      <c r="F280" s="3"/>
      <c r="G280" s="3"/>
      <c r="H280" s="3"/>
      <c r="I280" s="3"/>
      <c r="L280" s="1395" t="s">
        <v>1107</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1108</v>
      </c>
      <c r="AU281" s="70"/>
      <c r="AV281" s="70"/>
      <c r="AW281" s="70"/>
      <c r="AX281" s="70"/>
      <c r="AY281" s="70"/>
    </row>
    <row r="282" spans="1:51" ht="12.95" customHeight="1">
      <c r="A282" s="1381" t="s">
        <v>1109</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871</v>
      </c>
      <c r="C285" s="2" t="s">
        <v>1110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1111</v>
      </c>
      <c r="C287" s="3"/>
      <c r="D287" s="3"/>
      <c r="E287" s="3"/>
      <c r="F287" s="3"/>
      <c r="H287" s="1333" t="s">
        <v>667</v>
      </c>
      <c r="I287" s="1333"/>
      <c r="J287" s="1333"/>
      <c r="K287" s="1333"/>
      <c r="L287" s="1333"/>
      <c r="M287" s="1333"/>
      <c r="N287" s="1333"/>
      <c r="O287" s="1333"/>
      <c r="P287" s="1333"/>
      <c r="Q287" s="1333"/>
      <c r="R287" s="1333"/>
      <c r="T287" s="3" t="s">
        <v>1112</v>
      </c>
      <c r="V287" s="3"/>
      <c r="W287" s="3"/>
      <c r="X287" s="3"/>
      <c r="Y287" s="3"/>
      <c r="AA287" s="1333" t="s">
        <v>1113</v>
      </c>
      <c r="AB287" s="1333"/>
      <c r="AC287" s="1333"/>
      <c r="AD287" s="1333"/>
      <c r="AE287" s="1333"/>
      <c r="AF287" s="1333"/>
      <c r="AG287" s="1333"/>
      <c r="AH287" s="1333"/>
      <c r="AI287" s="1333"/>
      <c r="AJ287" s="1333"/>
      <c r="AK287" s="1333"/>
    </row>
    <row r="288" spans="1:51" ht="12.95" customHeight="1">
      <c r="B288" s="3" t="s">
        <v>1114</v>
      </c>
      <c r="C288" s="3"/>
      <c r="D288" s="3"/>
      <c r="E288" s="3"/>
      <c r="F288" s="3"/>
      <c r="H288" s="1310" t="s">
        <v>1064</v>
      </c>
      <c r="I288" s="1310"/>
      <c r="J288" s="1310"/>
      <c r="K288" s="1310"/>
      <c r="L288" s="1310"/>
      <c r="M288" s="1310"/>
      <c r="N288" s="1310"/>
      <c r="O288" s="1310"/>
      <c r="P288" s="1310"/>
      <c r="Q288" s="1310"/>
      <c r="R288" s="1310"/>
      <c r="T288" s="3" t="s">
        <v>1114</v>
      </c>
      <c r="V288" s="3"/>
      <c r="W288" s="3"/>
      <c r="X288" s="3"/>
      <c r="Y288" s="3"/>
      <c r="AA288" s="1310" t="s">
        <v>1115</v>
      </c>
      <c r="AB288" s="1310"/>
      <c r="AC288" s="1310"/>
      <c r="AD288" s="1310"/>
      <c r="AE288" s="1310"/>
      <c r="AF288" s="1310"/>
      <c r="AG288" s="1310"/>
      <c r="AH288" s="1310"/>
      <c r="AI288" s="1310"/>
      <c r="AJ288" s="1310"/>
      <c r="AK288" s="1310"/>
    </row>
    <row r="289" spans="2:37" ht="12.95" customHeight="1">
      <c r="B289" s="3" t="s">
        <v>1116</v>
      </c>
      <c r="C289" s="3"/>
      <c r="D289" s="3"/>
      <c r="E289" s="3"/>
      <c r="F289" s="3"/>
      <c r="H289" s="1310" t="s">
        <v>1117</v>
      </c>
      <c r="I289" s="1310"/>
      <c r="J289" s="1310"/>
      <c r="K289" s="1310"/>
      <c r="L289" s="1310"/>
      <c r="M289" s="1310"/>
      <c r="N289" s="1310"/>
      <c r="O289" s="1310"/>
      <c r="P289" s="1310"/>
      <c r="Q289" s="1310"/>
      <c r="R289" s="1310"/>
      <c r="T289" s="3" t="s">
        <v>1118</v>
      </c>
      <c r="V289" s="3"/>
      <c r="W289" s="3"/>
      <c r="X289" s="3"/>
      <c r="Y289" s="3"/>
      <c r="AA289" s="1310" t="s">
        <v>1119</v>
      </c>
      <c r="AB289" s="1310"/>
      <c r="AC289" s="1310"/>
      <c r="AD289" s="1310"/>
      <c r="AE289" s="1310"/>
      <c r="AF289" s="1310"/>
      <c r="AG289" s="1310"/>
      <c r="AH289" s="1310"/>
      <c r="AI289" s="1310"/>
      <c r="AJ289" s="1310"/>
      <c r="AK289" s="1310"/>
    </row>
    <row r="290" spans="2:37" ht="12.95" customHeight="1">
      <c r="B290" s="3" t="s">
        <v>1067</v>
      </c>
      <c r="C290" s="3"/>
      <c r="D290" s="3"/>
      <c r="E290" s="3"/>
      <c r="F290" s="3"/>
      <c r="H290" s="1310" t="s">
        <v>790</v>
      </c>
      <c r="I290" s="1310"/>
      <c r="J290" s="1310"/>
      <c r="K290" s="1310"/>
      <c r="L290" s="1310"/>
      <c r="M290" s="1310"/>
      <c r="N290" s="1310"/>
      <c r="O290" s="1310"/>
      <c r="P290" s="1310"/>
      <c r="Q290" s="1310"/>
      <c r="R290" s="1310"/>
      <c r="T290" s="3" t="s">
        <v>1067</v>
      </c>
      <c r="V290" s="3"/>
      <c r="W290" s="3"/>
      <c r="X290" s="3"/>
      <c r="Y290" s="3"/>
      <c r="AA290" s="1310" t="s">
        <v>1120</v>
      </c>
      <c r="AB290" s="1310"/>
      <c r="AC290" s="1310"/>
      <c r="AD290" s="1310"/>
      <c r="AE290" s="1310"/>
      <c r="AF290" s="1310"/>
      <c r="AG290" s="1310"/>
      <c r="AH290" s="1310"/>
      <c r="AI290" s="1310"/>
      <c r="AJ290" s="1310"/>
      <c r="AK290" s="1310"/>
    </row>
    <row r="291" spans="2:37" ht="12.95" customHeight="1">
      <c r="B291" s="3" t="s">
        <v>1068</v>
      </c>
      <c r="C291" s="3"/>
      <c r="D291" s="3"/>
      <c r="E291" s="3"/>
      <c r="F291" s="3"/>
      <c r="G291" s="3"/>
      <c r="H291" s="1382" t="s">
        <v>1069</v>
      </c>
      <c r="I291" s="1382"/>
      <c r="J291" s="1382"/>
      <c r="K291" s="1382"/>
      <c r="L291" s="1382"/>
      <c r="M291" s="1382"/>
      <c r="N291" s="3" t="s">
        <v>1070</v>
      </c>
      <c r="O291" s="3"/>
      <c r="P291" s="1377">
        <v>2005</v>
      </c>
      <c r="Q291" s="1377"/>
      <c r="R291" s="1377"/>
      <c r="S291" s="3"/>
      <c r="T291" s="3" t="s">
        <v>1068</v>
      </c>
      <c r="V291" s="3"/>
      <c r="W291" s="3"/>
      <c r="X291" s="3"/>
      <c r="Y291" s="3"/>
      <c r="AA291" s="1382" t="s">
        <v>1121</v>
      </c>
      <c r="AB291" s="1382"/>
      <c r="AC291" s="1382"/>
      <c r="AD291" s="1382"/>
      <c r="AE291" s="1382"/>
      <c r="AF291" s="1382"/>
      <c r="AG291" s="3" t="s">
        <v>1070</v>
      </c>
      <c r="AH291" s="3"/>
      <c r="AI291" s="1377"/>
      <c r="AJ291" s="1377"/>
      <c r="AK291" s="1377"/>
    </row>
    <row r="292" spans="2:37" ht="12.95" customHeight="1">
      <c r="B292" s="3" t="s">
        <v>1071</v>
      </c>
      <c r="C292" s="3"/>
      <c r="D292" s="3"/>
      <c r="E292" s="3"/>
      <c r="F292" s="3"/>
      <c r="G292" s="3"/>
      <c r="H292" s="1308" t="s">
        <v>1072</v>
      </c>
      <c r="I292" s="1308"/>
      <c r="J292" s="1308"/>
      <c r="K292" s="1308"/>
      <c r="L292" s="1308"/>
      <c r="M292" s="1308"/>
      <c r="N292" s="3"/>
      <c r="O292" s="3"/>
      <c r="P292" s="84"/>
      <c r="Q292" s="84"/>
      <c r="R292" s="84"/>
      <c r="S292" s="3"/>
      <c r="T292" s="3" t="s">
        <v>1071</v>
      </c>
      <c r="V292" s="3"/>
      <c r="W292" s="3"/>
      <c r="X292" s="3"/>
      <c r="Y292" s="3"/>
      <c r="AA292" s="1308"/>
      <c r="AB292" s="1308"/>
      <c r="AC292" s="1308"/>
      <c r="AD292" s="1308"/>
      <c r="AE292" s="1308"/>
      <c r="AF292" s="1308"/>
      <c r="AG292" s="3"/>
      <c r="AH292" s="3"/>
      <c r="AI292" s="84"/>
      <c r="AJ292" s="84"/>
      <c r="AK292" s="84"/>
    </row>
    <row r="293" spans="2:37" ht="12.95" customHeight="1">
      <c r="B293" s="3" t="s">
        <v>1122</v>
      </c>
      <c r="C293" s="3"/>
      <c r="D293" s="3"/>
      <c r="E293" s="3"/>
      <c r="F293" s="3"/>
      <c r="G293" s="3"/>
      <c r="H293" s="1310" t="s">
        <v>1075</v>
      </c>
      <c r="I293" s="1310"/>
      <c r="J293" s="1310"/>
      <c r="K293" s="1310"/>
      <c r="L293" s="1310"/>
      <c r="M293" s="1310"/>
      <c r="N293" s="1333"/>
      <c r="O293" s="1333"/>
      <c r="P293" s="1333"/>
      <c r="Q293" s="1333"/>
      <c r="R293" s="1333"/>
      <c r="S293" s="3"/>
      <c r="T293" s="3" t="s">
        <v>1122</v>
      </c>
      <c r="V293" s="3"/>
      <c r="W293" s="3"/>
      <c r="X293" s="3"/>
      <c r="Y293" s="3"/>
      <c r="AA293" s="1310" t="s">
        <v>1123</v>
      </c>
      <c r="AB293" s="1310"/>
      <c r="AC293" s="1310"/>
      <c r="AD293" s="1310"/>
      <c r="AE293" s="1310"/>
      <c r="AF293" s="1310"/>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1124</v>
      </c>
      <c r="C295" s="3"/>
      <c r="D295" s="3"/>
      <c r="E295" s="3"/>
      <c r="F295" s="3"/>
      <c r="H295" s="1333" t="s">
        <v>1125</v>
      </c>
      <c r="I295" s="1333"/>
      <c r="J295" s="1333"/>
      <c r="K295" s="1333"/>
      <c r="L295" s="1333"/>
      <c r="M295" s="1333"/>
      <c r="N295" s="1333"/>
      <c r="O295" s="1333"/>
      <c r="P295" s="1333"/>
      <c r="Q295" s="1333"/>
      <c r="R295" s="1333"/>
      <c r="T295" s="3" t="s">
        <v>1126</v>
      </c>
      <c r="V295" s="3"/>
      <c r="W295" s="3"/>
      <c r="X295" s="3"/>
      <c r="Y295" s="3"/>
      <c r="AA295" s="1333" t="s">
        <v>1127</v>
      </c>
      <c r="AB295" s="1333"/>
      <c r="AC295" s="1333"/>
      <c r="AD295" s="1333"/>
      <c r="AE295" s="1333"/>
      <c r="AF295" s="1333"/>
      <c r="AG295" s="1333"/>
      <c r="AH295" s="1333"/>
      <c r="AI295" s="1333"/>
      <c r="AJ295" s="1333"/>
      <c r="AK295" s="1333"/>
    </row>
    <row r="296" spans="2:37" ht="12.95" customHeight="1">
      <c r="B296" s="3" t="s">
        <v>1114</v>
      </c>
      <c r="C296" s="3"/>
      <c r="D296" s="3"/>
      <c r="E296" s="3"/>
      <c r="F296" s="3"/>
      <c r="H296" s="1310" t="s">
        <v>1128</v>
      </c>
      <c r="I296" s="1310"/>
      <c r="J296" s="1310"/>
      <c r="K296" s="1310"/>
      <c r="L296" s="1310"/>
      <c r="M296" s="1310"/>
      <c r="N296" s="1310"/>
      <c r="O296" s="1310"/>
      <c r="P296" s="1310"/>
      <c r="Q296" s="1310"/>
      <c r="R296" s="1310"/>
      <c r="T296" s="3" t="s">
        <v>1114</v>
      </c>
      <c r="V296" s="3"/>
      <c r="W296" s="3"/>
      <c r="X296" s="3"/>
      <c r="Y296" s="3"/>
      <c r="AA296" s="1310" t="s">
        <v>1129</v>
      </c>
      <c r="AB296" s="1310"/>
      <c r="AC296" s="1310"/>
      <c r="AD296" s="1310"/>
      <c r="AE296" s="1310"/>
      <c r="AF296" s="1310"/>
      <c r="AG296" s="1310"/>
      <c r="AH296" s="1310"/>
      <c r="AI296" s="1310"/>
      <c r="AJ296" s="1310"/>
      <c r="AK296" s="1310"/>
    </row>
    <row r="297" spans="2:37" ht="12.95" customHeight="1">
      <c r="B297" s="3" t="s">
        <v>1116</v>
      </c>
      <c r="C297" s="3"/>
      <c r="D297" s="3"/>
      <c r="E297" s="3"/>
      <c r="F297" s="3"/>
      <c r="H297" s="1310" t="s">
        <v>1130</v>
      </c>
      <c r="I297" s="1310"/>
      <c r="J297" s="1310"/>
      <c r="K297" s="1310"/>
      <c r="L297" s="1310"/>
      <c r="M297" s="1310"/>
      <c r="N297" s="1310"/>
      <c r="O297" s="1310"/>
      <c r="P297" s="1310"/>
      <c r="Q297" s="1310"/>
      <c r="R297" s="1310"/>
      <c r="T297" s="3" t="s">
        <v>1118</v>
      </c>
      <c r="V297" s="3"/>
      <c r="W297" s="3"/>
      <c r="X297" s="3"/>
      <c r="Y297" s="3"/>
      <c r="AA297" s="1310" t="s">
        <v>1131</v>
      </c>
      <c r="AB297" s="1310"/>
      <c r="AC297" s="1310"/>
      <c r="AD297" s="1310"/>
      <c r="AE297" s="1310"/>
      <c r="AF297" s="1310"/>
      <c r="AG297" s="1310"/>
      <c r="AH297" s="1310"/>
      <c r="AI297" s="1310"/>
      <c r="AJ297" s="1310"/>
      <c r="AK297" s="1310"/>
    </row>
    <row r="298" spans="2:37" ht="12.95" customHeight="1">
      <c r="B298" s="3" t="s">
        <v>1067</v>
      </c>
      <c r="C298" s="3"/>
      <c r="D298" s="3"/>
      <c r="E298" s="3"/>
      <c r="F298" s="3"/>
      <c r="H298" s="1310" t="s">
        <v>1132</v>
      </c>
      <c r="I298" s="1310"/>
      <c r="J298" s="1310"/>
      <c r="K298" s="1310"/>
      <c r="L298" s="1310"/>
      <c r="M298" s="1310"/>
      <c r="N298" s="1310"/>
      <c r="O298" s="1310"/>
      <c r="P298" s="1310"/>
      <c r="Q298" s="1310"/>
      <c r="R298" s="1310"/>
      <c r="T298" s="3" t="s">
        <v>1067</v>
      </c>
      <c r="V298" s="3"/>
      <c r="W298" s="3"/>
      <c r="X298" s="3"/>
      <c r="Y298" s="3"/>
      <c r="AA298" s="1310" t="s">
        <v>1133</v>
      </c>
      <c r="AB298" s="1310"/>
      <c r="AC298" s="1310"/>
      <c r="AD298" s="1310"/>
      <c r="AE298" s="1310"/>
      <c r="AF298" s="1310"/>
      <c r="AG298" s="1310"/>
      <c r="AH298" s="1310"/>
      <c r="AI298" s="1310"/>
      <c r="AJ298" s="1310"/>
      <c r="AK298" s="1310"/>
    </row>
    <row r="299" spans="2:37" ht="12.95" customHeight="1">
      <c r="B299" s="3" t="s">
        <v>1068</v>
      </c>
      <c r="C299" s="3"/>
      <c r="D299" s="3"/>
      <c r="E299" s="3"/>
      <c r="F299" s="3"/>
      <c r="G299" s="3"/>
      <c r="H299" s="1382" t="s">
        <v>1134</v>
      </c>
      <c r="I299" s="1382"/>
      <c r="J299" s="1382"/>
      <c r="K299" s="1382"/>
      <c r="L299" s="1382"/>
      <c r="M299" s="1382"/>
      <c r="N299" s="3" t="s">
        <v>1070</v>
      </c>
      <c r="O299" s="3"/>
      <c r="P299" s="1377"/>
      <c r="Q299" s="1377"/>
      <c r="R299" s="1377"/>
      <c r="S299" s="3"/>
      <c r="T299" s="3" t="s">
        <v>1068</v>
      </c>
      <c r="V299" s="3"/>
      <c r="W299" s="3"/>
      <c r="X299" s="3"/>
      <c r="Y299" s="3"/>
      <c r="AA299" s="1382" t="s">
        <v>1135</v>
      </c>
      <c r="AB299" s="1382"/>
      <c r="AC299" s="1382"/>
      <c r="AD299" s="1382"/>
      <c r="AE299" s="1382"/>
      <c r="AF299" s="1382"/>
      <c r="AG299" s="3" t="s">
        <v>1070</v>
      </c>
      <c r="AH299" s="3"/>
      <c r="AI299" s="1377"/>
      <c r="AJ299" s="1377"/>
      <c r="AK299" s="1377"/>
    </row>
    <row r="300" spans="2:37" ht="12.95" customHeight="1">
      <c r="B300" s="3" t="s">
        <v>1071</v>
      </c>
      <c r="C300" s="3"/>
      <c r="D300" s="3"/>
      <c r="E300" s="3"/>
      <c r="F300" s="3"/>
      <c r="G300" s="3"/>
      <c r="H300" s="1308"/>
      <c r="I300" s="1308"/>
      <c r="J300" s="1308"/>
      <c r="K300" s="1308"/>
      <c r="L300" s="1308"/>
      <c r="M300" s="1308"/>
      <c r="N300" s="3"/>
      <c r="O300" s="3"/>
      <c r="P300" s="84"/>
      <c r="Q300" s="84"/>
      <c r="R300" s="84"/>
      <c r="S300" s="3"/>
      <c r="T300" s="3" t="s">
        <v>1071</v>
      </c>
      <c r="V300" s="3"/>
      <c r="W300" s="3"/>
      <c r="X300" s="3"/>
      <c r="Y300" s="3"/>
      <c r="AA300" s="1308" t="s">
        <v>1136</v>
      </c>
      <c r="AB300" s="1308"/>
      <c r="AC300" s="1308"/>
      <c r="AD300" s="1308"/>
      <c r="AE300" s="1308"/>
      <c r="AF300" s="1308"/>
      <c r="AG300" s="3"/>
      <c r="AH300" s="3"/>
      <c r="AI300" s="84"/>
      <c r="AJ300" s="84"/>
      <c r="AK300" s="84"/>
    </row>
    <row r="301" spans="2:37" ht="12.95" customHeight="1">
      <c r="B301" s="3" t="s">
        <v>1122</v>
      </c>
      <c r="C301" s="3"/>
      <c r="D301" s="3"/>
      <c r="E301" s="3"/>
      <c r="F301" s="3"/>
      <c r="G301" s="3"/>
      <c r="H301" s="1310" t="s">
        <v>1137</v>
      </c>
      <c r="I301" s="1310"/>
      <c r="J301" s="1310"/>
      <c r="K301" s="1310"/>
      <c r="L301" s="1310"/>
      <c r="M301" s="1310"/>
      <c r="N301" s="1333"/>
      <c r="O301" s="1333"/>
      <c r="P301" s="1333"/>
      <c r="Q301" s="1333"/>
      <c r="R301" s="1333"/>
      <c r="S301" s="3"/>
      <c r="T301" s="3" t="s">
        <v>1122</v>
      </c>
      <c r="V301" s="3"/>
      <c r="W301" s="3"/>
      <c r="X301" s="3"/>
      <c r="Y301" s="3"/>
      <c r="AA301" s="1310" t="s">
        <v>1138</v>
      </c>
      <c r="AB301" s="1310"/>
      <c r="AC301" s="1310"/>
      <c r="AD301" s="1310"/>
      <c r="AE301" s="1310"/>
      <c r="AF301" s="1310"/>
      <c r="AG301" s="1333"/>
      <c r="AH301" s="1333"/>
      <c r="AI301" s="1333"/>
      <c r="AJ301" s="1333"/>
      <c r="AK301" s="1333"/>
    </row>
    <row r="302" spans="2:37" ht="12.95" customHeight="1"/>
    <row r="303" spans="2:37" ht="12.95" customHeight="1">
      <c r="B303" s="3" t="s">
        <v>1139</v>
      </c>
      <c r="C303" s="3"/>
      <c r="D303" s="3"/>
      <c r="E303" s="3"/>
      <c r="F303" s="3"/>
      <c r="H303" s="1333" t="s">
        <v>1125</v>
      </c>
      <c r="I303" s="1333"/>
      <c r="J303" s="1333"/>
      <c r="K303" s="1333"/>
      <c r="L303" s="1333"/>
      <c r="M303" s="1333"/>
      <c r="N303" s="1333"/>
      <c r="O303" s="1333"/>
      <c r="P303" s="1333"/>
      <c r="Q303" s="1333"/>
      <c r="R303" s="1333"/>
      <c r="T303" s="3" t="s">
        <v>1140</v>
      </c>
      <c r="V303" s="3"/>
      <c r="W303" s="3"/>
      <c r="X303" s="3"/>
      <c r="Y303" s="3"/>
      <c r="AA303" s="1333"/>
      <c r="AB303" s="1333"/>
      <c r="AC303" s="1333"/>
      <c r="AD303" s="1333"/>
      <c r="AE303" s="1333"/>
      <c r="AF303" s="1333"/>
      <c r="AG303" s="1333"/>
      <c r="AH303" s="1333"/>
      <c r="AI303" s="1333"/>
      <c r="AJ303" s="1333"/>
      <c r="AK303" s="1333"/>
    </row>
    <row r="304" spans="2:37" ht="12.95" customHeight="1">
      <c r="B304" s="3" t="s">
        <v>1114</v>
      </c>
      <c r="C304" s="3"/>
      <c r="D304" s="3"/>
      <c r="E304" s="3"/>
      <c r="F304" s="3"/>
      <c r="H304" s="1310" t="s">
        <v>1128</v>
      </c>
      <c r="I304" s="1310"/>
      <c r="J304" s="1310"/>
      <c r="K304" s="1310"/>
      <c r="L304" s="1310"/>
      <c r="M304" s="1310"/>
      <c r="N304" s="1310"/>
      <c r="O304" s="1310"/>
      <c r="P304" s="1310"/>
      <c r="Q304" s="1310"/>
      <c r="R304" s="1310"/>
      <c r="T304" s="3" t="s">
        <v>1114</v>
      </c>
      <c r="V304" s="3"/>
      <c r="W304" s="3"/>
      <c r="X304" s="3"/>
      <c r="Y304" s="3"/>
      <c r="AA304" s="1310"/>
      <c r="AB304" s="1310"/>
      <c r="AC304" s="1310"/>
      <c r="AD304" s="1310"/>
      <c r="AE304" s="1310"/>
      <c r="AF304" s="1310"/>
      <c r="AG304" s="1310"/>
      <c r="AH304" s="1310"/>
      <c r="AI304" s="1310"/>
      <c r="AJ304" s="1310"/>
      <c r="AK304" s="1310"/>
    </row>
    <row r="305" spans="2:37" ht="12.95" customHeight="1">
      <c r="B305" s="3" t="s">
        <v>1116</v>
      </c>
      <c r="C305" s="3"/>
      <c r="D305" s="3"/>
      <c r="E305" s="3"/>
      <c r="F305" s="3"/>
      <c r="H305" s="1310" t="s">
        <v>1130</v>
      </c>
      <c r="I305" s="1310"/>
      <c r="J305" s="1310"/>
      <c r="K305" s="1310"/>
      <c r="L305" s="1310"/>
      <c r="M305" s="1310"/>
      <c r="N305" s="1310"/>
      <c r="O305" s="1310"/>
      <c r="P305" s="1310"/>
      <c r="Q305" s="1310"/>
      <c r="R305" s="1310"/>
      <c r="T305" s="3" t="s">
        <v>1118</v>
      </c>
      <c r="V305" s="3"/>
      <c r="W305" s="3"/>
      <c r="X305" s="3"/>
      <c r="Y305" s="3"/>
      <c r="AA305" s="1310"/>
      <c r="AB305" s="1310"/>
      <c r="AC305" s="1310"/>
      <c r="AD305" s="1310"/>
      <c r="AE305" s="1310"/>
      <c r="AF305" s="1310"/>
      <c r="AG305" s="1310"/>
      <c r="AH305" s="1310"/>
      <c r="AI305" s="1310"/>
      <c r="AJ305" s="1310"/>
      <c r="AK305" s="1310"/>
    </row>
    <row r="306" spans="2:37" ht="12.95" customHeight="1">
      <c r="B306" s="3" t="s">
        <v>1067</v>
      </c>
      <c r="C306" s="3"/>
      <c r="D306" s="3"/>
      <c r="E306" s="3"/>
      <c r="F306" s="3"/>
      <c r="H306" s="1310" t="s">
        <v>1141</v>
      </c>
      <c r="I306" s="1310"/>
      <c r="J306" s="1310"/>
      <c r="K306" s="1310"/>
      <c r="L306" s="1310"/>
      <c r="M306" s="1310"/>
      <c r="N306" s="1310"/>
      <c r="O306" s="1310"/>
      <c r="P306" s="1310"/>
      <c r="Q306" s="1310"/>
      <c r="R306" s="1310"/>
      <c r="T306" s="3" t="s">
        <v>1067</v>
      </c>
      <c r="V306" s="3"/>
      <c r="W306" s="3"/>
      <c r="X306" s="3"/>
      <c r="Y306" s="3"/>
      <c r="AA306" s="1310"/>
      <c r="AB306" s="1310"/>
      <c r="AC306" s="1310"/>
      <c r="AD306" s="1310"/>
      <c r="AE306" s="1310"/>
      <c r="AF306" s="1310"/>
      <c r="AG306" s="1310"/>
      <c r="AH306" s="1310"/>
      <c r="AI306" s="1310"/>
      <c r="AJ306" s="1310"/>
      <c r="AK306" s="1310"/>
    </row>
    <row r="307" spans="2:37" ht="12.95" customHeight="1">
      <c r="B307" s="3" t="s">
        <v>1068</v>
      </c>
      <c r="C307" s="3"/>
      <c r="D307" s="3"/>
      <c r="E307" s="3"/>
      <c r="F307" s="3"/>
      <c r="G307" s="3"/>
      <c r="H307" s="1382" t="s">
        <v>1134</v>
      </c>
      <c r="I307" s="1382"/>
      <c r="J307" s="1382"/>
      <c r="K307" s="1382"/>
      <c r="L307" s="1382"/>
      <c r="M307" s="1382"/>
      <c r="N307" s="3" t="s">
        <v>1070</v>
      </c>
      <c r="O307" s="3"/>
      <c r="P307" s="1377"/>
      <c r="Q307" s="1377"/>
      <c r="R307" s="1377"/>
      <c r="S307" s="3"/>
      <c r="T307" s="3" t="s">
        <v>1068</v>
      </c>
      <c r="V307" s="3"/>
      <c r="W307" s="3"/>
      <c r="X307" s="3"/>
      <c r="Y307" s="3"/>
      <c r="AA307" s="1382"/>
      <c r="AB307" s="1382"/>
      <c r="AC307" s="1382"/>
      <c r="AD307" s="1382"/>
      <c r="AE307" s="1382"/>
      <c r="AF307" s="1382"/>
      <c r="AG307" s="3" t="s">
        <v>1070</v>
      </c>
      <c r="AH307" s="3"/>
      <c r="AI307" s="1377"/>
      <c r="AJ307" s="1377"/>
      <c r="AK307" s="1377"/>
    </row>
    <row r="308" spans="2:37" ht="12.95" customHeight="1">
      <c r="B308" s="3" t="s">
        <v>1071</v>
      </c>
      <c r="C308" s="3"/>
      <c r="D308" s="3"/>
      <c r="E308" s="3"/>
      <c r="F308" s="3"/>
      <c r="G308" s="3"/>
      <c r="H308" s="1308"/>
      <c r="I308" s="1308"/>
      <c r="J308" s="1308"/>
      <c r="K308" s="1308"/>
      <c r="L308" s="1308"/>
      <c r="M308" s="1308"/>
      <c r="N308" s="3"/>
      <c r="O308" s="3"/>
      <c r="P308" s="84"/>
      <c r="Q308" s="84"/>
      <c r="R308" s="84"/>
      <c r="S308" s="3"/>
      <c r="T308" s="3" t="s">
        <v>1071</v>
      </c>
      <c r="V308" s="3"/>
      <c r="W308" s="3"/>
      <c r="X308" s="3"/>
      <c r="Y308" s="3"/>
      <c r="AA308" s="1308"/>
      <c r="AB308" s="1308"/>
      <c r="AC308" s="1308"/>
      <c r="AD308" s="1308"/>
      <c r="AE308" s="1308"/>
      <c r="AF308" s="1308"/>
      <c r="AG308" s="3"/>
      <c r="AH308" s="3"/>
      <c r="AI308" s="84"/>
      <c r="AJ308" s="84"/>
      <c r="AK308" s="84"/>
    </row>
    <row r="309" spans="2:37" ht="12.95" customHeight="1">
      <c r="B309" s="3" t="s">
        <v>1122</v>
      </c>
      <c r="C309" s="3"/>
      <c r="D309" s="3"/>
      <c r="E309" s="3"/>
      <c r="F309" s="3"/>
      <c r="G309" s="3"/>
      <c r="H309" s="1310" t="s">
        <v>1142</v>
      </c>
      <c r="I309" s="1310"/>
      <c r="J309" s="1310"/>
      <c r="K309" s="1310"/>
      <c r="L309" s="1310"/>
      <c r="M309" s="1310"/>
      <c r="N309" s="1333"/>
      <c r="O309" s="1333"/>
      <c r="P309" s="1333"/>
      <c r="Q309" s="1333"/>
      <c r="R309" s="1333"/>
      <c r="S309" s="3"/>
      <c r="T309" s="3" t="s">
        <v>1122</v>
      </c>
      <c r="V309" s="3"/>
      <c r="W309" s="3"/>
      <c r="X309" s="3"/>
      <c r="Y309" s="3"/>
      <c r="AA309" s="1310"/>
      <c r="AB309" s="1310"/>
      <c r="AC309" s="1310"/>
      <c r="AD309" s="1310"/>
      <c r="AE309" s="1310"/>
      <c r="AF309" s="1310"/>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1143</v>
      </c>
      <c r="C311" s="3"/>
      <c r="D311" s="3"/>
      <c r="E311" s="3"/>
      <c r="F311" s="3"/>
      <c r="H311" s="1333" t="s">
        <v>1144</v>
      </c>
      <c r="I311" s="1333"/>
      <c r="J311" s="1333"/>
      <c r="K311" s="1333"/>
      <c r="L311" s="1333"/>
      <c r="M311" s="1333"/>
      <c r="N311" s="1333"/>
      <c r="O311" s="1333"/>
      <c r="P311" s="1333"/>
      <c r="Q311" s="1333"/>
      <c r="R311" s="1333"/>
      <c r="S311" s="3"/>
      <c r="T311" s="3" t="s">
        <v>1145</v>
      </c>
      <c r="V311" s="3"/>
      <c r="W311" s="3"/>
      <c r="X311" s="3"/>
      <c r="Y311" s="3"/>
      <c r="AA311" s="1333" t="s">
        <v>1146</v>
      </c>
      <c r="AB311" s="1333"/>
      <c r="AC311" s="1333"/>
      <c r="AD311" s="1333"/>
      <c r="AE311" s="1333"/>
      <c r="AF311" s="1333"/>
      <c r="AG311" s="1333"/>
      <c r="AH311" s="1333"/>
      <c r="AI311" s="1333"/>
      <c r="AJ311" s="1333"/>
      <c r="AK311" s="1333"/>
    </row>
    <row r="312" spans="2:37" ht="12.95" customHeight="1">
      <c r="B312" s="3" t="s">
        <v>1114</v>
      </c>
      <c r="C312" s="3"/>
      <c r="D312" s="3"/>
      <c r="E312" s="3"/>
      <c r="F312" s="3"/>
      <c r="H312" s="1310" t="s">
        <v>1147</v>
      </c>
      <c r="I312" s="1310"/>
      <c r="J312" s="1310"/>
      <c r="K312" s="1310"/>
      <c r="L312" s="1310"/>
      <c r="M312" s="1310"/>
      <c r="N312" s="1310"/>
      <c r="O312" s="1310"/>
      <c r="P312" s="1310"/>
      <c r="Q312" s="1310"/>
      <c r="R312" s="1310"/>
      <c r="S312" s="3"/>
      <c r="T312" s="3" t="s">
        <v>1114</v>
      </c>
      <c r="V312" s="3"/>
      <c r="W312" s="3"/>
      <c r="X312" s="3"/>
      <c r="Y312" s="3"/>
      <c r="AA312" s="1310"/>
      <c r="AB312" s="1310"/>
      <c r="AC312" s="1310"/>
      <c r="AD312" s="1310"/>
      <c r="AE312" s="1310"/>
      <c r="AF312" s="1310"/>
      <c r="AG312" s="1310"/>
      <c r="AH312" s="1310"/>
      <c r="AI312" s="1310"/>
      <c r="AJ312" s="1310"/>
      <c r="AK312" s="1310"/>
    </row>
    <row r="313" spans="2:37" ht="12.95" customHeight="1">
      <c r="B313" s="3" t="s">
        <v>1116</v>
      </c>
      <c r="C313" s="3"/>
      <c r="D313" s="3"/>
      <c r="E313" s="3"/>
      <c r="F313" s="3"/>
      <c r="H313" s="1310" t="s">
        <v>1148</v>
      </c>
      <c r="I313" s="1310"/>
      <c r="J313" s="1310"/>
      <c r="K313" s="1310"/>
      <c r="L313" s="1310"/>
      <c r="M313" s="1310"/>
      <c r="N313" s="1310"/>
      <c r="O313" s="1310"/>
      <c r="P313" s="1310"/>
      <c r="Q313" s="1310"/>
      <c r="R313" s="1310"/>
      <c r="S313" s="3"/>
      <c r="T313" s="3" t="s">
        <v>1118</v>
      </c>
      <c r="V313" s="3"/>
      <c r="W313" s="3"/>
      <c r="X313" s="3"/>
      <c r="Y313" s="3"/>
      <c r="AA313" s="1310"/>
      <c r="AB313" s="1310"/>
      <c r="AC313" s="1310"/>
      <c r="AD313" s="1310"/>
      <c r="AE313" s="1310"/>
      <c r="AF313" s="1310"/>
      <c r="AG313" s="1310"/>
      <c r="AH313" s="1310"/>
      <c r="AI313" s="1310"/>
      <c r="AJ313" s="1310"/>
      <c r="AK313" s="1310"/>
    </row>
    <row r="314" spans="2:37" ht="12.95" customHeight="1">
      <c r="B314" s="3" t="s">
        <v>1067</v>
      </c>
      <c r="C314" s="3"/>
      <c r="D314" s="3"/>
      <c r="E314" s="3"/>
      <c r="F314" s="3"/>
      <c r="H314" s="1310" t="s">
        <v>1149</v>
      </c>
      <c r="I314" s="1310"/>
      <c r="J314" s="1310"/>
      <c r="K314" s="1310"/>
      <c r="L314" s="1310"/>
      <c r="M314" s="1310"/>
      <c r="N314" s="1310"/>
      <c r="O314" s="1310"/>
      <c r="P314" s="1310"/>
      <c r="Q314" s="1310"/>
      <c r="R314" s="1310"/>
      <c r="S314" s="3"/>
      <c r="T314" s="3" t="s">
        <v>1067</v>
      </c>
      <c r="V314" s="3"/>
      <c r="W314" s="3"/>
      <c r="X314" s="3"/>
      <c r="Y314" s="3"/>
      <c r="AA314" s="1310"/>
      <c r="AB314" s="1310"/>
      <c r="AC314" s="1310"/>
      <c r="AD314" s="1310"/>
      <c r="AE314" s="1310"/>
      <c r="AF314" s="1310"/>
      <c r="AG314" s="1310"/>
      <c r="AH314" s="1310"/>
      <c r="AI314" s="1310"/>
      <c r="AJ314" s="1310"/>
      <c r="AK314" s="1310"/>
    </row>
    <row r="315" spans="2:37" ht="12.95" customHeight="1">
      <c r="B315" s="3" t="s">
        <v>1068</v>
      </c>
      <c r="C315" s="3"/>
      <c r="D315" s="3"/>
      <c r="E315" s="3"/>
      <c r="F315" s="3"/>
      <c r="G315" s="3"/>
      <c r="H315" s="1382" t="s">
        <v>1150</v>
      </c>
      <c r="I315" s="1382"/>
      <c r="J315" s="1382"/>
      <c r="K315" s="1382"/>
      <c r="L315" s="1382"/>
      <c r="M315" s="1382"/>
      <c r="N315" s="3" t="s">
        <v>1070</v>
      </c>
      <c r="O315" s="3"/>
      <c r="P315" s="1377"/>
      <c r="Q315" s="1377"/>
      <c r="R315" s="1377"/>
      <c r="S315" s="3"/>
      <c r="T315" s="3" t="s">
        <v>1068</v>
      </c>
      <c r="V315" s="3"/>
      <c r="W315" s="3"/>
      <c r="X315" s="3"/>
      <c r="Y315" s="3"/>
      <c r="AA315" s="1382"/>
      <c r="AB315" s="1382"/>
      <c r="AC315" s="1382"/>
      <c r="AD315" s="1382"/>
      <c r="AE315" s="1382"/>
      <c r="AF315" s="1382"/>
      <c r="AG315" s="3" t="s">
        <v>1070</v>
      </c>
      <c r="AH315" s="3"/>
      <c r="AI315" s="1377"/>
      <c r="AJ315" s="1377"/>
      <c r="AK315" s="1377"/>
    </row>
    <row r="316" spans="2:37" ht="12.95" customHeight="1">
      <c r="B316" s="3" t="s">
        <v>1071</v>
      </c>
      <c r="C316" s="3"/>
      <c r="D316" s="3"/>
      <c r="E316" s="3"/>
      <c r="F316" s="3"/>
      <c r="G316" s="3"/>
      <c r="H316" s="1308"/>
      <c r="I316" s="1308"/>
      <c r="J316" s="1308"/>
      <c r="K316" s="1308"/>
      <c r="L316" s="1308"/>
      <c r="M316" s="1308"/>
      <c r="N316" s="3"/>
      <c r="O316" s="3"/>
      <c r="P316" s="84"/>
      <c r="Q316" s="84"/>
      <c r="R316" s="84"/>
      <c r="S316" s="3"/>
      <c r="T316" s="3" t="s">
        <v>1071</v>
      </c>
      <c r="V316" s="3"/>
      <c r="W316" s="3"/>
      <c r="X316" s="3"/>
      <c r="Y316" s="3"/>
      <c r="AA316" s="1308"/>
      <c r="AB316" s="1308"/>
      <c r="AC316" s="1308"/>
      <c r="AD316" s="1308"/>
      <c r="AE316" s="1308"/>
      <c r="AF316" s="1308"/>
      <c r="AG316" s="3"/>
      <c r="AH316" s="3"/>
      <c r="AI316" s="84"/>
      <c r="AJ316" s="84"/>
      <c r="AK316" s="84"/>
    </row>
    <row r="317" spans="2:37" ht="12.95" customHeight="1">
      <c r="B317" s="3" t="s">
        <v>1122</v>
      </c>
      <c r="C317" s="3"/>
      <c r="D317" s="3"/>
      <c r="E317" s="3"/>
      <c r="F317" s="3"/>
      <c r="G317" s="3"/>
      <c r="H317" s="1310" t="s">
        <v>1151</v>
      </c>
      <c r="I317" s="1310"/>
      <c r="J317" s="1310"/>
      <c r="K317" s="1310"/>
      <c r="L317" s="1310"/>
      <c r="M317" s="1310"/>
      <c r="N317" s="1333"/>
      <c r="O317" s="1333"/>
      <c r="P317" s="1333"/>
      <c r="Q317" s="1333"/>
      <c r="R317" s="1333"/>
      <c r="S317" s="3"/>
      <c r="T317" s="3" t="s">
        <v>1122</v>
      </c>
      <c r="V317" s="3"/>
      <c r="W317" s="3"/>
      <c r="X317" s="3"/>
      <c r="Y317" s="3"/>
      <c r="AA317" s="1310"/>
      <c r="AB317" s="1310"/>
      <c r="AC317" s="1310"/>
      <c r="AD317" s="1310"/>
      <c r="AE317" s="1310"/>
      <c r="AF317" s="1310"/>
      <c r="AG317" s="1333"/>
      <c r="AH317" s="1333"/>
      <c r="AI317" s="1333"/>
      <c r="AJ317" s="1333"/>
      <c r="AK317" s="1333"/>
    </row>
    <row r="318" spans="2:37" ht="12.95" customHeight="1"/>
    <row r="319" spans="2:37" ht="12.95" customHeight="1">
      <c r="B319" s="3" t="s">
        <v>1152</v>
      </c>
      <c r="C319" s="3"/>
      <c r="D319" s="3"/>
      <c r="E319" s="3"/>
      <c r="F319" s="3"/>
      <c r="H319" s="1333"/>
      <c r="I319" s="1333"/>
      <c r="J319" s="1333"/>
      <c r="K319" s="1333"/>
      <c r="L319" s="1333"/>
      <c r="M319" s="1333"/>
      <c r="N319" s="1333"/>
      <c r="O319" s="1333"/>
      <c r="P319" s="1333"/>
      <c r="Q319" s="1333"/>
      <c r="R319" s="1333"/>
      <c r="T319" s="3" t="s">
        <v>1153</v>
      </c>
      <c r="V319" s="3"/>
      <c r="W319" s="3"/>
      <c r="X319" s="3"/>
      <c r="Y319" s="3"/>
      <c r="AA319" s="1333" t="s">
        <v>1154</v>
      </c>
      <c r="AB319" s="1333"/>
      <c r="AC319" s="1333"/>
      <c r="AD319" s="1333"/>
      <c r="AE319" s="1333"/>
      <c r="AF319" s="1333"/>
      <c r="AG319" s="1333"/>
      <c r="AH319" s="1333"/>
      <c r="AI319" s="1333"/>
      <c r="AJ319" s="1333"/>
      <c r="AK319" s="1333"/>
    </row>
    <row r="320" spans="2:37" ht="12.95" customHeight="1">
      <c r="B320" s="3" t="s">
        <v>1114</v>
      </c>
      <c r="C320" s="3"/>
      <c r="D320" s="3"/>
      <c r="E320" s="3"/>
      <c r="F320" s="3"/>
      <c r="H320" s="1310"/>
      <c r="I320" s="1310"/>
      <c r="J320" s="1310"/>
      <c r="K320" s="1310"/>
      <c r="L320" s="1310"/>
      <c r="M320" s="1310"/>
      <c r="N320" s="1310"/>
      <c r="O320" s="1310"/>
      <c r="P320" s="1310"/>
      <c r="Q320" s="1310"/>
      <c r="R320" s="1310"/>
      <c r="T320" s="3" t="s">
        <v>1114</v>
      </c>
      <c r="V320" s="3"/>
      <c r="W320" s="3"/>
      <c r="X320" s="3"/>
      <c r="Y320" s="3"/>
      <c r="AA320" s="1310" t="s">
        <v>1155</v>
      </c>
      <c r="AB320" s="1310"/>
      <c r="AC320" s="1310"/>
      <c r="AD320" s="1310"/>
      <c r="AE320" s="1310"/>
      <c r="AF320" s="1310"/>
      <c r="AG320" s="1310"/>
      <c r="AH320" s="1310"/>
      <c r="AI320" s="1310"/>
      <c r="AJ320" s="1310"/>
      <c r="AK320" s="1310"/>
    </row>
    <row r="321" spans="2:37" ht="12.95" customHeight="1">
      <c r="B321" s="3" t="s">
        <v>1116</v>
      </c>
      <c r="C321" s="3"/>
      <c r="D321" s="3"/>
      <c r="E321" s="3"/>
      <c r="F321" s="3"/>
      <c r="H321" s="1310"/>
      <c r="I321" s="1310"/>
      <c r="J321" s="1310"/>
      <c r="K321" s="1310"/>
      <c r="L321" s="1310"/>
      <c r="M321" s="1310"/>
      <c r="N321" s="1310"/>
      <c r="O321" s="1310"/>
      <c r="P321" s="1310"/>
      <c r="Q321" s="1310"/>
      <c r="R321" s="1310"/>
      <c r="T321" s="3" t="s">
        <v>1118</v>
      </c>
      <c r="V321" s="3"/>
      <c r="W321" s="3"/>
      <c r="X321" s="3"/>
      <c r="Y321" s="3"/>
      <c r="AA321" s="1310" t="s">
        <v>1156</v>
      </c>
      <c r="AB321" s="1310"/>
      <c r="AC321" s="1310"/>
      <c r="AD321" s="1310"/>
      <c r="AE321" s="1310"/>
      <c r="AF321" s="1310"/>
      <c r="AG321" s="1310"/>
      <c r="AH321" s="1310"/>
      <c r="AI321" s="1310"/>
      <c r="AJ321" s="1310"/>
      <c r="AK321" s="1310"/>
    </row>
    <row r="322" spans="2:37" ht="12.95" customHeight="1">
      <c r="B322" s="3" t="s">
        <v>1067</v>
      </c>
      <c r="C322" s="3"/>
      <c r="D322" s="3"/>
      <c r="E322" s="3"/>
      <c r="F322" s="3"/>
      <c r="H322" s="1310"/>
      <c r="I322" s="1310"/>
      <c r="J322" s="1310"/>
      <c r="K322" s="1310"/>
      <c r="L322" s="1310"/>
      <c r="M322" s="1310"/>
      <c r="N322" s="1310"/>
      <c r="O322" s="1310"/>
      <c r="P322" s="1310"/>
      <c r="Q322" s="1310"/>
      <c r="R322" s="1310"/>
      <c r="T322" s="3" t="s">
        <v>1067</v>
      </c>
      <c r="V322" s="3"/>
      <c r="W322" s="3"/>
      <c r="X322" s="3"/>
      <c r="Y322" s="3"/>
      <c r="AA322" s="1310" t="s">
        <v>1157</v>
      </c>
      <c r="AB322" s="1310"/>
      <c r="AC322" s="1310"/>
      <c r="AD322" s="1310"/>
      <c r="AE322" s="1310"/>
      <c r="AF322" s="1310"/>
      <c r="AG322" s="1310"/>
      <c r="AH322" s="1310"/>
      <c r="AI322" s="1310"/>
      <c r="AJ322" s="1310"/>
      <c r="AK322" s="1310"/>
    </row>
    <row r="323" spans="2:37" ht="12.95" customHeight="1">
      <c r="B323" s="3" t="s">
        <v>1068</v>
      </c>
      <c r="C323" s="3"/>
      <c r="D323" s="3"/>
      <c r="E323" s="3"/>
      <c r="F323" s="3"/>
      <c r="G323" s="3"/>
      <c r="H323" s="1382"/>
      <c r="I323" s="1382"/>
      <c r="J323" s="1382"/>
      <c r="K323" s="1382"/>
      <c r="L323" s="1382"/>
      <c r="M323" s="1382"/>
      <c r="N323" s="3" t="s">
        <v>1070</v>
      </c>
      <c r="O323" s="3"/>
      <c r="P323" s="1377"/>
      <c r="Q323" s="1377"/>
      <c r="R323" s="1377"/>
      <c r="S323" s="3"/>
      <c r="T323" s="3" t="s">
        <v>1068</v>
      </c>
      <c r="V323" s="3"/>
      <c r="W323" s="3"/>
      <c r="X323" s="3"/>
      <c r="Y323" s="3"/>
      <c r="AA323" s="1382" t="s">
        <v>1158</v>
      </c>
      <c r="AB323" s="1382"/>
      <c r="AC323" s="1382"/>
      <c r="AD323" s="1382"/>
      <c r="AE323" s="1382"/>
      <c r="AF323" s="1382"/>
      <c r="AG323" s="3" t="s">
        <v>1070</v>
      </c>
      <c r="AH323" s="3"/>
      <c r="AI323" s="1377"/>
      <c r="AJ323" s="1377"/>
      <c r="AK323" s="1377"/>
    </row>
    <row r="324" spans="2:37" ht="12.95" customHeight="1">
      <c r="B324" s="3" t="s">
        <v>1071</v>
      </c>
      <c r="C324" s="3"/>
      <c r="D324" s="3"/>
      <c r="E324" s="3"/>
      <c r="F324" s="3"/>
      <c r="G324" s="3"/>
      <c r="H324" s="1308"/>
      <c r="I324" s="1308"/>
      <c r="J324" s="1308"/>
      <c r="K324" s="1308"/>
      <c r="L324" s="1308"/>
      <c r="M324" s="1308"/>
      <c r="N324" s="3"/>
      <c r="O324" s="3"/>
      <c r="P324" s="84"/>
      <c r="Q324" s="84"/>
      <c r="R324" s="84"/>
      <c r="S324" s="3"/>
      <c r="T324" s="3" t="s">
        <v>1071</v>
      </c>
      <c r="V324" s="3"/>
      <c r="W324" s="3"/>
      <c r="X324" s="3"/>
      <c r="Y324" s="3"/>
      <c r="AA324" s="1308"/>
      <c r="AB324" s="1308"/>
      <c r="AC324" s="1308"/>
      <c r="AD324" s="1308"/>
      <c r="AE324" s="1308"/>
      <c r="AF324" s="1308"/>
      <c r="AG324" s="3"/>
      <c r="AH324" s="3"/>
      <c r="AI324" s="84"/>
      <c r="AJ324" s="84"/>
      <c r="AK324" s="84"/>
    </row>
    <row r="325" spans="2:37" ht="12.95" customHeight="1">
      <c r="B325" s="3" t="s">
        <v>1122</v>
      </c>
      <c r="C325" s="3"/>
      <c r="D325" s="3"/>
      <c r="E325" s="3"/>
      <c r="F325" s="3"/>
      <c r="G325" s="3"/>
      <c r="H325" s="1310"/>
      <c r="I325" s="1310"/>
      <c r="J325" s="1310"/>
      <c r="K325" s="1310"/>
      <c r="L325" s="1310"/>
      <c r="M325" s="1310"/>
      <c r="N325" s="1333"/>
      <c r="O325" s="1333"/>
      <c r="P325" s="1333"/>
      <c r="Q325" s="1333"/>
      <c r="R325" s="1333"/>
      <c r="S325" s="3"/>
      <c r="T325" s="3" t="s">
        <v>1122</v>
      </c>
      <c r="V325" s="3"/>
      <c r="W325" s="3"/>
      <c r="X325" s="3"/>
      <c r="Y325" s="3"/>
      <c r="AA325" s="1310" t="s">
        <v>1159</v>
      </c>
      <c r="AB325" s="1310"/>
      <c r="AC325" s="1310"/>
      <c r="AD325" s="1310"/>
      <c r="AE325" s="1310"/>
      <c r="AF325" s="1310"/>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1160</v>
      </c>
      <c r="C327" s="3"/>
      <c r="D327" s="3"/>
      <c r="E327" s="3"/>
      <c r="F327" s="3"/>
      <c r="H327" s="1333"/>
      <c r="I327" s="1333"/>
      <c r="J327" s="1333"/>
      <c r="K327" s="1333"/>
      <c r="L327" s="1333"/>
      <c r="M327" s="1333"/>
      <c r="N327" s="1333"/>
      <c r="O327" s="1333"/>
      <c r="P327" s="1333"/>
      <c r="Q327" s="1333"/>
      <c r="R327" s="1333"/>
      <c r="T327" s="3" t="s">
        <v>1161</v>
      </c>
      <c r="V327" s="3"/>
      <c r="W327" s="3"/>
      <c r="X327" s="3"/>
      <c r="Y327" s="3"/>
      <c r="AA327" s="1333"/>
      <c r="AB327" s="1333"/>
      <c r="AC327" s="1333"/>
      <c r="AD327" s="1333"/>
      <c r="AE327" s="1333"/>
      <c r="AF327" s="1333"/>
      <c r="AG327" s="1333"/>
      <c r="AH327" s="1333"/>
      <c r="AI327" s="1333"/>
      <c r="AJ327" s="1333"/>
      <c r="AK327" s="1333"/>
    </row>
    <row r="328" spans="2:37" ht="12.95" customHeight="1">
      <c r="B328" s="3" t="s">
        <v>1114</v>
      </c>
      <c r="C328" s="3"/>
      <c r="D328" s="3"/>
      <c r="E328" s="3"/>
      <c r="F328" s="3"/>
      <c r="H328" s="1310"/>
      <c r="I328" s="1310"/>
      <c r="J328" s="1310"/>
      <c r="K328" s="1310"/>
      <c r="L328" s="1310"/>
      <c r="M328" s="1310"/>
      <c r="N328" s="1310"/>
      <c r="O328" s="1310"/>
      <c r="P328" s="1310"/>
      <c r="Q328" s="1310"/>
      <c r="R328" s="1310"/>
      <c r="T328" s="3" t="s">
        <v>1114</v>
      </c>
      <c r="V328" s="3"/>
      <c r="W328" s="3"/>
      <c r="X328" s="3"/>
      <c r="Y328" s="3"/>
      <c r="AA328" s="1310"/>
      <c r="AB328" s="1310"/>
      <c r="AC328" s="1310"/>
      <c r="AD328" s="1310"/>
      <c r="AE328" s="1310"/>
      <c r="AF328" s="1310"/>
      <c r="AG328" s="1310"/>
      <c r="AH328" s="1310"/>
      <c r="AI328" s="1310"/>
      <c r="AJ328" s="1310"/>
      <c r="AK328" s="1310"/>
    </row>
    <row r="329" spans="2:37" ht="12.95" customHeight="1">
      <c r="B329" s="3" t="s">
        <v>1116</v>
      </c>
      <c r="C329" s="3"/>
      <c r="D329" s="3"/>
      <c r="E329" s="3"/>
      <c r="F329" s="3"/>
      <c r="H329" s="1310"/>
      <c r="I329" s="1310"/>
      <c r="J329" s="1310"/>
      <c r="K329" s="1310"/>
      <c r="L329" s="1310"/>
      <c r="M329" s="1310"/>
      <c r="N329" s="1310"/>
      <c r="O329" s="1310"/>
      <c r="P329" s="1310"/>
      <c r="Q329" s="1310"/>
      <c r="R329" s="1310"/>
      <c r="T329" s="3" t="s">
        <v>1118</v>
      </c>
      <c r="V329" s="3"/>
      <c r="W329" s="3"/>
      <c r="X329" s="3"/>
      <c r="Y329" s="3"/>
      <c r="AA329" s="1310"/>
      <c r="AB329" s="1310"/>
      <c r="AC329" s="1310"/>
      <c r="AD329" s="1310"/>
      <c r="AE329" s="1310"/>
      <c r="AF329" s="1310"/>
      <c r="AG329" s="1310"/>
      <c r="AH329" s="1310"/>
      <c r="AI329" s="1310"/>
      <c r="AJ329" s="1310"/>
      <c r="AK329" s="1310"/>
    </row>
    <row r="330" spans="2:37" ht="12.95" customHeight="1">
      <c r="B330" s="3" t="s">
        <v>1067</v>
      </c>
      <c r="C330" s="3"/>
      <c r="D330" s="3"/>
      <c r="E330" s="3"/>
      <c r="F330" s="3"/>
      <c r="H330" s="1310"/>
      <c r="I330" s="1310"/>
      <c r="J330" s="1310"/>
      <c r="K330" s="1310"/>
      <c r="L330" s="1310"/>
      <c r="M330" s="1310"/>
      <c r="N330" s="1310"/>
      <c r="O330" s="1310"/>
      <c r="P330" s="1310"/>
      <c r="Q330" s="1310"/>
      <c r="R330" s="1310"/>
      <c r="T330" s="3" t="s">
        <v>1067</v>
      </c>
      <c r="V330" s="3"/>
      <c r="W330" s="3"/>
      <c r="X330" s="3"/>
      <c r="Y330" s="3"/>
      <c r="AA330" s="1310"/>
      <c r="AB330" s="1310"/>
      <c r="AC330" s="1310"/>
      <c r="AD330" s="1310"/>
      <c r="AE330" s="1310"/>
      <c r="AF330" s="1310"/>
      <c r="AG330" s="1310"/>
      <c r="AH330" s="1310"/>
      <c r="AI330" s="1310"/>
      <c r="AJ330" s="1310"/>
      <c r="AK330" s="1310"/>
    </row>
    <row r="331" spans="2:37" ht="12.95" customHeight="1">
      <c r="B331" s="3" t="s">
        <v>1068</v>
      </c>
      <c r="C331" s="3"/>
      <c r="D331" s="3"/>
      <c r="E331" s="3"/>
      <c r="F331" s="3"/>
      <c r="G331" s="3"/>
      <c r="H331" s="1382"/>
      <c r="I331" s="1382"/>
      <c r="J331" s="1382"/>
      <c r="K331" s="1382"/>
      <c r="L331" s="1382"/>
      <c r="M331" s="1382"/>
      <c r="N331" s="3" t="s">
        <v>1070</v>
      </c>
      <c r="O331" s="3"/>
      <c r="P331" s="1377"/>
      <c r="Q331" s="1377"/>
      <c r="R331" s="1377"/>
      <c r="S331" s="3"/>
      <c r="T331" s="3" t="s">
        <v>1068</v>
      </c>
      <c r="V331" s="3"/>
      <c r="W331" s="3"/>
      <c r="X331" s="3"/>
      <c r="Y331" s="3"/>
      <c r="AA331" s="1382"/>
      <c r="AB331" s="1382"/>
      <c r="AC331" s="1382"/>
      <c r="AD331" s="1382"/>
      <c r="AE331" s="1382"/>
      <c r="AF331" s="1382"/>
      <c r="AG331" s="3" t="s">
        <v>1070</v>
      </c>
      <c r="AH331" s="3"/>
      <c r="AI331" s="1377"/>
      <c r="AJ331" s="1377"/>
      <c r="AK331" s="1377"/>
    </row>
    <row r="332" spans="2:37" ht="12.95" customHeight="1">
      <c r="B332" s="3" t="s">
        <v>1071</v>
      </c>
      <c r="C332" s="3"/>
      <c r="D332" s="3"/>
      <c r="E332" s="3"/>
      <c r="F332" s="3"/>
      <c r="G332" s="3"/>
      <c r="H332" s="1308"/>
      <c r="I332" s="1308"/>
      <c r="J332" s="1308"/>
      <c r="K332" s="1308"/>
      <c r="L332" s="1308"/>
      <c r="M332" s="1308"/>
      <c r="N332" s="3"/>
      <c r="O332" s="3"/>
      <c r="P332" s="84"/>
      <c r="Q332" s="84"/>
      <c r="R332" s="84"/>
      <c r="S332" s="3"/>
      <c r="T332" s="3" t="s">
        <v>1071</v>
      </c>
      <c r="V332" s="3"/>
      <c r="W332" s="3"/>
      <c r="X332" s="3"/>
      <c r="Y332" s="3"/>
      <c r="AA332" s="1308"/>
      <c r="AB332" s="1308"/>
      <c r="AC332" s="1308"/>
      <c r="AD332" s="1308"/>
      <c r="AE332" s="1308"/>
      <c r="AF332" s="1308"/>
      <c r="AG332" s="3"/>
      <c r="AH332" s="3"/>
      <c r="AI332" s="84"/>
      <c r="AJ332" s="84"/>
      <c r="AK332" s="84"/>
    </row>
    <row r="333" spans="2:37" ht="12.95" customHeight="1">
      <c r="B333" s="3" t="s">
        <v>1122</v>
      </c>
      <c r="C333" s="3"/>
      <c r="D333" s="3"/>
      <c r="E333" s="3"/>
      <c r="F333" s="3"/>
      <c r="G333" s="3"/>
      <c r="H333" s="1310"/>
      <c r="I333" s="1310"/>
      <c r="J333" s="1310"/>
      <c r="K333" s="1310"/>
      <c r="L333" s="1310"/>
      <c r="M333" s="1310"/>
      <c r="N333" s="1333"/>
      <c r="O333" s="1333"/>
      <c r="P333" s="1333"/>
      <c r="Q333" s="1333"/>
      <c r="R333" s="1333"/>
      <c r="S333" s="3"/>
      <c r="T333" s="3" t="s">
        <v>1122</v>
      </c>
      <c r="V333" s="3"/>
      <c r="W333" s="3"/>
      <c r="X333" s="3"/>
      <c r="Y333" s="3"/>
      <c r="AA333" s="1310"/>
      <c r="AB333" s="1310"/>
      <c r="AC333" s="1310"/>
      <c r="AD333" s="1310"/>
      <c r="AE333" s="1310"/>
      <c r="AF333" s="1310"/>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1162</v>
      </c>
      <c r="C335" s="3"/>
      <c r="D335" s="3"/>
      <c r="E335" s="3"/>
      <c r="F335" s="3"/>
      <c r="H335" s="1333" t="s">
        <v>667</v>
      </c>
      <c r="I335" s="1333"/>
      <c r="J335" s="1333"/>
      <c r="K335" s="1333"/>
      <c r="L335" s="1333"/>
      <c r="M335" s="1333"/>
      <c r="N335" s="1333"/>
      <c r="O335" s="1333"/>
      <c r="P335" s="1333"/>
      <c r="Q335" s="1333"/>
      <c r="R335" s="1333"/>
      <c r="T335" s="136" t="s">
        <v>1163</v>
      </c>
      <c r="V335" s="3"/>
      <c r="W335" s="3"/>
      <c r="X335" s="3"/>
      <c r="Y335" s="3"/>
      <c r="AA335" s="1333" t="s">
        <v>667</v>
      </c>
      <c r="AB335" s="1333"/>
      <c r="AC335" s="1333"/>
      <c r="AD335" s="1333"/>
      <c r="AE335" s="1333"/>
      <c r="AF335" s="1333"/>
      <c r="AG335" s="1333"/>
      <c r="AH335" s="1333"/>
      <c r="AI335" s="1333"/>
      <c r="AJ335" s="1333"/>
      <c r="AK335" s="1333"/>
    </row>
    <row r="336" spans="2:37" ht="12.95" customHeight="1">
      <c r="B336" s="3" t="s">
        <v>1114</v>
      </c>
      <c r="C336" s="3"/>
      <c r="D336" s="3"/>
      <c r="E336" s="3"/>
      <c r="F336" s="3"/>
      <c r="H336" s="1310" t="s">
        <v>1064</v>
      </c>
      <c r="I336" s="1310"/>
      <c r="J336" s="1310"/>
      <c r="K336" s="1310"/>
      <c r="L336" s="1310"/>
      <c r="M336" s="1310"/>
      <c r="N336" s="1310"/>
      <c r="O336" s="1310"/>
      <c r="P336" s="1310"/>
      <c r="Q336" s="1310"/>
      <c r="R336" s="1310"/>
      <c r="T336" s="3" t="s">
        <v>1114</v>
      </c>
      <c r="V336" s="3"/>
      <c r="W336" s="3"/>
      <c r="X336" s="3"/>
      <c r="Y336" s="3"/>
      <c r="AA336" s="1310" t="s">
        <v>1064</v>
      </c>
      <c r="AB336" s="1310"/>
      <c r="AC336" s="1310"/>
      <c r="AD336" s="1310"/>
      <c r="AE336" s="1310"/>
      <c r="AF336" s="1310"/>
      <c r="AG336" s="1310"/>
      <c r="AH336" s="1310"/>
      <c r="AI336" s="1310"/>
      <c r="AJ336" s="1310"/>
      <c r="AK336" s="1310"/>
    </row>
    <row r="337" spans="1:66" ht="12.95" customHeight="1">
      <c r="B337" s="3" t="s">
        <v>1118</v>
      </c>
      <c r="C337" s="3"/>
      <c r="D337" s="3"/>
      <c r="E337" s="3"/>
      <c r="F337" s="3"/>
      <c r="H337" s="1310" t="s">
        <v>1117</v>
      </c>
      <c r="I337" s="1310"/>
      <c r="J337" s="1310"/>
      <c r="K337" s="1310"/>
      <c r="L337" s="1310"/>
      <c r="M337" s="1310"/>
      <c r="N337" s="1310"/>
      <c r="O337" s="1310"/>
      <c r="P337" s="1310"/>
      <c r="Q337" s="1310"/>
      <c r="R337" s="1310"/>
      <c r="T337" s="3" t="s">
        <v>1118</v>
      </c>
      <c r="V337" s="3"/>
      <c r="W337" s="3"/>
      <c r="X337" s="3"/>
      <c r="Y337" s="3"/>
      <c r="AA337" s="1310" t="s">
        <v>1117</v>
      </c>
      <c r="AB337" s="1310"/>
      <c r="AC337" s="1310"/>
      <c r="AD337" s="1310"/>
      <c r="AE337" s="1310"/>
      <c r="AF337" s="1310"/>
      <c r="AG337" s="1310"/>
      <c r="AH337" s="1310"/>
      <c r="AI337" s="1310"/>
      <c r="AJ337" s="1310"/>
      <c r="AK337" s="1310"/>
    </row>
    <row r="338" spans="1:66" ht="12.95" customHeight="1">
      <c r="B338" s="3" t="s">
        <v>1067</v>
      </c>
      <c r="C338" s="3"/>
      <c r="D338" s="3"/>
      <c r="E338" s="3"/>
      <c r="F338" s="3"/>
      <c r="G338" s="3"/>
      <c r="H338" s="1310" t="s">
        <v>790</v>
      </c>
      <c r="I338" s="1310"/>
      <c r="J338" s="1310"/>
      <c r="K338" s="1310"/>
      <c r="L338" s="1310"/>
      <c r="M338" s="1310"/>
      <c r="N338" s="1310"/>
      <c r="O338" s="1310"/>
      <c r="P338" s="1310"/>
      <c r="Q338" s="1310"/>
      <c r="R338" s="1310"/>
      <c r="T338" s="3" t="s">
        <v>1067</v>
      </c>
      <c r="V338" s="3"/>
      <c r="W338" s="3"/>
      <c r="X338" s="3"/>
      <c r="Y338" s="3"/>
      <c r="AA338" s="1310" t="s">
        <v>790</v>
      </c>
      <c r="AB338" s="1310"/>
      <c r="AC338" s="1310"/>
      <c r="AD338" s="1310"/>
      <c r="AE338" s="1310"/>
      <c r="AF338" s="1310"/>
      <c r="AG338" s="1310"/>
      <c r="AH338" s="1310"/>
      <c r="AI338" s="1310"/>
      <c r="AJ338" s="1310"/>
      <c r="AK338" s="1310"/>
    </row>
    <row r="339" spans="1:66" ht="12.95" customHeight="1">
      <c r="B339" s="3" t="s">
        <v>1068</v>
      </c>
      <c r="C339" s="3"/>
      <c r="D339" s="3"/>
      <c r="E339" s="3"/>
      <c r="F339" s="3"/>
      <c r="G339" s="3"/>
      <c r="H339" s="1382" t="s">
        <v>1069</v>
      </c>
      <c r="I339" s="1382"/>
      <c r="J339" s="1382"/>
      <c r="K339" s="1382"/>
      <c r="L339" s="1382"/>
      <c r="M339" s="1382"/>
      <c r="N339" s="3" t="s">
        <v>1070</v>
      </c>
      <c r="O339" s="3"/>
      <c r="P339" s="1377">
        <v>2005</v>
      </c>
      <c r="Q339" s="1377"/>
      <c r="R339" s="1377"/>
      <c r="S339" s="3"/>
      <c r="T339" s="3" t="s">
        <v>1068</v>
      </c>
      <c r="V339" s="3"/>
      <c r="W339" s="3"/>
      <c r="X339" s="3"/>
      <c r="Y339" s="3"/>
      <c r="AA339" s="1382" t="s">
        <v>1069</v>
      </c>
      <c r="AB339" s="1382"/>
      <c r="AC339" s="1382"/>
      <c r="AD339" s="1382"/>
      <c r="AE339" s="1382"/>
      <c r="AF339" s="1382"/>
      <c r="AG339" s="3" t="s">
        <v>1070</v>
      </c>
      <c r="AH339" s="3"/>
      <c r="AI339" s="1377">
        <v>2005</v>
      </c>
      <c r="AJ339" s="1377"/>
      <c r="AK339" s="1377"/>
    </row>
    <row r="340" spans="1:66" ht="12.95" customHeight="1">
      <c r="B340" s="3" t="s">
        <v>1071</v>
      </c>
      <c r="C340" s="3"/>
      <c r="D340" s="3"/>
      <c r="E340" s="3"/>
      <c r="F340" s="3"/>
      <c r="G340" s="3"/>
      <c r="H340" s="1308" t="s">
        <v>1072</v>
      </c>
      <c r="I340" s="1308"/>
      <c r="J340" s="1308"/>
      <c r="K340" s="1308"/>
      <c r="L340" s="1308"/>
      <c r="M340" s="1308"/>
      <c r="N340" s="3"/>
      <c r="O340" s="3"/>
      <c r="P340" s="84"/>
      <c r="Q340" s="84"/>
      <c r="R340" s="84"/>
      <c r="S340" s="3"/>
      <c r="T340" s="3" t="s">
        <v>1071</v>
      </c>
      <c r="V340" s="3"/>
      <c r="W340" s="3"/>
      <c r="X340" s="3"/>
      <c r="Y340" s="3"/>
      <c r="AA340" s="1308" t="s">
        <v>1072</v>
      </c>
      <c r="AB340" s="1308"/>
      <c r="AC340" s="1308"/>
      <c r="AD340" s="1308"/>
      <c r="AE340" s="1308"/>
      <c r="AF340" s="1308"/>
      <c r="AG340" s="3"/>
      <c r="AH340" s="3"/>
      <c r="AI340" s="84"/>
      <c r="AJ340" s="84"/>
      <c r="AK340" s="84"/>
    </row>
    <row r="341" spans="1:66" ht="12.95" customHeight="1">
      <c r="B341" s="3" t="s">
        <v>1122</v>
      </c>
      <c r="C341" s="3"/>
      <c r="D341" s="3"/>
      <c r="E341" s="3"/>
      <c r="F341" s="3"/>
      <c r="G341" s="3"/>
      <c r="H341" s="1310" t="s">
        <v>1075</v>
      </c>
      <c r="I341" s="1310"/>
      <c r="J341" s="1310"/>
      <c r="K341" s="1310"/>
      <c r="L341" s="1310"/>
      <c r="M341" s="1310"/>
      <c r="N341" s="1333"/>
      <c r="O341" s="1333"/>
      <c r="P341" s="1333"/>
      <c r="Q341" s="1333"/>
      <c r="R341" s="1333"/>
      <c r="S341" s="3"/>
      <c r="T341" s="3" t="s">
        <v>1122</v>
      </c>
      <c r="V341" s="3"/>
      <c r="W341" s="3"/>
      <c r="X341" s="3"/>
      <c r="Y341" s="3"/>
      <c r="AA341" s="1310" t="s">
        <v>1075</v>
      </c>
      <c r="AB341" s="1310"/>
      <c r="AC341" s="1310"/>
      <c r="AD341" s="1310"/>
      <c r="AE341" s="1310"/>
      <c r="AF341" s="1310"/>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2.95" customHeight="1">
      <c r="B343" s="3"/>
      <c r="C343" s="3"/>
      <c r="D343" s="3"/>
      <c r="E343" s="3"/>
      <c r="F343" s="3"/>
      <c r="I343" s="136" t="s">
        <v>1164</v>
      </c>
      <c r="P343" s="1333"/>
      <c r="Q343" s="1333"/>
      <c r="R343" s="1333"/>
      <c r="S343" s="1333"/>
      <c r="T343" s="1333"/>
      <c r="U343" s="1333"/>
      <c r="V343" s="1333"/>
      <c r="W343" s="1333"/>
      <c r="X343" s="1333"/>
      <c r="Y343" s="1333"/>
      <c r="Z343" s="1333"/>
      <c r="AA343" s="1333"/>
      <c r="AB343" s="1333"/>
      <c r="AC343" s="1333"/>
      <c r="AD343" s="1333"/>
      <c r="AE343" s="1333"/>
      <c r="BN343" t="s">
        <v>694</v>
      </c>
    </row>
    <row r="344" spans="1:66" ht="12.95" customHeight="1">
      <c r="B344" s="3"/>
      <c r="C344" s="3"/>
      <c r="D344" s="3"/>
      <c r="E344" s="3"/>
      <c r="F344" s="3"/>
      <c r="I344" s="3" t="s">
        <v>1114</v>
      </c>
      <c r="P344" s="1310"/>
      <c r="Q344" s="1310"/>
      <c r="R344" s="1310"/>
      <c r="S344" s="1310"/>
      <c r="T344" s="1310"/>
      <c r="U344" s="1310"/>
      <c r="V344" s="1310"/>
      <c r="W344" s="1310"/>
      <c r="X344" s="1310"/>
      <c r="Y344" s="1310"/>
      <c r="Z344" s="1310"/>
      <c r="AA344" s="1310"/>
      <c r="AB344" s="1310"/>
      <c r="AC344" s="1310"/>
      <c r="AD344" s="1310"/>
      <c r="AE344" s="1310"/>
      <c r="BN344" t="s">
        <v>846</v>
      </c>
    </row>
    <row r="345" spans="1:66" ht="12.95" customHeight="1">
      <c r="B345" s="3"/>
      <c r="C345" s="3"/>
      <c r="D345" s="3"/>
      <c r="E345" s="3"/>
      <c r="F345" s="3"/>
      <c r="I345" s="3" t="s">
        <v>1118</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1067</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1068</v>
      </c>
      <c r="P347" s="1308"/>
      <c r="Q347" s="1308"/>
      <c r="R347" s="1308"/>
      <c r="S347" s="1308"/>
      <c r="T347" s="1308"/>
      <c r="U347" s="1308"/>
      <c r="V347" s="1308"/>
      <c r="W347" s="1308"/>
      <c r="X347" s="1308"/>
      <c r="Y347" s="1308"/>
      <c r="Z347" s="1308"/>
      <c r="AA347" s="3" t="s">
        <v>1070</v>
      </c>
      <c r="AB347" s="3"/>
      <c r="AC347" s="1395"/>
      <c r="AD347" s="1395"/>
      <c r="AE347" s="1395"/>
      <c r="AF347" s="1163"/>
      <c r="AG347" s="3"/>
      <c r="AH347" s="3"/>
      <c r="AI347" s="3"/>
      <c r="AJ347" s="3"/>
      <c r="AK347" s="3"/>
    </row>
    <row r="348" spans="1:66" ht="12.95" customHeight="1">
      <c r="B348" s="3"/>
      <c r="C348" s="3"/>
      <c r="D348" s="3"/>
      <c r="E348" s="3"/>
      <c r="F348" s="3"/>
      <c r="G348" s="3"/>
      <c r="H348" s="1163"/>
      <c r="I348" s="3" t="s">
        <v>1071</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1122</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1" t="s">
        <v>1165</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871</v>
      </c>
      <c r="B354" s="2"/>
      <c r="C354" s="2" t="s">
        <v>1166</v>
      </c>
    </row>
    <row r="355" spans="1:46" ht="12.95" customHeight="1">
      <c r="D355" s="3" t="s">
        <v>686</v>
      </c>
      <c r="M355" s="1294" t="s">
        <v>846</v>
      </c>
      <c r="N355" s="1294"/>
      <c r="P355" t="s">
        <v>1167</v>
      </c>
      <c r="AJ355" s="1294" t="s">
        <v>846</v>
      </c>
      <c r="AK355" s="1294"/>
    </row>
    <row r="356" spans="1:46" ht="12.95" customHeight="1">
      <c r="D356" s="3" t="s">
        <v>684</v>
      </c>
      <c r="M356" s="1294" t="s">
        <v>811</v>
      </c>
      <c r="N356" s="1294"/>
      <c r="P356" s="3" t="s">
        <v>1168</v>
      </c>
      <c r="AJ356" s="1405">
        <v>0</v>
      </c>
      <c r="AK356" s="1405"/>
    </row>
    <row r="357" spans="1:46" ht="12.95" customHeight="1">
      <c r="D357" s="3" t="s">
        <v>1169</v>
      </c>
      <c r="M357" s="1294" t="s">
        <v>811</v>
      </c>
      <c r="N357" s="1294"/>
      <c r="P357" t="s">
        <v>1170</v>
      </c>
      <c r="AJ357" s="1294" t="s">
        <v>694</v>
      </c>
      <c r="AK357" s="1294"/>
    </row>
    <row r="358" spans="1:46" ht="12.95" customHeight="1">
      <c r="D358" s="3" t="s">
        <v>1171</v>
      </c>
      <c r="M358" s="1294" t="s">
        <v>811</v>
      </c>
      <c r="N358" s="1294"/>
      <c r="Q358" s="3"/>
    </row>
    <row r="359" spans="1:46" ht="12.95" customHeight="1">
      <c r="Q359" s="3"/>
    </row>
    <row r="360" spans="1:46" ht="12.95" customHeight="1">
      <c r="Q360" s="3"/>
    </row>
    <row r="361" spans="1:46" ht="12.95" customHeight="1">
      <c r="A361" s="2" t="s">
        <v>912</v>
      </c>
      <c r="B361" s="2"/>
      <c r="C361" s="2" t="s">
        <v>1172</v>
      </c>
      <c r="D361" s="2"/>
    </row>
    <row r="362" spans="1:46" ht="12.95" customHeight="1">
      <c r="D362" s="31" t="s">
        <v>1173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1174</v>
      </c>
      <c r="E363" s="32"/>
      <c r="F363" s="32"/>
      <c r="G363" s="32"/>
      <c r="H363" s="32"/>
      <c r="I363" s="32"/>
      <c r="J363" s="32"/>
      <c r="K363" s="32"/>
      <c r="L363" s="32"/>
      <c r="M363" s="32"/>
      <c r="N363" s="1294" t="s">
        <v>811</v>
      </c>
      <c r="O363" s="1294"/>
      <c r="P363" s="32"/>
      <c r="Q363" s="32"/>
      <c r="R363" s="32"/>
      <c r="S363" s="32"/>
      <c r="T363" s="32"/>
      <c r="U363" s="32"/>
      <c r="V363" s="32"/>
      <c r="W363" s="32"/>
      <c r="X363" s="32"/>
      <c r="Y363" s="32"/>
      <c r="Z363" s="32"/>
      <c r="AC363" s="32"/>
      <c r="AD363" s="32"/>
      <c r="AE363" s="32"/>
    </row>
    <row r="364" spans="1:46" ht="12.95" customHeight="1">
      <c r="E364" t="s">
        <v>1175</v>
      </c>
      <c r="Y364" s="1294" t="s">
        <v>811</v>
      </c>
      <c r="Z364" s="1294"/>
    </row>
    <row r="365" spans="1:46" ht="12.95" customHeight="1">
      <c r="D365" s="3" t="s">
        <v>1176</v>
      </c>
      <c r="Q365" s="1333"/>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1177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1178</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1179</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1180</v>
      </c>
      <c r="F370" s="3"/>
      <c r="G370" s="3"/>
      <c r="H370" s="3"/>
      <c r="I370" s="3"/>
      <c r="J370" s="3"/>
      <c r="K370" s="3"/>
      <c r="L370" s="3"/>
      <c r="N370" s="1607"/>
      <c r="O370" s="1607"/>
      <c r="P370" s="1607"/>
      <c r="Q370" s="1607"/>
      <c r="R370" s="3"/>
      <c r="U370" s="3" t="s">
        <v>1181</v>
      </c>
      <c r="V370" s="3"/>
      <c r="W370" s="3"/>
      <c r="X370" s="3"/>
      <c r="Y370" s="3"/>
      <c r="Z370" s="3"/>
      <c r="AA370" s="3"/>
      <c r="AB370" s="3"/>
      <c r="AC370" s="1607"/>
      <c r="AD370" s="1607"/>
      <c r="AE370" s="1607"/>
      <c r="AF370" s="1607"/>
    </row>
    <row r="371" spans="1:34" ht="12.95" customHeight="1">
      <c r="E371" s="3" t="s">
        <v>1182</v>
      </c>
      <c r="F371" s="3"/>
      <c r="G371" s="3"/>
      <c r="H371" s="3"/>
      <c r="I371" s="3"/>
      <c r="J371" s="3"/>
      <c r="K371" s="3"/>
      <c r="L371" s="3"/>
      <c r="N371" s="1607"/>
      <c r="O371" s="1607"/>
      <c r="P371" s="1607"/>
      <c r="Q371" s="1607"/>
      <c r="R371" s="3"/>
      <c r="U371" s="3" t="s">
        <v>1183</v>
      </c>
      <c r="V371" s="3"/>
      <c r="W371" s="3"/>
      <c r="X371" s="3"/>
      <c r="Y371" s="3"/>
      <c r="Z371" s="3"/>
      <c r="AA371" s="3"/>
      <c r="AB371" s="3"/>
      <c r="AC371" s="1607"/>
      <c r="AD371" s="1607"/>
      <c r="AE371" s="1607"/>
      <c r="AF371" s="1607"/>
    </row>
    <row r="372" spans="1:34" ht="12.95" customHeight="1">
      <c r="E372" s="3" t="s">
        <v>1184</v>
      </c>
      <c r="F372" s="3"/>
      <c r="G372" s="3"/>
      <c r="H372" s="3"/>
      <c r="I372" s="3"/>
      <c r="J372" s="3"/>
      <c r="K372" s="3"/>
      <c r="L372" s="3"/>
      <c r="N372" s="1607"/>
      <c r="O372" s="1607"/>
      <c r="P372" s="1607"/>
      <c r="Q372" s="1607"/>
      <c r="R372" s="3"/>
      <c r="V372" s="3"/>
      <c r="W372" s="3"/>
      <c r="X372" s="3"/>
      <c r="Y372" s="3"/>
      <c r="Z372" s="3"/>
      <c r="AA372" s="3"/>
      <c r="AB372" s="3"/>
    </row>
    <row r="373" spans="1:34" ht="12.95" customHeight="1">
      <c r="E373" s="3" t="s">
        <v>1185</v>
      </c>
      <c r="F373" s="3"/>
      <c r="G373" s="3"/>
      <c r="H373" s="3"/>
      <c r="I373" s="3"/>
      <c r="J373" s="3"/>
      <c r="K373" s="3"/>
      <c r="L373" s="3"/>
      <c r="N373" s="1749"/>
      <c r="O373" s="1749"/>
      <c r="P373" s="1749"/>
      <c r="Q373" s="1749"/>
      <c r="R373" s="1749"/>
      <c r="S373" s="1749"/>
      <c r="T373" s="1749"/>
      <c r="U373" s="1749"/>
      <c r="V373" s="1749"/>
      <c r="W373" s="1749"/>
      <c r="X373" s="1749"/>
      <c r="Y373" s="1749"/>
      <c r="Z373" s="1749"/>
      <c r="AA373" s="1749"/>
      <c r="AB373" s="1749"/>
      <c r="AC373" s="1749"/>
      <c r="AD373" s="1749"/>
      <c r="AE373" s="1749"/>
      <c r="AF373" s="1749"/>
    </row>
    <row r="374" spans="1:34" ht="12.95"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2.95" customHeight="1">
      <c r="C375" s="412"/>
      <c r="E375" s="3"/>
      <c r="F375" s="3"/>
      <c r="G375" s="3"/>
      <c r="H375" s="3"/>
      <c r="I375" s="3"/>
      <c r="J375" s="3"/>
      <c r="K375" s="3"/>
      <c r="L375" s="3"/>
    </row>
    <row r="376" spans="1:34" ht="12.95" customHeight="1">
      <c r="D376" s="2" t="s">
        <v>1186</v>
      </c>
      <c r="E376" s="2"/>
      <c r="F376" s="3"/>
      <c r="G376" s="3"/>
      <c r="H376" s="3"/>
      <c r="I376" s="3"/>
      <c r="J376" s="3"/>
      <c r="K376" s="3"/>
      <c r="L376" s="3"/>
    </row>
    <row r="377" spans="1:34" ht="12.95" customHeight="1">
      <c r="E377" s="3" t="s">
        <v>1187</v>
      </c>
      <c r="F377" s="3"/>
      <c r="G377" s="3"/>
      <c r="H377" s="3"/>
      <c r="I377" s="3"/>
      <c r="J377" s="3"/>
      <c r="K377" s="3"/>
      <c r="L377" s="3"/>
      <c r="N377" t="s">
        <v>888</v>
      </c>
      <c r="R377" s="23" t="s">
        <v>889</v>
      </c>
      <c r="S377" s="1751"/>
      <c r="T377" s="1751"/>
      <c r="U377" s="1" t="s">
        <v>890</v>
      </c>
      <c r="V377" s="1751"/>
      <c r="W377" s="1751"/>
      <c r="Y377" t="s">
        <v>888</v>
      </c>
      <c r="AC377" s="23" t="s">
        <v>889</v>
      </c>
      <c r="AD377" s="1751"/>
      <c r="AE377" s="1751"/>
      <c r="AF377" s="1" t="s">
        <v>890</v>
      </c>
      <c r="AG377" s="1751"/>
      <c r="AH377" s="1751"/>
    </row>
    <row r="378" spans="1:34" ht="12.95" customHeight="1">
      <c r="E378" s="3" t="s">
        <v>1188</v>
      </c>
      <c r="F378" s="3"/>
      <c r="G378" s="3"/>
      <c r="H378" s="3"/>
      <c r="I378" s="3"/>
      <c r="J378" s="3"/>
      <c r="K378" s="3"/>
      <c r="L378" s="3"/>
      <c r="N378" s="1751"/>
      <c r="O378" s="1751"/>
      <c r="P378" s="1751"/>
    </row>
    <row r="379" spans="1:34" ht="12.95" customHeight="1">
      <c r="E379" s="136" t="s">
        <v>1189</v>
      </c>
      <c r="F379" s="3"/>
      <c r="G379" s="3"/>
      <c r="H379" s="3"/>
      <c r="I379" s="3"/>
      <c r="J379" s="3"/>
      <c r="K379" s="3"/>
      <c r="L379" s="3"/>
      <c r="AG379" s="1742" t="s">
        <v>811</v>
      </c>
      <c r="AH379" s="1742"/>
    </row>
    <row r="380" spans="1:34" ht="12.95" customHeight="1">
      <c r="E380" s="3"/>
      <c r="F380" s="3"/>
      <c r="G380" s="3" t="s">
        <v>1190</v>
      </c>
      <c r="H380" s="3"/>
      <c r="I380" s="3"/>
      <c r="J380" s="3"/>
      <c r="K380" s="3"/>
      <c r="L380" s="3"/>
      <c r="AG380" s="1742" t="s">
        <v>811</v>
      </c>
      <c r="AH380" s="1742"/>
    </row>
    <row r="381" spans="1:34" ht="12.95" customHeight="1">
      <c r="E381" s="3"/>
      <c r="F381" s="3"/>
      <c r="G381" s="225" t="s">
        <v>1191</v>
      </c>
      <c r="H381" s="3"/>
      <c r="I381" s="3"/>
      <c r="J381" s="3"/>
      <c r="K381" s="3"/>
      <c r="L381" s="3"/>
      <c r="V381" s="1294" t="s">
        <v>811</v>
      </c>
      <c r="W381" s="1294"/>
      <c r="Y381" s="19" t="s">
        <v>1192</v>
      </c>
    </row>
    <row r="382" spans="1:34" ht="12.95" customHeight="1">
      <c r="E382" s="3" t="s">
        <v>1193</v>
      </c>
      <c r="F382" s="3"/>
      <c r="G382" s="3"/>
      <c r="H382" s="3"/>
      <c r="I382" s="3"/>
      <c r="J382" s="3"/>
      <c r="K382" s="3"/>
      <c r="L382" s="3"/>
      <c r="V382" s="1294" t="s">
        <v>811</v>
      </c>
      <c r="W382" s="1294"/>
      <c r="Y382" s="3" t="s">
        <v>1194</v>
      </c>
    </row>
    <row r="383" spans="1:34" ht="12.95" customHeight="1"/>
    <row r="384" spans="1:34" ht="12.95" customHeight="1">
      <c r="A384" s="2" t="s">
        <v>1195</v>
      </c>
      <c r="B384" s="2"/>
    </row>
    <row r="385" spans="4:36" ht="12.95" customHeight="1">
      <c r="D385" t="s">
        <v>1196</v>
      </c>
      <c r="J385" s="1333" t="s">
        <v>1197</v>
      </c>
      <c r="K385" s="1333"/>
      <c r="L385" s="1333"/>
      <c r="M385" s="1333"/>
      <c r="N385" s="1333"/>
      <c r="O385" s="1333"/>
      <c r="P385" s="1333"/>
      <c r="Q385" s="1333"/>
      <c r="R385" s="1333"/>
      <c r="S385" s="1333"/>
      <c r="T385" s="1333"/>
      <c r="U385" s="1333"/>
      <c r="V385" s="7" t="s">
        <v>1198</v>
      </c>
      <c r="W385" s="7"/>
      <c r="X385" s="7"/>
      <c r="Y385" s="7"/>
      <c r="Z385" s="7"/>
      <c r="AA385" s="7"/>
      <c r="AB385" s="7"/>
      <c r="AC385" s="1333" t="s">
        <v>1199</v>
      </c>
      <c r="AD385" s="1333"/>
      <c r="AE385" s="1333"/>
      <c r="AF385" s="1333"/>
      <c r="AG385" s="1333"/>
      <c r="AH385" s="1333"/>
      <c r="AI385" s="1333"/>
      <c r="AJ385" s="1333"/>
    </row>
    <row r="386" spans="4:36" ht="12.95" customHeight="1">
      <c r="D386" s="3" t="s">
        <v>1200</v>
      </c>
      <c r="J386" s="1310" t="s">
        <v>1199</v>
      </c>
      <c r="K386" s="1310"/>
      <c r="L386" s="1310"/>
      <c r="M386" s="1310"/>
      <c r="N386" s="1310"/>
      <c r="O386" s="1310"/>
      <c r="P386" s="1310"/>
      <c r="Q386" s="1310"/>
      <c r="R386" s="1310"/>
      <c r="S386" s="1310"/>
      <c r="T386" s="1310"/>
      <c r="U386" s="1310"/>
      <c r="V386" s="3" t="s">
        <v>1200</v>
      </c>
      <c r="W386" s="7"/>
      <c r="X386" s="7"/>
      <c r="Y386" s="7"/>
      <c r="Z386" s="7"/>
      <c r="AA386" s="7"/>
      <c r="AB386" s="7"/>
      <c r="AC386" s="1333"/>
      <c r="AD386" s="1333"/>
      <c r="AE386" s="1333"/>
      <c r="AF386" s="1333"/>
      <c r="AG386" s="1333"/>
      <c r="AH386" s="1333"/>
      <c r="AI386" s="1333"/>
      <c r="AJ386" s="1333"/>
    </row>
    <row r="387" spans="4:36" ht="12.95" customHeight="1">
      <c r="D387" s="3" t="s">
        <v>809</v>
      </c>
      <c r="J387" s="1310" t="s">
        <v>795</v>
      </c>
      <c r="K387" s="1310"/>
      <c r="L387" s="1310"/>
      <c r="M387" s="1310"/>
      <c r="N387" s="1310"/>
      <c r="O387" s="1310"/>
      <c r="P387" s="1310"/>
      <c r="Q387" s="1310"/>
      <c r="R387" s="1310"/>
      <c r="S387" s="1310"/>
      <c r="T387" s="1310"/>
      <c r="U387" s="1310"/>
      <c r="V387" s="3" t="s">
        <v>809</v>
      </c>
      <c r="W387" s="7"/>
      <c r="X387" s="7"/>
      <c r="Y387" s="7"/>
      <c r="Z387" s="7"/>
      <c r="AA387" s="7"/>
      <c r="AB387" s="7"/>
      <c r="AC387" s="1333"/>
      <c r="AD387" s="1333"/>
      <c r="AE387" s="1333"/>
      <c r="AF387" s="1333"/>
      <c r="AG387" s="1333"/>
      <c r="AH387" s="1333"/>
      <c r="AI387" s="1333"/>
      <c r="AJ387" s="1333"/>
    </row>
    <row r="388" spans="4:36" ht="12.95" customHeight="1">
      <c r="D388" t="s">
        <v>1201</v>
      </c>
      <c r="J388" s="1364" t="s">
        <v>1202</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1203</v>
      </c>
      <c r="Q389" s="1692">
        <v>45101</v>
      </c>
      <c r="R389" s="1692"/>
      <c r="S389" s="1692"/>
      <c r="T389" s="1692"/>
      <c r="U389" s="1692"/>
      <c r="V389" t="s">
        <v>1204</v>
      </c>
      <c r="AI389" s="1294" t="s">
        <v>694</v>
      </c>
      <c r="AJ389" s="1294"/>
    </row>
    <row r="390" spans="4:36" ht="12.95" customHeight="1">
      <c r="D390" t="s">
        <v>1205</v>
      </c>
      <c r="Q390" s="1486">
        <v>46022</v>
      </c>
      <c r="R390" s="1755"/>
      <c r="S390" s="1755"/>
      <c r="T390" s="1755"/>
      <c r="U390" s="1755"/>
      <c r="W390" s="18" t="s">
        <v>1206</v>
      </c>
      <c r="AG390" s="1753"/>
      <c r="AH390" s="1753"/>
      <c r="AI390" s="1753"/>
      <c r="AJ390" s="1753"/>
    </row>
    <row r="391" spans="4:36" ht="12.95" customHeight="1">
      <c r="D391" t="s">
        <v>1207</v>
      </c>
      <c r="Q391" s="1483">
        <v>1</v>
      </c>
      <c r="R391" s="1483"/>
      <c r="S391" s="1483"/>
      <c r="T391" s="1483"/>
      <c r="U391" s="1483"/>
      <c r="V391" s="3" t="s">
        <v>1208</v>
      </c>
      <c r="AG391" s="1754"/>
      <c r="AH391" s="1754"/>
      <c r="AI391" s="1754"/>
      <c r="AJ391" s="1754"/>
    </row>
    <row r="392" spans="4:36" ht="12.95" customHeight="1">
      <c r="D392" t="s">
        <v>1068</v>
      </c>
      <c r="I392" s="1382" t="s">
        <v>1209</v>
      </c>
      <c r="J392" s="1382"/>
      <c r="K392" s="1382"/>
      <c r="L392" s="1382"/>
      <c r="M392" s="1382"/>
      <c r="N392" s="1382"/>
      <c r="Q392" s="3" t="s">
        <v>1070</v>
      </c>
      <c r="S392" s="1763"/>
      <c r="T392" s="1763"/>
      <c r="U392" s="1763"/>
      <c r="V392" t="s">
        <v>1210</v>
      </c>
      <c r="AI392" s="1294" t="s">
        <v>694</v>
      </c>
      <c r="AJ392" s="1294"/>
    </row>
    <row r="393" spans="4:36" ht="12.95" customHeight="1">
      <c r="D393" t="s">
        <v>1211</v>
      </c>
      <c r="Q393" s="1370"/>
      <c r="R393" s="1370"/>
      <c r="S393" s="1370"/>
      <c r="T393" s="1370"/>
      <c r="U393" s="1370"/>
      <c r="V393" t="s">
        <v>1212</v>
      </c>
      <c r="AG393" s="1753"/>
      <c r="AH393" s="1753"/>
      <c r="AI393" s="1753"/>
      <c r="AJ393" s="1753"/>
    </row>
    <row r="394" spans="4:36" ht="12.95" customHeight="1">
      <c r="D394" t="s">
        <v>1213</v>
      </c>
      <c r="Q394" s="1696"/>
      <c r="R394" s="1696"/>
      <c r="S394" s="1696"/>
      <c r="T394" s="1696"/>
      <c r="U394" s="1696"/>
      <c r="V394" t="s">
        <v>1214</v>
      </c>
      <c r="AG394" s="1753"/>
      <c r="AH394" s="1753"/>
      <c r="AI394" s="1753"/>
      <c r="AJ394" s="1753"/>
    </row>
    <row r="395" spans="4:36" ht="12.95" customHeight="1">
      <c r="D395" t="s">
        <v>1215</v>
      </c>
      <c r="AG395" s="1753"/>
      <c r="AH395" s="1753"/>
      <c r="AI395" s="1753"/>
      <c r="AJ395" s="1753"/>
    </row>
    <row r="396" spans="4:36" ht="12.95" customHeight="1">
      <c r="AG396" s="1164"/>
      <c r="AH396" s="1164"/>
      <c r="AI396" s="1164"/>
      <c r="AJ396" s="1164"/>
    </row>
    <row r="397" spans="4:36" ht="12.95" customHeight="1">
      <c r="D397" s="3" t="s">
        <v>1216</v>
      </c>
      <c r="AG397" s="1164"/>
      <c r="AH397" s="1164"/>
      <c r="AI397" s="1294" t="s">
        <v>694</v>
      </c>
      <c r="AJ397" s="1294"/>
    </row>
    <row r="398" spans="4:36" ht="12.95" customHeight="1">
      <c r="D398" s="3" t="s">
        <v>1217</v>
      </c>
      <c r="T398" s="1691"/>
      <c r="U398" s="1691"/>
      <c r="V398" s="1691"/>
      <c r="W398" s="1691"/>
      <c r="X398" s="1691"/>
      <c r="Y398" s="1691"/>
      <c r="Z398" s="1691"/>
      <c r="AA398" s="1691"/>
      <c r="AB398" s="1691"/>
      <c r="AC398" s="1691"/>
      <c r="AD398" s="1691"/>
      <c r="AE398" s="1691"/>
      <c r="AF398" s="1691"/>
      <c r="AG398" s="1691"/>
      <c r="AH398" s="1691"/>
      <c r="AI398" s="1691"/>
      <c r="AJ398" s="1691"/>
    </row>
    <row r="399" spans="4:36" ht="12.95" customHeight="1">
      <c r="D399" s="3" t="s">
        <v>1218</v>
      </c>
      <c r="T399" s="1691"/>
      <c r="U399" s="1691"/>
      <c r="V399" s="1691"/>
      <c r="W399" s="1691"/>
      <c r="X399" s="1691"/>
      <c r="Y399" s="1691"/>
      <c r="Z399" s="1691"/>
      <c r="AA399" s="1691"/>
      <c r="AB399" s="1691"/>
      <c r="AC399" s="1691"/>
      <c r="AD399" s="1691"/>
      <c r="AE399" s="1691"/>
      <c r="AF399" s="1691"/>
      <c r="AG399" s="1691"/>
      <c r="AH399" s="1691"/>
      <c r="AI399" s="1691"/>
      <c r="AJ399" s="1691"/>
    </row>
    <row r="400" spans="4:36" ht="12.95" customHeight="1">
      <c r="AG400" s="1164"/>
      <c r="AH400" s="1164"/>
      <c r="AI400" s="1164"/>
      <c r="AJ400" s="1164"/>
    </row>
    <row r="401" spans="1:36" ht="12.95" customHeight="1">
      <c r="D401" s="3" t="s">
        <v>1219</v>
      </c>
      <c r="S401" s="1691" t="s">
        <v>694</v>
      </c>
      <c r="T401" s="1691"/>
      <c r="U401" s="1691"/>
      <c r="V401" t="s">
        <v>1220</v>
      </c>
      <c r="AG401" s="1757"/>
      <c r="AH401" s="1757"/>
      <c r="AI401" s="1757"/>
      <c r="AJ401" s="1757"/>
    </row>
    <row r="402" spans="1:36" ht="12.95" customHeight="1">
      <c r="D402" s="3" t="s">
        <v>1221</v>
      </c>
      <c r="S402" s="1691" t="s">
        <v>811</v>
      </c>
      <c r="T402" s="1691"/>
      <c r="U402" s="1691"/>
      <c r="V402" t="s">
        <v>1222</v>
      </c>
      <c r="AE402" s="1752"/>
      <c r="AF402" s="1752"/>
      <c r="AG402" s="1752"/>
      <c r="AH402" s="1752"/>
      <c r="AI402" s="1752"/>
      <c r="AJ402" s="1752"/>
    </row>
    <row r="403" spans="1:36" ht="12.95" customHeight="1">
      <c r="D403" s="3" t="s">
        <v>1223</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2.95" customHeight="1">
      <c r="D404" s="3" t="s">
        <v>1224</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2.95" customHeight="1">
      <c r="D405" s="3" t="s">
        <v>1225</v>
      </c>
      <c r="E405" s="378"/>
      <c r="F405" s="378"/>
      <c r="G405" s="378"/>
      <c r="H405" s="378"/>
      <c r="I405" s="378"/>
      <c r="J405" s="378"/>
      <c r="K405" s="378"/>
      <c r="L405" s="378"/>
      <c r="M405" s="378"/>
      <c r="N405" s="378"/>
      <c r="O405" s="378"/>
      <c r="P405" s="378"/>
      <c r="Q405" s="378"/>
      <c r="R405" s="378"/>
      <c r="S405" s="1762" t="s">
        <v>1226</v>
      </c>
      <c r="T405" s="1762"/>
      <c r="U405" s="1762"/>
      <c r="V405" s="1762"/>
      <c r="W405" s="1762"/>
      <c r="X405" s="1762"/>
      <c r="Y405" s="1762"/>
      <c r="Z405" s="1762"/>
      <c r="AA405" s="1762"/>
      <c r="AB405" s="1762"/>
      <c r="AC405" s="1762"/>
      <c r="AD405" s="1762"/>
      <c r="AE405" s="1762"/>
      <c r="AF405" s="1762"/>
      <c r="AG405" s="1762"/>
      <c r="AH405" s="1762"/>
      <c r="AI405" s="1762"/>
      <c r="AJ405" s="1762"/>
    </row>
    <row r="406" spans="1:36" ht="12.95" customHeight="1">
      <c r="D406" s="1229" t="s">
        <v>1227</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1009</v>
      </c>
      <c r="B409" s="2"/>
      <c r="C409" s="2" t="s">
        <v>145</v>
      </c>
    </row>
    <row r="410" spans="1:36" ht="12.95" customHeight="1">
      <c r="B410" s="2"/>
      <c r="C410" s="2"/>
      <c r="D410" s="2" t="s">
        <v>1228</v>
      </c>
      <c r="I410" s="1377" t="s">
        <v>1229</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1230</v>
      </c>
      <c r="R411" s="1294" t="s">
        <v>846</v>
      </c>
      <c r="S411" s="1294"/>
      <c r="AC411" s="23" t="s">
        <v>1231</v>
      </c>
      <c r="AD411" s="1607">
        <v>4</v>
      </c>
      <c r="AE411" s="1607"/>
    </row>
    <row r="412" spans="1:36" ht="12.95" customHeight="1">
      <c r="E412" t="s">
        <v>1232</v>
      </c>
      <c r="R412" s="1294" t="s">
        <v>811</v>
      </c>
      <c r="S412" s="1294"/>
      <c r="AC412" s="23" t="s">
        <v>1231</v>
      </c>
      <c r="AD412" s="1607"/>
      <c r="AE412" s="1607"/>
    </row>
    <row r="413" spans="1:36" ht="12.95" customHeight="1">
      <c r="E413" t="s">
        <v>1233</v>
      </c>
      <c r="S413" s="1294" t="s">
        <v>811</v>
      </c>
      <c r="T413" s="1294"/>
    </row>
    <row r="414" spans="1:36" ht="12.95" customHeight="1">
      <c r="E414" t="s">
        <v>233</v>
      </c>
      <c r="H414" s="1697" t="s">
        <v>2740</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2.9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2.95" customHeight="1"/>
    <row r="417" spans="1:39" ht="12.95" customHeight="1">
      <c r="A417" s="2" t="s">
        <v>1020</v>
      </c>
      <c r="B417" s="2"/>
      <c r="C417" s="2"/>
      <c r="D417" s="2" t="s">
        <v>150</v>
      </c>
      <c r="AF417" s="2" t="s">
        <v>1234</v>
      </c>
    </row>
    <row r="418" spans="1:39" ht="12.95" customHeight="1">
      <c r="E418" s="1751"/>
      <c r="F418" s="1751"/>
      <c r="G418" s="1751"/>
      <c r="H418" s="12" t="s">
        <v>1235</v>
      </c>
      <c r="I418" s="1751"/>
      <c r="J418" s="1751"/>
      <c r="K418" s="1751"/>
      <c r="L418" t="s">
        <v>1236</v>
      </c>
      <c r="N418" s="23" t="s">
        <v>36</v>
      </c>
      <c r="P418" s="1700">
        <v>1.77</v>
      </c>
      <c r="Q418" s="1700"/>
      <c r="R418" s="1700"/>
      <c r="S418" t="s">
        <v>1237</v>
      </c>
      <c r="W418" s="1761">
        <f>IF(E418&gt;0,(E418*I418),(P418*43560))</f>
        <v>77101.2</v>
      </c>
      <c r="X418" s="1761"/>
      <c r="Y418" s="1761"/>
      <c r="Z418" t="s">
        <v>1238</v>
      </c>
      <c r="AF418" s="1701">
        <f>IFERROR(IF(P418&gt;0,(AG437/P418),(AG437/(W418/43560))),0)</f>
        <v>20.338983050847457</v>
      </c>
      <c r="AG418" s="1701"/>
      <c r="AH418" s="1701"/>
      <c r="AM418" s="3"/>
    </row>
    <row r="419" spans="1:39" ht="12.95" customHeight="1">
      <c r="E419" t="s">
        <v>1239</v>
      </c>
    </row>
    <row r="420" spans="1:39" ht="12.95" customHeight="1">
      <c r="E420" s="1758"/>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2.95" customHeight="1">
      <c r="E421" s="84" t="s">
        <v>1240</v>
      </c>
      <c r="F421" s="18"/>
      <c r="G421" s="18"/>
      <c r="H421" s="18"/>
      <c r="I421" s="1699"/>
      <c r="J421" s="1699"/>
      <c r="K421" s="1699"/>
      <c r="L421" s="18"/>
      <c r="M421" s="84"/>
      <c r="N421" s="18"/>
      <c r="O421" s="18"/>
      <c r="P421" s="1399" t="e">
        <f>(DU755+DU778+DU800)/I421</f>
        <v>#DIV/0!</v>
      </c>
      <c r="Q421" s="1399"/>
      <c r="R421" s="1399"/>
      <c r="S421" s="84" t="s">
        <v>1241</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1047</v>
      </c>
      <c r="B423" s="2"/>
      <c r="C423" s="2"/>
      <c r="D423" s="2" t="s">
        <v>152</v>
      </c>
    </row>
    <row r="424" spans="1:39" ht="12.95" customHeight="1">
      <c r="E424" t="s">
        <v>1242</v>
      </c>
      <c r="P424" s="1294">
        <v>1</v>
      </c>
      <c r="Q424" s="1294"/>
      <c r="S424" t="s">
        <v>1243</v>
      </c>
      <c r="AE424" s="1294">
        <v>1</v>
      </c>
      <c r="AF424" s="1294"/>
    </row>
    <row r="425" spans="1:39" ht="12.95" customHeight="1">
      <c r="E425" t="s">
        <v>1244</v>
      </c>
      <c r="P425" s="1294">
        <v>1</v>
      </c>
      <c r="Q425" s="1294"/>
      <c r="S425" t="s">
        <v>1245</v>
      </c>
      <c r="AE425" s="1294" t="s">
        <v>846</v>
      </c>
      <c r="AF425" s="1294"/>
    </row>
    <row r="426" spans="1:39" ht="12.95" customHeight="1">
      <c r="F426" s="19" t="s">
        <v>1246</v>
      </c>
    </row>
    <row r="427" spans="1:39" ht="12.95" customHeight="1">
      <c r="F427" s="1741" t="s">
        <v>2741</v>
      </c>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2.95"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2.95" customHeight="1">
      <c r="E429" t="s">
        <v>1247</v>
      </c>
      <c r="P429" s="1"/>
      <c r="Q429" s="1294" t="s">
        <v>846</v>
      </c>
      <c r="R429" s="1294"/>
    </row>
    <row r="430" spans="1:39" ht="12.95" customHeight="1">
      <c r="F430" t="s">
        <v>1248</v>
      </c>
      <c r="P430" s="1"/>
      <c r="Q430" s="1"/>
      <c r="AF430" s="1294" t="s">
        <v>811</v>
      </c>
      <c r="AG430" s="1759"/>
    </row>
    <row r="431" spans="1:39" ht="12.95" customHeight="1"/>
    <row r="432" spans="1:39" ht="12.95" customHeight="1">
      <c r="A432" s="2"/>
      <c r="B432" s="2"/>
      <c r="C432" s="2"/>
      <c r="E432" s="3" t="s">
        <v>1249</v>
      </c>
      <c r="Z432" s="1294" t="s">
        <v>694</v>
      </c>
      <c r="AA432" s="1294"/>
    </row>
    <row r="433" spans="1:55" ht="12.95" customHeight="1">
      <c r="F433" s="31" t="s">
        <v>1250</v>
      </c>
      <c r="G433" s="32"/>
      <c r="H433" s="32"/>
      <c r="I433" s="32"/>
      <c r="J433" s="32"/>
      <c r="K433" s="32"/>
      <c r="L433" s="32"/>
      <c r="M433" s="32"/>
      <c r="N433" s="32"/>
      <c r="O433" s="32"/>
      <c r="P433" s="32"/>
      <c r="Q433" s="32"/>
      <c r="R433" s="32"/>
      <c r="S433" s="32"/>
      <c r="T433" s="32"/>
      <c r="U433" s="32"/>
      <c r="V433" s="32"/>
      <c r="W433" s="32"/>
      <c r="AB433" s="32"/>
    </row>
    <row r="434" spans="1:55" ht="12.95" customHeight="1">
      <c r="F434" t="s">
        <v>1251</v>
      </c>
      <c r="G434" s="32"/>
      <c r="I434" s="32"/>
      <c r="J434" s="32"/>
      <c r="K434" s="32"/>
      <c r="L434" s="32"/>
      <c r="M434" s="32"/>
      <c r="N434" s="32"/>
      <c r="O434" s="19"/>
      <c r="P434" s="32"/>
      <c r="Q434" s="32"/>
      <c r="R434" s="32"/>
      <c r="S434" s="32"/>
      <c r="T434" s="32"/>
      <c r="U434" s="32"/>
      <c r="V434" s="32"/>
      <c r="W434" s="32"/>
      <c r="Z434" s="1294" t="s">
        <v>811</v>
      </c>
      <c r="AA434" s="1294"/>
    </row>
    <row r="435" spans="1:55" ht="12.95" customHeight="1"/>
    <row r="436" spans="1:55" ht="12.95" customHeight="1">
      <c r="A436" s="2" t="s">
        <v>1104</v>
      </c>
      <c r="B436" s="2"/>
      <c r="C436" s="2"/>
      <c r="D436" s="2" t="s">
        <v>159</v>
      </c>
      <c r="AF436" s="40"/>
    </row>
    <row r="437" spans="1:55" ht="12.95" customHeight="1">
      <c r="D437" s="1571" t="s">
        <v>1252</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6">
        <v>36</v>
      </c>
      <c r="AH437" s="1756"/>
      <c r="AI437" s="1756"/>
      <c r="AJ437" s="1756"/>
    </row>
    <row r="438" spans="1:55" ht="12.95" customHeight="1">
      <c r="D438" s="1597" t="s">
        <v>1253</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60">
        <v>0</v>
      </c>
      <c r="AH438" s="1559"/>
      <c r="AI438" s="1559"/>
      <c r="AJ438" s="1559"/>
    </row>
    <row r="439" spans="1:55" ht="12.95" customHeight="1">
      <c r="D439" s="1597" t="s">
        <v>1254</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6">
        <v>35</v>
      </c>
      <c r="AH439" s="1756"/>
      <c r="AI439" s="1756"/>
      <c r="AJ439" s="1756"/>
    </row>
    <row r="440" spans="1:55" ht="12.95" customHeight="1">
      <c r="D440" s="1597" t="s">
        <v>1255</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6">
        <v>35</v>
      </c>
      <c r="AH440" s="1756"/>
      <c r="AI440" s="1756"/>
      <c r="AJ440" s="1756"/>
    </row>
    <row r="441" spans="1:55" ht="12.95" customHeight="1">
      <c r="D441" s="1597" t="s">
        <v>1256</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4">
        <f>IF(ISERROR(AG440/AG439),0,AG440/AG439)</f>
        <v>1</v>
      </c>
      <c r="AH441" s="1744"/>
      <c r="AI441" s="1744"/>
      <c r="AJ441" s="1744"/>
    </row>
    <row r="442" spans="1:55" ht="12.95" customHeight="1">
      <c r="D442" s="1597" t="s">
        <v>1257</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19950</v>
      </c>
      <c r="AH442" s="1638"/>
      <c r="AI442" s="1638"/>
      <c r="AJ442" s="1638"/>
    </row>
    <row r="443" spans="1:55" ht="12.95" customHeight="1">
      <c r="D443" s="1597" t="s">
        <v>1258</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19950</v>
      </c>
      <c r="AH443" s="1638"/>
      <c r="AI443" s="1638"/>
      <c r="AJ443" s="1638"/>
    </row>
    <row r="444" spans="1:55" ht="12.95" customHeight="1">
      <c r="D444" s="1597" t="s">
        <v>1259</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4">
        <f>IF(ISERROR(AG443/AG442),0,AG443/AG442)</f>
        <v>1</v>
      </c>
      <c r="AH444" s="1744"/>
      <c r="AI444" s="1744"/>
      <c r="AJ444" s="1744"/>
    </row>
    <row r="445" spans="1:55" ht="12.95" customHeight="1">
      <c r="D445" s="1597" t="s">
        <v>1260</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4">
        <f>MIN(IF(AG441&gt;AG444,AG444,AG441),1)</f>
        <v>1</v>
      </c>
      <c r="AH445" s="1744"/>
      <c r="AI445" s="1744"/>
      <c r="AJ445" s="1744"/>
    </row>
    <row r="446" spans="1:55" ht="12.95" customHeight="1">
      <c r="D446" s="1597" t="s">
        <v>1261</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2612</v>
      </c>
      <c r="AH446" s="1638"/>
      <c r="AI446" s="1638"/>
      <c r="AJ446" s="1638"/>
      <c r="AZ446" s="3"/>
      <c r="BA446" s="3"/>
      <c r="BB446" s="3"/>
      <c r="BC446" s="3"/>
    </row>
    <row r="447" spans="1:55" ht="12.95" customHeight="1">
      <c r="D447" s="1571" t="s">
        <v>1262</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26578</v>
      </c>
      <c r="AH447" s="1638"/>
      <c r="AI447" s="1638"/>
      <c r="AJ447" s="1638"/>
      <c r="AZ447" s="3"/>
      <c r="BA447" s="3"/>
      <c r="BB447" s="3"/>
      <c r="BC447" s="3"/>
    </row>
    <row r="448" spans="1:55" ht="12.95" customHeight="1">
      <c r="D448" s="1597" t="s">
        <v>1263</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3375</v>
      </c>
      <c r="AH448" s="1638"/>
      <c r="AI448" s="1638"/>
      <c r="AJ448" s="1638"/>
      <c r="AZ448" s="3"/>
      <c r="BA448" s="3"/>
      <c r="BB448" s="3"/>
      <c r="BC448" s="3"/>
    </row>
    <row r="449" spans="1:55" ht="12.95" customHeight="1">
      <c r="D449" s="1597" t="s">
        <v>1264</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0</v>
      </c>
      <c r="AH449" s="1638"/>
      <c r="AI449" s="1638"/>
      <c r="AJ449" s="1638"/>
      <c r="BB449" s="3"/>
      <c r="BC449" s="3"/>
    </row>
    <row r="450" spans="1:55" ht="12.95" customHeight="1">
      <c r="D450" s="1706" t="s">
        <v>1265</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9">
        <f>AG442+AG446+AG448+AG449</f>
        <v>25937</v>
      </c>
      <c r="AH450" s="1779"/>
      <c r="AI450" s="1779"/>
      <c r="AJ450" s="1779"/>
      <c r="AZ450" s="3"/>
      <c r="BA450" s="3"/>
      <c r="BB450" s="3"/>
      <c r="BC450" s="3"/>
    </row>
    <row r="451" spans="1:55" ht="12.95" customHeight="1">
      <c r="D451" s="1686" t="s">
        <v>1266</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2.95"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1267</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537682.25</v>
      </c>
      <c r="AD454" s="1748"/>
      <c r="AE454" s="1748"/>
      <c r="AF454" s="1748"/>
      <c r="AG454" s="415"/>
      <c r="AH454" s="415"/>
      <c r="AI454" s="415"/>
      <c r="AJ454" s="864"/>
      <c r="AZ454" s="3"/>
      <c r="BA454" s="3" t="str">
        <f>AG575</f>
        <v>Yes</v>
      </c>
      <c r="BB454" s="3"/>
      <c r="BC454" s="3"/>
    </row>
    <row r="455" spans="1:55" ht="12.95" customHeight="1">
      <c r="D455" s="137" t="s">
        <v>1268</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537682.25</v>
      </c>
      <c r="AD455" s="1748"/>
      <c r="AE455" s="1748"/>
      <c r="AF455" s="1748"/>
      <c r="AG455" s="415"/>
      <c r="AH455" s="415"/>
      <c r="AI455" s="415"/>
      <c r="AJ455" s="864"/>
      <c r="AZ455" s="3"/>
      <c r="BA455" s="3"/>
      <c r="BB455" s="3"/>
      <c r="BC455" s="3"/>
    </row>
    <row r="456" spans="1:55" ht="12.95" customHeight="1">
      <c r="D456" s="137" t="s">
        <v>1269</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524902.36111111112</v>
      </c>
      <c r="AD456" s="1748"/>
      <c r="AE456" s="1748"/>
      <c r="AF456" s="1748"/>
      <c r="AG456" s="415"/>
      <c r="AH456" s="415"/>
      <c r="AI456" s="415"/>
      <c r="AJ456" s="864"/>
      <c r="AZ456" s="3"/>
      <c r="BA456" s="3"/>
      <c r="BB456" s="3"/>
      <c r="BC456" s="3"/>
    </row>
    <row r="457" spans="1:55" ht="12.95" customHeight="1">
      <c r="D457" s="415"/>
      <c r="E457" s="415"/>
      <c r="F457" s="1674" t="str">
        <f>IFERROR(IF(AC454&gt;650000,"Please provide a justification of cost per unit in Tab 12 for all projects with per unit costs of greater than $650,000.",""),"")</f>
        <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2.95"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2.95" customHeight="1">
      <c r="A459" s="2" t="s">
        <v>1270</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1271</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1272</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1273</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1274</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3" t="s">
        <v>1275</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3" t="s">
        <v>1276</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3" t="s">
        <v>1277</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3" t="s">
        <v>1278</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3" t="s">
        <v>1279</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3" t="s">
        <v>1280</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3" t="s">
        <v>1281</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3" t="s">
        <v>1282</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3" t="s">
        <v>1283</v>
      </c>
      <c r="E473" s="1694"/>
      <c r="F473" s="1694"/>
      <c r="G473" s="1694"/>
      <c r="H473" s="1694"/>
      <c r="I473" s="1694"/>
      <c r="J473" s="1694"/>
      <c r="K473" s="1694"/>
      <c r="L473" s="1694"/>
      <c r="M473" s="1694"/>
      <c r="N473" s="1694"/>
      <c r="O473" s="1694"/>
      <c r="P473" s="1694"/>
      <c r="Q473" s="1694"/>
      <c r="R473" s="1694"/>
      <c r="S473" s="1694"/>
      <c r="T473" s="1694"/>
      <c r="U473" s="1694"/>
      <c r="V473" s="1695"/>
      <c r="W473" s="1609">
        <v>19</v>
      </c>
      <c r="X473" s="1610"/>
      <c r="Y473" s="161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40"/>
      <c r="H474" s="1641"/>
      <c r="I474" s="1641"/>
      <c r="J474" s="1641"/>
      <c r="K474" s="1641"/>
      <c r="L474" s="1641"/>
      <c r="M474" s="1641"/>
      <c r="N474" s="1641"/>
      <c r="O474" s="1641"/>
      <c r="P474" s="1641"/>
      <c r="Q474" s="1641"/>
      <c r="R474" s="1641"/>
      <c r="S474" s="1641"/>
      <c r="T474" s="1641"/>
      <c r="U474" s="1641"/>
      <c r="V474" s="1642"/>
      <c r="W474" s="1609">
        <v>0</v>
      </c>
      <c r="X474" s="1610"/>
      <c r="Y474" s="161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1284</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381" t="s">
        <v>1285</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871</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3" t="s">
        <v>1286</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2.95" customHeight="1">
      <c r="B486" s="37" t="s">
        <v>1287</v>
      </c>
      <c r="C486" s="5"/>
      <c r="D486" s="5"/>
      <c r="E486" s="5"/>
      <c r="F486" s="5"/>
      <c r="G486" s="5"/>
      <c r="H486" s="5"/>
      <c r="I486" s="5"/>
      <c r="J486" s="5"/>
      <c r="K486" s="5"/>
      <c r="L486" s="5"/>
      <c r="M486" s="5"/>
      <c r="N486" s="5"/>
      <c r="O486" s="5"/>
      <c r="P486" s="5"/>
      <c r="Q486" s="1526" t="s">
        <v>1288</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2.95" customHeight="1">
      <c r="B487" s="37" t="s">
        <v>1289</v>
      </c>
      <c r="C487" s="5"/>
      <c r="D487" s="5"/>
      <c r="E487" s="5"/>
      <c r="F487" s="5"/>
      <c r="G487" s="5"/>
      <c r="H487" s="5"/>
      <c r="I487" s="5"/>
      <c r="J487" s="5"/>
      <c r="K487" s="5"/>
      <c r="L487" s="5"/>
      <c r="M487" s="5"/>
      <c r="N487" s="5"/>
      <c r="O487" s="5"/>
      <c r="P487" s="5"/>
      <c r="Q487" s="1526" t="s">
        <v>1290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2.95" customHeight="1">
      <c r="B488" s="37" t="s">
        <v>1291</v>
      </c>
      <c r="C488" s="5"/>
      <c r="D488" s="5"/>
      <c r="E488" s="5"/>
      <c r="F488" s="5"/>
      <c r="G488" s="5"/>
      <c r="H488" s="5"/>
      <c r="I488" s="5"/>
      <c r="J488" s="5"/>
      <c r="K488" s="5"/>
      <c r="L488" s="5"/>
      <c r="M488" s="5"/>
      <c r="N488" s="5"/>
      <c r="O488" s="5"/>
      <c r="P488" s="5"/>
      <c r="Q488" s="1526" t="s">
        <v>1292</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2.95" customHeight="1">
      <c r="B489" s="1767" t="s">
        <v>1293</v>
      </c>
      <c r="C489" s="1768"/>
      <c r="D489" s="1768"/>
      <c r="E489" s="1768"/>
      <c r="F489" s="1768"/>
      <c r="G489" s="1768"/>
      <c r="H489" s="1768"/>
      <c r="I489" s="1768"/>
      <c r="J489" s="1768"/>
      <c r="K489" s="1768"/>
      <c r="L489" s="1768"/>
      <c r="M489" s="1768"/>
      <c r="N489" s="1768"/>
      <c r="O489" s="1768"/>
      <c r="P489" s="1769"/>
      <c r="Q489" s="1773" t="s">
        <v>694</v>
      </c>
      <c r="R489" s="1774"/>
      <c r="S489" s="1709" t="s">
        <v>1294</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2.95" customHeight="1">
      <c r="B490" s="1770"/>
      <c r="C490" s="1771"/>
      <c r="D490" s="1771"/>
      <c r="E490" s="1771"/>
      <c r="F490" s="1771"/>
      <c r="G490" s="1771"/>
      <c r="H490" s="1771"/>
      <c r="I490" s="1771"/>
      <c r="J490" s="1771"/>
      <c r="K490" s="1771"/>
      <c r="L490" s="1771"/>
      <c r="M490" s="1771"/>
      <c r="N490" s="1771"/>
      <c r="O490" s="1771"/>
      <c r="P490" s="1772"/>
      <c r="Q490" s="1775"/>
      <c r="R490" s="1776"/>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2.95" customHeight="1">
      <c r="B491" s="791" t="s">
        <v>1295</v>
      </c>
      <c r="C491" s="772"/>
      <c r="D491" s="772"/>
      <c r="E491" s="772"/>
      <c r="F491" s="772"/>
      <c r="G491" s="772"/>
      <c r="H491" s="772"/>
      <c r="I491" s="772"/>
      <c r="J491" s="772"/>
      <c r="K491" s="772"/>
      <c r="L491" s="772"/>
      <c r="M491" s="772"/>
      <c r="N491" s="772"/>
      <c r="O491" s="772"/>
      <c r="P491" s="772"/>
      <c r="Q491" s="1780" t="s">
        <v>971</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2.95" customHeight="1">
      <c r="B492" s="37" t="s">
        <v>1296</v>
      </c>
      <c r="C492" s="5"/>
      <c r="D492" s="5"/>
      <c r="E492" s="5"/>
      <c r="F492" s="5"/>
      <c r="G492" s="5"/>
      <c r="H492" s="5"/>
      <c r="I492" s="5"/>
      <c r="J492" s="5"/>
      <c r="K492" s="5"/>
      <c r="L492" s="5"/>
      <c r="M492" s="5"/>
      <c r="N492" s="5"/>
      <c r="O492" s="5"/>
      <c r="P492" s="5"/>
      <c r="Q492" s="1526" t="s">
        <v>1297</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2.95" customHeight="1">
      <c r="B493" s="37" t="s">
        <v>1298</v>
      </c>
      <c r="C493" s="5"/>
      <c r="D493" s="5"/>
      <c r="E493" s="5"/>
      <c r="F493" s="5"/>
      <c r="G493" s="5"/>
      <c r="H493" s="5"/>
      <c r="I493" s="5"/>
      <c r="J493" s="5"/>
      <c r="K493" s="5"/>
      <c r="L493" s="5"/>
      <c r="M493" s="5"/>
      <c r="N493" s="5"/>
      <c r="O493" s="5"/>
      <c r="P493" s="5"/>
      <c r="Q493" s="1497" t="s">
        <v>1299</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2.95" customHeight="1">
      <c r="B494" s="87" t="s">
        <v>1300</v>
      </c>
      <c r="C494" s="5"/>
      <c r="D494" s="5"/>
      <c r="E494" s="5"/>
      <c r="F494" s="5"/>
      <c r="G494" s="5"/>
      <c r="H494" s="5"/>
      <c r="I494" s="5"/>
      <c r="J494" s="5"/>
      <c r="K494" s="5"/>
      <c r="L494" s="5"/>
      <c r="M494" s="5"/>
      <c r="N494" s="5"/>
      <c r="O494" s="5"/>
      <c r="P494" s="5"/>
      <c r="Q494" s="1526" t="s">
        <v>1301</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2.95" customHeight="1">
      <c r="B495" s="87" t="s">
        <v>1302</v>
      </c>
      <c r="C495" s="5"/>
      <c r="D495" s="5"/>
      <c r="E495" s="5"/>
      <c r="F495" s="5"/>
      <c r="G495" s="5"/>
      <c r="H495" s="5"/>
      <c r="I495" s="5"/>
      <c r="J495" s="5"/>
      <c r="K495" s="5"/>
      <c r="L495" s="5"/>
      <c r="M495" s="1404"/>
      <c r="N495" s="1405"/>
      <c r="O495" s="1405"/>
      <c r="P495" s="1406"/>
      <c r="Q495" s="87" t="s">
        <v>1303</v>
      </c>
      <c r="R495" s="5"/>
      <c r="S495" s="5"/>
      <c r="T495" s="5"/>
      <c r="U495" s="5"/>
      <c r="V495" s="5"/>
      <c r="W495" s="5"/>
      <c r="X495" s="5"/>
      <c r="Y495" s="5"/>
      <c r="Z495" s="5"/>
      <c r="AA495" s="5"/>
      <c r="AB495" s="5"/>
      <c r="AC495" s="5"/>
      <c r="AD495" s="5"/>
      <c r="AE495" s="5"/>
      <c r="AF495" s="5"/>
      <c r="AG495" s="5"/>
      <c r="AH495" s="1404"/>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912</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1304</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1305</v>
      </c>
      <c r="AD500" s="1704"/>
      <c r="AE500" s="1704"/>
      <c r="AF500" s="1704"/>
      <c r="AG500" s="42" t="s">
        <v>1306</v>
      </c>
      <c r="AH500" s="1704" t="s">
        <v>1307</v>
      </c>
      <c r="AI500" s="1704"/>
      <c r="AJ500" s="1704"/>
      <c r="AK500" s="1705"/>
      <c r="AZ500" s="3"/>
      <c r="BA500" s="3"/>
      <c r="BB500" s="3"/>
      <c r="BC500" s="3"/>
      <c r="BD500" s="3"/>
      <c r="BE500" s="3"/>
      <c r="BF500" s="3"/>
      <c r="BG500" s="3"/>
      <c r="BH500" s="3"/>
      <c r="BI500" s="3"/>
      <c r="BJ500" s="3"/>
      <c r="BK500" s="3"/>
      <c r="BL500" s="3"/>
      <c r="BM500" s="3"/>
      <c r="BN500" s="3"/>
    </row>
    <row r="501" spans="1:66" ht="12.95" customHeight="1">
      <c r="B501" s="1616" t="s">
        <v>1308</v>
      </c>
      <c r="C501" s="1389"/>
      <c r="D501" s="1389"/>
      <c r="E501" s="1389"/>
      <c r="F501" s="1389"/>
      <c r="G501" s="1389"/>
      <c r="H501" s="1390"/>
      <c r="I501" s="34" t="s">
        <v>1309</v>
      </c>
      <c r="J501" s="34"/>
      <c r="K501" s="34"/>
      <c r="L501" s="34"/>
      <c r="M501" s="34"/>
      <c r="N501" s="34"/>
      <c r="O501" s="34"/>
      <c r="P501" s="34"/>
      <c r="Q501" s="34"/>
      <c r="R501" s="34"/>
      <c r="S501" s="34"/>
      <c r="T501" s="34"/>
      <c r="U501" s="34"/>
      <c r="V501" s="34"/>
      <c r="W501" s="34"/>
      <c r="AC501" s="1606">
        <v>7</v>
      </c>
      <c r="AD501" s="1607"/>
      <c r="AE501" s="1607"/>
      <c r="AF501" s="1607"/>
      <c r="AG501" s="12" t="s">
        <v>1306</v>
      </c>
      <c r="AH501" s="1364">
        <v>2023</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17"/>
      <c r="C502" s="1391"/>
      <c r="D502" s="1391"/>
      <c r="E502" s="1391"/>
      <c r="F502" s="1391"/>
      <c r="G502" s="1391"/>
      <c r="H502" s="1392"/>
      <c r="I502" s="40" t="s">
        <v>1310</v>
      </c>
      <c r="J502" s="40"/>
      <c r="K502" s="40"/>
      <c r="L502" s="40"/>
      <c r="M502" s="40"/>
      <c r="N502" s="40"/>
      <c r="O502" s="40"/>
      <c r="P502" s="40"/>
      <c r="Q502" s="40"/>
      <c r="R502" s="40"/>
      <c r="S502" s="40"/>
      <c r="T502" s="40"/>
      <c r="U502" s="40"/>
      <c r="V502" s="40"/>
      <c r="W502" s="40"/>
      <c r="X502" s="40"/>
      <c r="Y502" s="40"/>
      <c r="Z502" s="40"/>
      <c r="AA502" s="40"/>
      <c r="AB502" s="40"/>
      <c r="AC502" s="1606">
        <v>7</v>
      </c>
      <c r="AD502" s="1607"/>
      <c r="AE502" s="1607"/>
      <c r="AF502" s="1607"/>
      <c r="AG502" s="30" t="s">
        <v>1306</v>
      </c>
      <c r="AH502" s="1364">
        <v>2023</v>
      </c>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16" t="s">
        <v>1311</v>
      </c>
      <c r="C503" s="1389"/>
      <c r="D503" s="1389"/>
      <c r="E503" s="1389"/>
      <c r="F503" s="1389"/>
      <c r="G503" s="1389"/>
      <c r="H503" s="1390"/>
      <c r="I503" s="34" t="s">
        <v>1312</v>
      </c>
      <c r="J503" s="34"/>
      <c r="K503" s="34"/>
      <c r="L503" s="34"/>
      <c r="M503" s="34"/>
      <c r="N503" s="34"/>
      <c r="O503" s="34"/>
      <c r="P503" s="34"/>
      <c r="Q503" s="34"/>
      <c r="R503" s="34"/>
      <c r="S503" s="34"/>
      <c r="T503" s="34"/>
      <c r="U503" s="34"/>
      <c r="V503" s="34"/>
      <c r="W503" s="34"/>
      <c r="AC503" s="1606" t="s">
        <v>811</v>
      </c>
      <c r="AD503" s="1607"/>
      <c r="AE503" s="1607"/>
      <c r="AF503" s="1607"/>
      <c r="AG503" s="12" t="s">
        <v>1306</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17"/>
      <c r="C504" s="1391"/>
      <c r="D504" s="1391"/>
      <c r="E504" s="1391"/>
      <c r="F504" s="1391"/>
      <c r="G504" s="1391"/>
      <c r="H504" s="1392"/>
      <c r="I504" t="s">
        <v>1313</v>
      </c>
      <c r="AC504" s="1606" t="s">
        <v>811</v>
      </c>
      <c r="AD504" s="1607"/>
      <c r="AE504" s="1607"/>
      <c r="AF504" s="1607"/>
      <c r="AG504" s="12" t="s">
        <v>1306</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17"/>
      <c r="C505" s="1391"/>
      <c r="D505" s="1391"/>
      <c r="E505" s="1391"/>
      <c r="F505" s="1391"/>
      <c r="G505" s="1391"/>
      <c r="H505" s="1392"/>
      <c r="I505" t="s">
        <v>1314</v>
      </c>
      <c r="AC505" s="1606">
        <v>1</v>
      </c>
      <c r="AD505" s="1607"/>
      <c r="AE505" s="1607"/>
      <c r="AF505" s="1607"/>
      <c r="AG505" s="12" t="s">
        <v>1306</v>
      </c>
      <c r="AH505" s="1364">
        <v>2024</v>
      </c>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17"/>
      <c r="C506" s="1391"/>
      <c r="D506" s="1391"/>
      <c r="E506" s="1391"/>
      <c r="F506" s="1391"/>
      <c r="G506" s="1391"/>
      <c r="H506" s="1392"/>
      <c r="I506" t="s">
        <v>1315</v>
      </c>
      <c r="AC506" s="1606">
        <v>5</v>
      </c>
      <c r="AD506" s="1607"/>
      <c r="AE506" s="1607"/>
      <c r="AF506" s="1607"/>
      <c r="AG506" s="12" t="s">
        <v>1306</v>
      </c>
      <c r="AH506" s="1364">
        <v>2026</v>
      </c>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17"/>
      <c r="C507" s="1391"/>
      <c r="D507" s="1391"/>
      <c r="E507" s="1391"/>
      <c r="F507" s="1391"/>
      <c r="G507" s="1391"/>
      <c r="H507" s="1392"/>
      <c r="I507" s="3" t="s">
        <v>1316</v>
      </c>
      <c r="AC507" s="1299">
        <v>5</v>
      </c>
      <c r="AD507" s="1300"/>
      <c r="AE507" s="1300"/>
      <c r="AF507" s="1300"/>
      <c r="AG507" s="12" t="s">
        <v>1306</v>
      </c>
      <c r="AH507" s="1364">
        <v>2026</v>
      </c>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17"/>
      <c r="C508" s="1391"/>
      <c r="D508" s="1391"/>
      <c r="E508" s="1391"/>
      <c r="F508" s="1391"/>
      <c r="G508" s="1391"/>
      <c r="H508" s="1392"/>
      <c r="I508" s="792" t="s">
        <v>233</v>
      </c>
      <c r="J508" s="40"/>
      <c r="K508" s="40"/>
      <c r="L508" s="1690" t="s">
        <v>1317</v>
      </c>
      <c r="M508" s="1691"/>
      <c r="N508" s="1691"/>
      <c r="O508" s="1691"/>
      <c r="P508" s="1691"/>
      <c r="Q508" s="1691"/>
      <c r="R508" s="1691"/>
      <c r="S508" s="1691"/>
      <c r="T508" s="1691"/>
      <c r="U508" s="1691"/>
      <c r="V508" s="1691"/>
      <c r="W508" s="1691"/>
      <c r="X508" s="1691"/>
      <c r="Y508" s="1691"/>
      <c r="Z508" s="1691"/>
      <c r="AA508" s="1691"/>
      <c r="AB508" s="1778"/>
      <c r="AC508" s="1606" t="s">
        <v>811</v>
      </c>
      <c r="AD508" s="1607"/>
      <c r="AE508" s="1607"/>
      <c r="AF508" s="1607"/>
      <c r="AG508" s="30" t="s">
        <v>1306</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1318</v>
      </c>
      <c r="AC509" s="1756" t="s">
        <v>846</v>
      </c>
      <c r="AD509" s="1756"/>
      <c r="AE509" s="1756"/>
      <c r="AF509" s="1756"/>
      <c r="AG509" s="12"/>
      <c r="AH509" s="1297"/>
      <c r="AI509" s="1297"/>
      <c r="AJ509" s="1297"/>
      <c r="AK509" s="161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1319</v>
      </c>
      <c r="AC510" s="1299">
        <v>1</v>
      </c>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1320</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1321</v>
      </c>
      <c r="J512" s="40"/>
      <c r="K512" s="40"/>
      <c r="L512" s="40"/>
      <c r="M512" s="40"/>
      <c r="N512" s="40"/>
      <c r="O512" s="40"/>
      <c r="P512" s="40"/>
      <c r="Q512" s="40"/>
      <c r="R512" s="40"/>
      <c r="S512" s="40"/>
      <c r="T512" s="40"/>
      <c r="U512" s="40"/>
      <c r="V512" s="40"/>
      <c r="W512" s="40"/>
      <c r="X512" s="40"/>
      <c r="Y512" s="40"/>
      <c r="Z512" s="40"/>
      <c r="AA512" s="40"/>
      <c r="AB512" s="40"/>
      <c r="AC512" s="1764">
        <v>0.5</v>
      </c>
      <c r="AD512" s="1765"/>
      <c r="AE512" s="1765"/>
      <c r="AF512" s="1766"/>
      <c r="AG512" s="30"/>
      <c r="AH512" s="1688"/>
      <c r="AI512" s="1688"/>
      <c r="AJ512" s="1688"/>
      <c r="AK512" s="1689"/>
      <c r="AZ512" s="3"/>
      <c r="BA512" s="3"/>
      <c r="BB512" s="3"/>
      <c r="BC512" s="3"/>
      <c r="BD512" s="3"/>
      <c r="BE512" s="3"/>
      <c r="BF512" s="3"/>
      <c r="BG512" s="3"/>
      <c r="BH512" s="3"/>
      <c r="BI512" s="3"/>
      <c r="BJ512" s="3"/>
      <c r="BK512" s="3"/>
      <c r="BL512" s="3"/>
      <c r="BM512" s="3"/>
      <c r="BN512" s="3" t="s">
        <v>1028</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1305</v>
      </c>
      <c r="AD513" s="1582"/>
      <c r="AE513" s="1582"/>
      <c r="AF513" s="1582"/>
      <c r="AG513" s="30" t="s">
        <v>1306</v>
      </c>
      <c r="AH513" s="1582" t="s">
        <v>1307</v>
      </c>
      <c r="AI513" s="1582"/>
      <c r="AJ513" s="1582"/>
      <c r="AK513" s="1777"/>
      <c r="AZ513" s="3"/>
      <c r="BA513" s="3"/>
      <c r="BB513" s="3"/>
      <c r="BC513" s="3"/>
      <c r="BD513" s="3"/>
      <c r="BE513" s="3"/>
      <c r="BF513" s="3"/>
      <c r="BG513" s="3"/>
      <c r="BH513" s="3"/>
      <c r="BI513" s="3"/>
      <c r="BJ513" s="3"/>
      <c r="BK513" s="3"/>
      <c r="BL513" s="3"/>
      <c r="BM513" s="3"/>
      <c r="BN513" s="3" t="s">
        <v>1322</v>
      </c>
    </row>
    <row r="514" spans="2:66" ht="12.95" customHeight="1">
      <c r="B514" s="1616" t="s">
        <v>1323</v>
      </c>
      <c r="C514" s="1389"/>
      <c r="D514" s="1389"/>
      <c r="E514" s="1389"/>
      <c r="F514" s="1389"/>
      <c r="G514" s="1389"/>
      <c r="H514" s="1390"/>
      <c r="I514" s="34" t="s">
        <v>1324</v>
      </c>
      <c r="J514" s="34"/>
      <c r="K514" s="34"/>
      <c r="L514" s="34"/>
      <c r="M514" s="34"/>
      <c r="N514" s="34"/>
      <c r="O514" s="34"/>
      <c r="P514" s="34"/>
      <c r="Q514" s="34"/>
      <c r="R514" s="34"/>
      <c r="S514" s="34"/>
      <c r="T514" s="34"/>
      <c r="U514" s="34"/>
      <c r="V514" s="34"/>
      <c r="W514" s="34"/>
      <c r="AC514" s="1606">
        <v>8</v>
      </c>
      <c r="AD514" s="1607"/>
      <c r="AE514" s="1607"/>
      <c r="AF514" s="1607"/>
      <c r="AG514" s="12" t="s">
        <v>1306</v>
      </c>
      <c r="AH514" s="1364">
        <v>2025</v>
      </c>
      <c r="AI514" s="1364"/>
      <c r="AJ514" s="1364"/>
      <c r="AK514" s="1365"/>
      <c r="AZ514" s="3"/>
      <c r="BA514" s="3"/>
      <c r="BB514" s="3"/>
      <c r="BC514" s="3"/>
      <c r="BD514" s="3"/>
      <c r="BE514" s="3"/>
      <c r="BF514" s="3"/>
      <c r="BG514" s="3"/>
      <c r="BH514" s="3"/>
      <c r="BI514" s="3"/>
      <c r="BJ514" s="3"/>
      <c r="BK514" s="3"/>
      <c r="BL514" s="3"/>
      <c r="BM514" s="3"/>
      <c r="BN514" s="3" t="s">
        <v>1325</v>
      </c>
    </row>
    <row r="515" spans="2:66" ht="12.95" customHeight="1">
      <c r="B515" s="1617"/>
      <c r="C515" s="1391"/>
      <c r="D515" s="1391"/>
      <c r="E515" s="1391"/>
      <c r="F515" s="1391"/>
      <c r="G515" s="1391"/>
      <c r="H515" s="1392"/>
      <c r="I515" t="s">
        <v>1326</v>
      </c>
      <c r="AC515" s="1606">
        <v>8</v>
      </c>
      <c r="AD515" s="1607"/>
      <c r="AE515" s="1607"/>
      <c r="AF515" s="1607"/>
      <c r="AG515" s="12" t="s">
        <v>1306</v>
      </c>
      <c r="AH515" s="1364">
        <v>2025</v>
      </c>
      <c r="AI515" s="1364"/>
      <c r="AJ515" s="1364"/>
      <c r="AK515" s="1365"/>
      <c r="AZ515" s="3"/>
      <c r="BA515" s="3"/>
      <c r="BB515" s="3"/>
      <c r="BC515" s="3"/>
      <c r="BD515" s="3"/>
      <c r="BE515" s="3"/>
      <c r="BF515" s="3"/>
      <c r="BG515" s="3"/>
      <c r="BH515" s="3"/>
      <c r="BI515" s="3"/>
      <c r="BJ515" s="3"/>
      <c r="BK515" s="3"/>
      <c r="BL515" s="3"/>
      <c r="BM515" s="3"/>
      <c r="BN515" s="3" t="s">
        <v>1327</v>
      </c>
    </row>
    <row r="516" spans="2:66" ht="12.95" customHeight="1">
      <c r="B516" s="1617"/>
      <c r="C516" s="1391"/>
      <c r="D516" s="1391"/>
      <c r="E516" s="1391"/>
      <c r="F516" s="1391"/>
      <c r="G516" s="1391"/>
      <c r="H516" s="1392"/>
      <c r="I516" s="40" t="s">
        <v>1328</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1306</v>
      </c>
      <c r="AH516" s="1364">
        <v>2026</v>
      </c>
      <c r="AI516" s="1364"/>
      <c r="AJ516" s="1364"/>
      <c r="AK516" s="1365"/>
      <c r="AZ516" s="3"/>
      <c r="BA516" s="3"/>
      <c r="BB516" s="3"/>
      <c r="BC516" s="3"/>
      <c r="BD516" s="3"/>
      <c r="BE516" s="3"/>
      <c r="BF516" s="3"/>
      <c r="BG516" s="3"/>
      <c r="BH516" s="3"/>
      <c r="BI516" s="3"/>
      <c r="BJ516" s="3"/>
      <c r="BK516" s="3"/>
      <c r="BL516" s="3"/>
      <c r="BM516" s="3"/>
      <c r="BN516" s="3" t="s">
        <v>1329</v>
      </c>
    </row>
    <row r="517" spans="2:66" ht="12.95" customHeight="1">
      <c r="B517" s="1616" t="s">
        <v>1330</v>
      </c>
      <c r="C517" s="1389"/>
      <c r="D517" s="1389"/>
      <c r="E517" s="1389"/>
      <c r="F517" s="1389"/>
      <c r="G517" s="1389"/>
      <c r="H517" s="1390"/>
      <c r="I517" s="34" t="s">
        <v>1324</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1306</v>
      </c>
      <c r="AH517" s="1364">
        <v>2025</v>
      </c>
      <c r="AI517" s="1364"/>
      <c r="AJ517" s="1364"/>
      <c r="AK517" s="1365"/>
      <c r="AZ517" s="3"/>
      <c r="BB517" s="3"/>
      <c r="BC517" s="3"/>
      <c r="BD517" s="3"/>
      <c r="BE517" s="3"/>
      <c r="BF517" s="3"/>
      <c r="BG517" s="3"/>
      <c r="BH517" s="3"/>
      <c r="BI517" s="3"/>
      <c r="BJ517" s="3"/>
      <c r="BK517" s="3"/>
      <c r="BL517" s="3"/>
      <c r="BM517" s="3"/>
      <c r="BN517" s="3" t="s">
        <v>1331</v>
      </c>
    </row>
    <row r="518" spans="2:66" ht="12.95" customHeight="1">
      <c r="B518" s="1617"/>
      <c r="C518" s="1391"/>
      <c r="D518" s="1391"/>
      <c r="E518" s="1391"/>
      <c r="F518" s="1391"/>
      <c r="G518" s="1391"/>
      <c r="H518" s="1392"/>
      <c r="I518" t="s">
        <v>1326</v>
      </c>
      <c r="AC518" s="1606">
        <v>8</v>
      </c>
      <c r="AD518" s="1607"/>
      <c r="AE518" s="1607"/>
      <c r="AF518" s="1607"/>
      <c r="AG518" s="12" t="s">
        <v>1306</v>
      </c>
      <c r="AH518" s="1364">
        <v>2025</v>
      </c>
      <c r="AI518" s="1364"/>
      <c r="AJ518" s="1364"/>
      <c r="AK518" s="1365"/>
      <c r="BB518" s="3"/>
      <c r="BC518" s="3"/>
      <c r="BD518" s="3"/>
      <c r="BE518" s="3"/>
      <c r="BF518" s="3"/>
      <c r="BG518" s="3"/>
      <c r="BH518" s="3"/>
      <c r="BI518" s="3"/>
      <c r="BJ518" s="3"/>
      <c r="BK518" s="3"/>
      <c r="BL518" s="3"/>
      <c r="BM518" s="3"/>
      <c r="BN518" s="3" t="s">
        <v>1332</v>
      </c>
    </row>
    <row r="519" spans="2:66" ht="12.95" customHeight="1">
      <c r="B519" s="1618"/>
      <c r="C519" s="1393"/>
      <c r="D519" s="1393"/>
      <c r="E519" s="1393"/>
      <c r="F519" s="1393"/>
      <c r="G519" s="1393"/>
      <c r="H519" s="1394"/>
      <c r="I519" s="40" t="s">
        <v>1328</v>
      </c>
      <c r="J519" s="40"/>
      <c r="K519" s="40"/>
      <c r="L519" s="40"/>
      <c r="M519" s="40"/>
      <c r="N519" s="40"/>
      <c r="O519" s="40"/>
      <c r="P519" s="40"/>
      <c r="Q519" s="40"/>
      <c r="R519" s="40"/>
      <c r="S519" s="40"/>
      <c r="T519" s="40"/>
      <c r="U519" s="40"/>
      <c r="V519" s="40"/>
      <c r="W519" s="40"/>
      <c r="X519" s="40"/>
      <c r="Y519" s="40"/>
      <c r="Z519" s="40"/>
      <c r="AA519" s="40"/>
      <c r="AB519" s="40"/>
      <c r="AC519" s="1606">
        <v>11</v>
      </c>
      <c r="AD519" s="1607"/>
      <c r="AE519" s="1607"/>
      <c r="AF519" s="1607"/>
      <c r="AG519" s="30" t="s">
        <v>1306</v>
      </c>
      <c r="AH519" s="1364">
        <v>2027</v>
      </c>
      <c r="AI519" s="1364"/>
      <c r="AJ519" s="1364"/>
      <c r="AK519" s="1365"/>
      <c r="BB519" s="3"/>
      <c r="BC519" s="3"/>
      <c r="BD519" s="3"/>
      <c r="BE519" s="3"/>
      <c r="BF519" s="3"/>
      <c r="BG519" s="3"/>
      <c r="BH519" s="3"/>
      <c r="BI519" s="3"/>
      <c r="BJ519" s="3"/>
      <c r="BK519" s="3"/>
      <c r="BL519" s="3"/>
      <c r="BM519" s="3"/>
      <c r="BN519" s="3" t="s">
        <v>1333</v>
      </c>
    </row>
    <row r="520" spans="2:66" ht="12.95" customHeight="1">
      <c r="B520" s="1616" t="s">
        <v>1334</v>
      </c>
      <c r="C520" s="1389"/>
      <c r="D520" s="1389"/>
      <c r="E520" s="1389"/>
      <c r="F520" s="1389"/>
      <c r="G520" s="1389"/>
      <c r="H520" s="1390"/>
      <c r="I520" s="33" t="s">
        <v>1335</v>
      </c>
      <c r="J520" s="34"/>
      <c r="K520" s="34"/>
      <c r="L520" s="34"/>
      <c r="M520" s="34"/>
      <c r="N520" s="34"/>
      <c r="O520" s="1690" t="s">
        <v>2737</v>
      </c>
      <c r="P520" s="1691"/>
      <c r="Q520" s="1691"/>
      <c r="R520" s="1691"/>
      <c r="S520" s="1691"/>
      <c r="T520" s="1691"/>
      <c r="U520" s="1691"/>
      <c r="V520" s="1691"/>
      <c r="W520" s="1691"/>
      <c r="X520" s="1691"/>
      <c r="Y520" s="1691"/>
      <c r="Z520" s="1691"/>
      <c r="AA520" s="1691"/>
      <c r="AB520" s="50"/>
      <c r="AC520" s="1299" t="s">
        <v>811</v>
      </c>
      <c r="AD520" s="1300"/>
      <c r="AE520" s="1300"/>
      <c r="AF520" s="1300"/>
      <c r="AG520" s="94" t="s">
        <v>1306</v>
      </c>
      <c r="AH520" s="1364"/>
      <c r="AI520" s="1364"/>
      <c r="AJ520" s="1364"/>
      <c r="AK520" s="1365"/>
      <c r="AZ520" s="3"/>
      <c r="BB520" s="3"/>
      <c r="BC520" s="3"/>
      <c r="BD520" s="3"/>
      <c r="BE520" s="3"/>
      <c r="BF520" s="3"/>
      <c r="BG520" s="3"/>
      <c r="BH520" s="3"/>
      <c r="BI520" s="3"/>
      <c r="BJ520" s="3"/>
      <c r="BK520" s="3"/>
      <c r="BL520" s="3"/>
      <c r="BM520" s="3"/>
      <c r="BN520" s="3" t="s">
        <v>1336</v>
      </c>
    </row>
    <row r="521" spans="2:66" ht="12.95" customHeight="1">
      <c r="B521" s="1617"/>
      <c r="C521" s="1391"/>
      <c r="D521" s="1391"/>
      <c r="E521" s="1391"/>
      <c r="F521" s="1391"/>
      <c r="G521" s="1391"/>
      <c r="H521" s="1392"/>
      <c r="I521" s="82" t="s">
        <v>44</v>
      </c>
      <c r="AB521" s="56"/>
      <c r="AC521" s="1606">
        <v>6</v>
      </c>
      <c r="AD521" s="1607"/>
      <c r="AE521" s="1607"/>
      <c r="AF521" s="1607"/>
      <c r="AG521" s="12" t="s">
        <v>1306</v>
      </c>
      <c r="AH521" s="1364">
        <v>2023</v>
      </c>
      <c r="AI521" s="1364"/>
      <c r="AJ521" s="1364"/>
      <c r="AK521" s="1365"/>
      <c r="AZ521" s="3"/>
      <c r="BB521" s="3"/>
      <c r="BC521" s="3"/>
      <c r="BD521" s="3"/>
      <c r="BE521" s="3"/>
      <c r="BF521" s="3"/>
      <c r="BG521" s="3"/>
      <c r="BH521" s="3"/>
      <c r="BI521" s="3"/>
      <c r="BJ521" s="3"/>
      <c r="BK521" s="3"/>
      <c r="BL521" s="3"/>
      <c r="BM521" s="3"/>
      <c r="BN521" s="3" t="s">
        <v>1337</v>
      </c>
    </row>
    <row r="522" spans="2:66" ht="12.95" customHeight="1">
      <c r="B522" s="1617"/>
      <c r="C522" s="1391"/>
      <c r="D522" s="1391"/>
      <c r="E522" s="1391"/>
      <c r="F522" s="1391"/>
      <c r="G522" s="1391"/>
      <c r="H522" s="1392"/>
      <c r="I522" s="39" t="s">
        <v>1338</v>
      </c>
      <c r="J522" s="40"/>
      <c r="K522" s="40"/>
      <c r="L522" s="40"/>
      <c r="M522" s="40"/>
      <c r="N522" s="40"/>
      <c r="O522" s="40"/>
      <c r="P522" s="40"/>
      <c r="Q522" s="40"/>
      <c r="R522" s="40"/>
      <c r="S522" s="40"/>
      <c r="T522" s="40"/>
      <c r="U522" s="40"/>
      <c r="V522" s="40"/>
      <c r="W522" s="40"/>
      <c r="X522" s="40"/>
      <c r="Y522" s="40"/>
      <c r="Z522" s="40"/>
      <c r="AA522" s="40"/>
      <c r="AB522" s="41"/>
      <c r="AC522" s="1606">
        <v>7</v>
      </c>
      <c r="AD522" s="1607"/>
      <c r="AE522" s="1607"/>
      <c r="AF522" s="1607"/>
      <c r="AG522" s="30" t="s">
        <v>1306</v>
      </c>
      <c r="AH522" s="1364">
        <v>2023</v>
      </c>
      <c r="AI522" s="1364"/>
      <c r="AJ522" s="1364"/>
      <c r="AK522" s="1365"/>
      <c r="AZ522" s="3"/>
      <c r="BA522" s="3"/>
      <c r="BB522" s="3"/>
      <c r="BC522" s="3"/>
      <c r="BD522" s="3"/>
      <c r="BE522" s="3"/>
      <c r="BF522" s="3"/>
      <c r="BG522" s="3"/>
      <c r="BH522" s="3"/>
      <c r="BI522" s="3"/>
      <c r="BJ522" s="3"/>
      <c r="BK522" s="3"/>
      <c r="BL522" s="3"/>
      <c r="BM522" s="3"/>
      <c r="BN522" s="3" t="s">
        <v>1339</v>
      </c>
    </row>
    <row r="523" spans="2:66" ht="12.95" customHeight="1">
      <c r="B523" s="1617"/>
      <c r="C523" s="1391"/>
      <c r="D523" s="1391"/>
      <c r="E523" s="1391"/>
      <c r="F523" s="1391"/>
      <c r="G523" s="1391"/>
      <c r="H523" s="1392"/>
      <c r="I523" s="34" t="s">
        <v>1340</v>
      </c>
      <c r="J523" s="34"/>
      <c r="K523" s="34"/>
      <c r="L523" s="34"/>
      <c r="M523" s="34"/>
      <c r="N523" s="34"/>
      <c r="O523" s="1690" t="s">
        <v>1341</v>
      </c>
      <c r="P523" s="1691"/>
      <c r="Q523" s="1691"/>
      <c r="R523" s="1691"/>
      <c r="S523" s="1691"/>
      <c r="T523" s="1691"/>
      <c r="U523" s="1691"/>
      <c r="V523" s="1691"/>
      <c r="W523" s="1691"/>
      <c r="X523" s="1691"/>
      <c r="Y523" s="1691"/>
      <c r="Z523" s="1691"/>
      <c r="AA523" s="1691"/>
      <c r="AC523" s="1606" t="s">
        <v>811</v>
      </c>
      <c r="AD523" s="1607"/>
      <c r="AE523" s="1607"/>
      <c r="AF523" s="1607"/>
      <c r="AG523" s="12" t="s">
        <v>1306</v>
      </c>
      <c r="AH523" s="1364"/>
      <c r="AI523" s="1364"/>
      <c r="AJ523" s="1364"/>
      <c r="AK523" s="1365"/>
      <c r="AZ523" s="3"/>
      <c r="BA523" s="3"/>
      <c r="BB523" s="3"/>
      <c r="BC523" s="3"/>
      <c r="BD523" s="3"/>
      <c r="BE523" s="3"/>
      <c r="BF523" s="3"/>
      <c r="BG523" s="3"/>
      <c r="BH523" s="3"/>
      <c r="BI523" s="3"/>
      <c r="BJ523" s="3"/>
      <c r="BK523" s="3"/>
      <c r="BL523" s="3"/>
      <c r="BM523" s="3"/>
      <c r="BN523" s="3" t="s">
        <v>1342</v>
      </c>
    </row>
    <row r="524" spans="2:66" ht="12.95" customHeight="1">
      <c r="B524" s="1617"/>
      <c r="C524" s="1391"/>
      <c r="D524" s="1391"/>
      <c r="E524" s="1391"/>
      <c r="F524" s="1391"/>
      <c r="G524" s="1391"/>
      <c r="H524" s="1392"/>
      <c r="I524" t="s">
        <v>44</v>
      </c>
      <c r="AC524" s="1606">
        <v>6</v>
      </c>
      <c r="AD524" s="1607"/>
      <c r="AE524" s="1607"/>
      <c r="AF524" s="1607"/>
      <c r="AG524" s="12" t="s">
        <v>1306</v>
      </c>
      <c r="AH524" s="1364">
        <v>2023</v>
      </c>
      <c r="AI524" s="1364"/>
      <c r="AJ524" s="1364"/>
      <c r="AK524" s="1365"/>
      <c r="AZ524" s="3"/>
      <c r="BA524" s="3"/>
      <c r="BB524" s="3"/>
      <c r="BC524" s="3"/>
      <c r="BD524" s="3"/>
      <c r="BE524" s="3"/>
      <c r="BF524" s="3"/>
      <c r="BG524" s="3"/>
      <c r="BH524" s="3"/>
      <c r="BI524" s="3"/>
      <c r="BJ524" s="3"/>
      <c r="BK524" s="3"/>
      <c r="BL524" s="3"/>
      <c r="BM524" s="3"/>
      <c r="BN524" s="3" t="s">
        <v>1343</v>
      </c>
    </row>
    <row r="525" spans="2:66" ht="12.95" customHeight="1">
      <c r="B525" s="1617"/>
      <c r="C525" s="1391"/>
      <c r="D525" s="1391"/>
      <c r="E525" s="1391"/>
      <c r="F525" s="1391"/>
      <c r="G525" s="1391"/>
      <c r="H525" s="1392"/>
      <c r="I525" s="40" t="s">
        <v>1338</v>
      </c>
      <c r="J525" s="40"/>
      <c r="K525" s="40"/>
      <c r="L525" s="40"/>
      <c r="M525" s="40"/>
      <c r="N525" s="40"/>
      <c r="O525" s="40"/>
      <c r="P525" s="40"/>
      <c r="Q525" s="40"/>
      <c r="R525" s="40"/>
      <c r="S525" s="40"/>
      <c r="T525" s="40"/>
      <c r="U525" s="40"/>
      <c r="V525" s="40"/>
      <c r="W525" s="40"/>
      <c r="X525" s="40"/>
      <c r="Y525" s="40"/>
      <c r="Z525" s="40"/>
      <c r="AA525" s="40"/>
      <c r="AB525" s="40"/>
      <c r="AC525" s="1606">
        <v>7</v>
      </c>
      <c r="AD525" s="1607"/>
      <c r="AE525" s="1607"/>
      <c r="AF525" s="1607"/>
      <c r="AG525" s="30" t="s">
        <v>1306</v>
      </c>
      <c r="AH525" s="1364">
        <v>2023</v>
      </c>
      <c r="AI525" s="1364"/>
      <c r="AJ525" s="1364"/>
      <c r="AK525" s="1365"/>
      <c r="AZ525" s="3"/>
      <c r="BA525" s="3"/>
      <c r="BB525" s="3"/>
      <c r="BC525" s="3"/>
      <c r="BD525" s="3"/>
      <c r="BE525" s="3"/>
      <c r="BF525" s="3"/>
      <c r="BG525" s="3"/>
      <c r="BH525" s="3"/>
      <c r="BI525" s="3"/>
      <c r="BJ525" s="3"/>
      <c r="BK525" s="3"/>
      <c r="BL525" s="3"/>
      <c r="BM525" s="3"/>
      <c r="BN525" s="3" t="s">
        <v>1344</v>
      </c>
    </row>
    <row r="526" spans="2:66" ht="12.95" customHeight="1">
      <c r="B526" s="1617"/>
      <c r="C526" s="1391"/>
      <c r="D526" s="1391"/>
      <c r="E526" s="1391"/>
      <c r="F526" s="1391"/>
      <c r="G526" s="1391"/>
      <c r="H526" s="1392"/>
      <c r="I526" s="34" t="s">
        <v>1340</v>
      </c>
      <c r="J526" s="34"/>
      <c r="K526" s="34"/>
      <c r="L526" s="34"/>
      <c r="M526" s="34"/>
      <c r="N526" s="34"/>
      <c r="O526" s="1690" t="s">
        <v>2738</v>
      </c>
      <c r="P526" s="1691"/>
      <c r="Q526" s="1691"/>
      <c r="R526" s="1691"/>
      <c r="S526" s="1691"/>
      <c r="T526" s="1691"/>
      <c r="U526" s="1691"/>
      <c r="V526" s="1691"/>
      <c r="W526" s="1691"/>
      <c r="X526" s="1691"/>
      <c r="Y526" s="1691"/>
      <c r="Z526" s="1691"/>
      <c r="AA526" s="1691"/>
      <c r="AC526" s="1606" t="s">
        <v>811</v>
      </c>
      <c r="AD526" s="1607"/>
      <c r="AE526" s="1607"/>
      <c r="AF526" s="1607"/>
      <c r="AG526" s="12" t="s">
        <v>1306</v>
      </c>
      <c r="AH526" s="1364"/>
      <c r="AI526" s="1364"/>
      <c r="AJ526" s="1364"/>
      <c r="AK526" s="1365"/>
      <c r="AZ526" s="3"/>
      <c r="BA526" s="3"/>
      <c r="BB526" s="3"/>
      <c r="BC526" s="3"/>
      <c r="BD526" s="3"/>
      <c r="BE526" s="3"/>
      <c r="BF526" s="3"/>
      <c r="BG526" s="3"/>
      <c r="BH526" s="3"/>
      <c r="BI526" s="3"/>
      <c r="BJ526" s="3"/>
      <c r="BK526" s="3"/>
      <c r="BL526" s="3"/>
      <c r="BM526" s="3"/>
      <c r="BN526" s="3" t="s">
        <v>1345</v>
      </c>
    </row>
    <row r="527" spans="2:66" ht="12.95" customHeight="1">
      <c r="B527" s="1617"/>
      <c r="C527" s="1391"/>
      <c r="D527" s="1391"/>
      <c r="E527" s="1391"/>
      <c r="F527" s="1391"/>
      <c r="G527" s="1391"/>
      <c r="H527" s="1392"/>
      <c r="I527" t="s">
        <v>44</v>
      </c>
      <c r="AC527" s="1606">
        <v>5</v>
      </c>
      <c r="AD527" s="1607"/>
      <c r="AE527" s="1607"/>
      <c r="AF527" s="1607"/>
      <c r="AG527" s="12" t="s">
        <v>1306</v>
      </c>
      <c r="AH527" s="1364">
        <v>2025</v>
      </c>
      <c r="AI527" s="1364"/>
      <c r="AJ527" s="1364"/>
      <c r="AK527" s="1365"/>
      <c r="AZ527" s="3"/>
      <c r="BA527" s="3"/>
      <c r="BB527" s="3"/>
      <c r="BC527" s="3"/>
      <c r="BD527" s="3"/>
      <c r="BE527" s="3"/>
      <c r="BF527" s="3"/>
      <c r="BG527" s="3"/>
      <c r="BH527" s="3"/>
      <c r="BI527" s="3"/>
      <c r="BJ527" s="3"/>
      <c r="BK527" s="3"/>
      <c r="BL527" s="3"/>
      <c r="BM527" s="3"/>
      <c r="BN527" s="3" t="s">
        <v>1346</v>
      </c>
    </row>
    <row r="528" spans="2:66" ht="12.95" customHeight="1">
      <c r="B528" s="1617"/>
      <c r="C528" s="1391"/>
      <c r="D528" s="1391"/>
      <c r="E528" s="1391"/>
      <c r="F528" s="1391"/>
      <c r="G528" s="1391"/>
      <c r="H528" s="1392"/>
      <c r="I528" s="40" t="s">
        <v>1338</v>
      </c>
      <c r="J528" s="40"/>
      <c r="K528" s="40"/>
      <c r="L528" s="40"/>
      <c r="M528" s="40"/>
      <c r="N528" s="40"/>
      <c r="O528" s="40"/>
      <c r="P528" s="40"/>
      <c r="Q528" s="40"/>
      <c r="R528" s="40"/>
      <c r="S528" s="40"/>
      <c r="T528" s="40"/>
      <c r="U528" s="40"/>
      <c r="V528" s="40"/>
      <c r="W528" s="40"/>
      <c r="X528" s="40"/>
      <c r="Y528" s="40"/>
      <c r="Z528" s="40"/>
      <c r="AA528" s="40"/>
      <c r="AB528" s="40"/>
      <c r="AC528" s="1606">
        <v>8</v>
      </c>
      <c r="AD528" s="1607"/>
      <c r="AE528" s="1607"/>
      <c r="AF528" s="1607"/>
      <c r="AG528" s="30" t="s">
        <v>1306</v>
      </c>
      <c r="AH528" s="1364">
        <v>2025</v>
      </c>
      <c r="AI528" s="1364"/>
      <c r="AJ528" s="1364"/>
      <c r="AK528" s="1365"/>
      <c r="AZ528" s="3"/>
      <c r="BA528" s="3"/>
      <c r="BB528" s="3"/>
      <c r="BC528" s="3"/>
      <c r="BD528" s="3"/>
      <c r="BE528" s="3"/>
      <c r="BF528" s="3"/>
      <c r="BG528" s="3"/>
      <c r="BH528" s="3"/>
      <c r="BI528" s="3"/>
      <c r="BJ528" s="3"/>
      <c r="BK528" s="3"/>
      <c r="BL528" s="3"/>
      <c r="BM528" s="3"/>
      <c r="BN528" s="3" t="s">
        <v>1347</v>
      </c>
    </row>
    <row r="529" spans="1:66" ht="12.95" customHeight="1">
      <c r="B529" s="1617"/>
      <c r="C529" s="1391"/>
      <c r="D529" s="1391"/>
      <c r="E529" s="1391"/>
      <c r="F529" s="1391"/>
      <c r="G529" s="1391"/>
      <c r="H529" s="1392"/>
      <c r="I529" s="34" t="s">
        <v>1340</v>
      </c>
      <c r="J529" s="34"/>
      <c r="K529" s="34"/>
      <c r="L529" s="34"/>
      <c r="M529" s="34"/>
      <c r="N529" s="34"/>
      <c r="O529" s="1690" t="s">
        <v>1348</v>
      </c>
      <c r="P529" s="1691"/>
      <c r="Q529" s="1691"/>
      <c r="R529" s="1691"/>
      <c r="S529" s="1691"/>
      <c r="T529" s="1691"/>
      <c r="U529" s="1691"/>
      <c r="V529" s="1691"/>
      <c r="W529" s="1691"/>
      <c r="X529" s="1691"/>
      <c r="Y529" s="1691"/>
      <c r="Z529" s="1691"/>
      <c r="AA529" s="1691"/>
      <c r="AC529" s="1606"/>
      <c r="AD529" s="1607"/>
      <c r="AE529" s="1607"/>
      <c r="AF529" s="1607"/>
      <c r="AG529" s="12" t="s">
        <v>1306</v>
      </c>
      <c r="AH529" s="1364"/>
      <c r="AI529" s="1364"/>
      <c r="AJ529" s="1364"/>
      <c r="AK529" s="1365"/>
      <c r="AZ529" s="3"/>
      <c r="BA529" s="3"/>
      <c r="BB529" s="3"/>
      <c r="BC529" s="3"/>
      <c r="BD529" s="3"/>
      <c r="BE529" s="3"/>
      <c r="BF529" s="3"/>
      <c r="BG529" s="3"/>
      <c r="BH529" s="3"/>
      <c r="BI529" s="3"/>
      <c r="BJ529" s="3"/>
      <c r="BK529" s="3"/>
      <c r="BL529" s="3"/>
      <c r="BM529" s="3"/>
      <c r="BN529" s="3" t="s">
        <v>1349</v>
      </c>
    </row>
    <row r="530" spans="1:66" ht="12.95" customHeight="1">
      <c r="B530" s="1617"/>
      <c r="C530" s="1391"/>
      <c r="D530" s="1391"/>
      <c r="E530" s="1391"/>
      <c r="F530" s="1391"/>
      <c r="G530" s="1391"/>
      <c r="H530" s="1392"/>
      <c r="I530" t="s">
        <v>44</v>
      </c>
      <c r="AC530" s="1606">
        <v>7</v>
      </c>
      <c r="AD530" s="1607"/>
      <c r="AE530" s="1607"/>
      <c r="AF530" s="1607"/>
      <c r="AG530" s="12" t="s">
        <v>1306</v>
      </c>
      <c r="AH530" s="1364">
        <v>2023</v>
      </c>
      <c r="AI530" s="1364"/>
      <c r="AJ530" s="1364"/>
      <c r="AK530" s="1365"/>
      <c r="AZ530" s="3"/>
      <c r="BA530" s="3"/>
      <c r="BB530" s="3"/>
      <c r="BC530" s="3"/>
      <c r="BD530" s="3"/>
      <c r="BE530" s="3"/>
      <c r="BF530" s="3"/>
      <c r="BG530" s="3"/>
      <c r="BH530" s="3"/>
      <c r="BI530" s="3"/>
      <c r="BJ530" s="3"/>
      <c r="BK530" s="3"/>
      <c r="BL530" s="3"/>
      <c r="BM530" s="3"/>
      <c r="BN530" s="3" t="s">
        <v>1350</v>
      </c>
    </row>
    <row r="531" spans="1:66" ht="12.95" customHeight="1">
      <c r="B531" s="1617"/>
      <c r="C531" s="1391"/>
      <c r="D531" s="1391"/>
      <c r="E531" s="1391"/>
      <c r="F531" s="1391"/>
      <c r="G531" s="1391"/>
      <c r="H531" s="1392"/>
      <c r="I531" s="40" t="s">
        <v>1338</v>
      </c>
      <c r="J531" s="40"/>
      <c r="K531" s="40"/>
      <c r="L531" s="40"/>
      <c r="M531" s="40"/>
      <c r="N531" s="40"/>
      <c r="O531" s="40"/>
      <c r="P531" s="40"/>
      <c r="Q531" s="40"/>
      <c r="R531" s="40"/>
      <c r="S531" s="40"/>
      <c r="T531" s="40"/>
      <c r="U531" s="40"/>
      <c r="V531" s="40"/>
      <c r="W531" s="40"/>
      <c r="X531" s="40"/>
      <c r="Y531" s="40"/>
      <c r="Z531" s="40"/>
      <c r="AA531" s="40"/>
      <c r="AB531" s="40"/>
      <c r="AC531" s="1606">
        <v>2</v>
      </c>
      <c r="AD531" s="1607"/>
      <c r="AE531" s="1607"/>
      <c r="AF531" s="1607"/>
      <c r="AG531" s="30" t="s">
        <v>1306</v>
      </c>
      <c r="AH531" s="1364">
        <v>2025</v>
      </c>
      <c r="AI531" s="1364"/>
      <c r="AJ531" s="1364"/>
      <c r="AK531" s="1365"/>
      <c r="AZ531" s="3"/>
      <c r="BA531" s="3"/>
      <c r="BB531" s="3"/>
      <c r="BC531" s="3"/>
      <c r="BD531" s="3"/>
      <c r="BE531" s="3"/>
      <c r="BF531" s="3"/>
      <c r="BG531" s="3"/>
      <c r="BH531" s="3"/>
      <c r="BI531" s="3"/>
      <c r="BJ531" s="3"/>
      <c r="BK531" s="3"/>
      <c r="BL531" s="3"/>
      <c r="BM531" s="3"/>
      <c r="BN531" s="3" t="s">
        <v>1351</v>
      </c>
    </row>
    <row r="532" spans="1:66" ht="12.95" customHeight="1">
      <c r="B532" s="1617"/>
      <c r="C532" s="1391"/>
      <c r="D532" s="1391"/>
      <c r="E532" s="1391"/>
      <c r="F532" s="1391"/>
      <c r="G532" s="1391"/>
      <c r="H532" s="1392"/>
      <c r="I532" s="34" t="s">
        <v>1340</v>
      </c>
      <c r="J532" s="34"/>
      <c r="K532" s="34"/>
      <c r="L532" s="34"/>
      <c r="M532" s="34"/>
      <c r="N532" s="34"/>
      <c r="O532" s="1690" t="s">
        <v>1317</v>
      </c>
      <c r="P532" s="1691"/>
      <c r="Q532" s="1691"/>
      <c r="R532" s="1691"/>
      <c r="S532" s="1691"/>
      <c r="T532" s="1691"/>
      <c r="U532" s="1691"/>
      <c r="V532" s="1691"/>
      <c r="W532" s="1691"/>
      <c r="X532" s="1691"/>
      <c r="Y532" s="1691"/>
      <c r="Z532" s="1691"/>
      <c r="AA532" s="1691"/>
      <c r="AC532" s="1606" t="s">
        <v>811</v>
      </c>
      <c r="AD532" s="1607"/>
      <c r="AE532" s="1607"/>
      <c r="AF532" s="1607"/>
      <c r="AG532" s="12" t="s">
        <v>1306</v>
      </c>
      <c r="AH532" s="1364"/>
      <c r="AI532" s="1364"/>
      <c r="AJ532" s="1364"/>
      <c r="AK532" s="1365"/>
      <c r="AZ532" s="3"/>
      <c r="BA532" s="3"/>
      <c r="BB532" s="3"/>
      <c r="BC532" s="3"/>
      <c r="BD532" s="3"/>
      <c r="BE532" s="3"/>
      <c r="BF532" s="3"/>
      <c r="BG532" s="3"/>
      <c r="BH532" s="3"/>
      <c r="BI532" s="3"/>
      <c r="BJ532" s="3"/>
      <c r="BK532" s="3"/>
      <c r="BL532" s="3"/>
      <c r="BM532" s="3"/>
      <c r="BN532" s="3" t="s">
        <v>1352</v>
      </c>
    </row>
    <row r="533" spans="1:66" ht="12.95" customHeight="1">
      <c r="B533" s="1617"/>
      <c r="C533" s="1391"/>
      <c r="D533" s="1391"/>
      <c r="E533" s="1391"/>
      <c r="F533" s="1391"/>
      <c r="G533" s="1391"/>
      <c r="H533" s="1392"/>
      <c r="I533" t="s">
        <v>44</v>
      </c>
      <c r="AC533" s="1606" t="s">
        <v>811</v>
      </c>
      <c r="AD533" s="1607"/>
      <c r="AE533" s="1607"/>
      <c r="AF533" s="1607"/>
      <c r="AG533" s="30" t="s">
        <v>1306</v>
      </c>
      <c r="AH533" s="1364"/>
      <c r="AI533" s="1364"/>
      <c r="AJ533" s="1364"/>
      <c r="AK533" s="1365"/>
      <c r="AZ533" s="3"/>
      <c r="BA533" s="3"/>
      <c r="BB533" s="3"/>
      <c r="BC533" s="3"/>
      <c r="BD533" s="3"/>
      <c r="BE533" s="3"/>
      <c r="BF533" s="3"/>
      <c r="BG533" s="3"/>
      <c r="BH533" s="3"/>
      <c r="BI533" s="3"/>
      <c r="BJ533" s="3"/>
      <c r="BK533" s="3"/>
      <c r="BL533" s="3"/>
      <c r="BM533" s="3"/>
      <c r="BN533" s="3" t="s">
        <v>1353</v>
      </c>
    </row>
    <row r="534" spans="1:66" ht="12.95" customHeight="1">
      <c r="B534" s="1617"/>
      <c r="C534" s="1391"/>
      <c r="D534" s="1391"/>
      <c r="E534" s="1391"/>
      <c r="F534" s="1391"/>
      <c r="G534" s="1391"/>
      <c r="H534" s="1392"/>
      <c r="I534" s="40" t="s">
        <v>1338</v>
      </c>
      <c r="J534" s="40"/>
      <c r="K534" s="40"/>
      <c r="L534" s="40"/>
      <c r="M534" s="40"/>
      <c r="N534" s="40"/>
      <c r="O534" s="40"/>
      <c r="P534" s="40"/>
      <c r="Q534" s="40"/>
      <c r="R534" s="40"/>
      <c r="S534" s="40"/>
      <c r="T534" s="40"/>
      <c r="U534" s="40"/>
      <c r="V534" s="40"/>
      <c r="W534" s="40"/>
      <c r="X534" s="40"/>
      <c r="Y534" s="40"/>
      <c r="Z534" s="40"/>
      <c r="AA534" s="40"/>
      <c r="AB534" s="40"/>
      <c r="AC534" s="1606" t="s">
        <v>811</v>
      </c>
      <c r="AD534" s="1607"/>
      <c r="AE534" s="1607"/>
      <c r="AF534" s="1607"/>
      <c r="AG534" s="12" t="s">
        <v>1306</v>
      </c>
      <c r="AH534" s="1364"/>
      <c r="AI534" s="1364"/>
      <c r="AJ534" s="1364"/>
      <c r="AK534" s="1365"/>
      <c r="AZ534" s="3"/>
      <c r="BA534" s="3"/>
      <c r="BB534" s="3"/>
      <c r="BC534" s="3"/>
      <c r="BD534" s="3"/>
      <c r="BE534" s="3"/>
      <c r="BF534" s="3"/>
      <c r="BG534" s="3"/>
      <c r="BH534" s="3"/>
      <c r="BI534" s="3"/>
      <c r="BJ534" s="3"/>
      <c r="BK534" s="3"/>
      <c r="BL534" s="3"/>
      <c r="BM534" s="3"/>
      <c r="BN534" s="3" t="s">
        <v>1354</v>
      </c>
    </row>
    <row r="535" spans="1:66" ht="12.95" customHeight="1">
      <c r="B535" s="1617"/>
      <c r="C535" s="1391"/>
      <c r="D535" s="1391"/>
      <c r="E535" s="1391"/>
      <c r="F535" s="1391"/>
      <c r="G535" s="1391"/>
      <c r="H535" s="1392"/>
      <c r="I535" s="34" t="s">
        <v>1340</v>
      </c>
      <c r="J535" s="34"/>
      <c r="K535" s="34"/>
      <c r="L535" s="34"/>
      <c r="M535" s="34"/>
      <c r="N535" s="34"/>
      <c r="O535" s="1690" t="s">
        <v>1317</v>
      </c>
      <c r="P535" s="1691"/>
      <c r="Q535" s="1691"/>
      <c r="R535" s="1691"/>
      <c r="S535" s="1691"/>
      <c r="T535" s="1691"/>
      <c r="U535" s="1691"/>
      <c r="V535" s="1691"/>
      <c r="W535" s="1691"/>
      <c r="X535" s="1691"/>
      <c r="Y535" s="1691"/>
      <c r="Z535" s="1691"/>
      <c r="AA535" s="1691"/>
      <c r="AC535" s="1606" t="s">
        <v>811</v>
      </c>
      <c r="AD535" s="1607"/>
      <c r="AE535" s="1607"/>
      <c r="AF535" s="1607"/>
      <c r="AG535" s="30" t="s">
        <v>1306</v>
      </c>
      <c r="AH535" s="1364"/>
      <c r="AI535" s="1364"/>
      <c r="AJ535" s="1364"/>
      <c r="AK535" s="1365"/>
      <c r="AZ535" s="3"/>
      <c r="BA535" s="3"/>
      <c r="BB535" s="3"/>
      <c r="BC535" s="3"/>
      <c r="BD535" s="3"/>
      <c r="BE535" s="3"/>
      <c r="BF535" s="3"/>
      <c r="BG535" s="3"/>
      <c r="BH535" s="3"/>
      <c r="BI535" s="3"/>
      <c r="BJ535" s="3"/>
      <c r="BK535" s="3"/>
      <c r="BL535" s="3"/>
      <c r="BM535" s="3"/>
      <c r="BN535" s="3" t="s">
        <v>1355</v>
      </c>
    </row>
    <row r="536" spans="1:66" ht="12.95" customHeight="1">
      <c r="B536" s="1617"/>
      <c r="C536" s="1391"/>
      <c r="D536" s="1391"/>
      <c r="E536" s="1391"/>
      <c r="F536" s="1391"/>
      <c r="G536" s="1391"/>
      <c r="H536" s="1392"/>
      <c r="I536" t="s">
        <v>44</v>
      </c>
      <c r="AC536" s="1606" t="s">
        <v>811</v>
      </c>
      <c r="AD536" s="1607"/>
      <c r="AE536" s="1607"/>
      <c r="AF536" s="1607"/>
      <c r="AG536" s="12" t="s">
        <v>1306</v>
      </c>
      <c r="AH536" s="1364"/>
      <c r="AI536" s="1364"/>
      <c r="AJ536" s="1364"/>
      <c r="AK536" s="1365"/>
      <c r="AZ536" s="3"/>
      <c r="BA536" s="3"/>
      <c r="BB536" s="3"/>
      <c r="BC536" s="3"/>
      <c r="BD536" s="3"/>
      <c r="BE536" s="3"/>
      <c r="BF536" s="3"/>
      <c r="BG536" s="3"/>
      <c r="BH536" s="3"/>
      <c r="BI536" s="3"/>
      <c r="BJ536" s="3"/>
      <c r="BK536" s="3"/>
      <c r="BL536" s="3"/>
      <c r="BM536" s="3"/>
      <c r="BN536" s="3" t="s">
        <v>1356</v>
      </c>
    </row>
    <row r="537" spans="1:66" ht="12.95" customHeight="1">
      <c r="B537" s="1617"/>
      <c r="C537" s="1391"/>
      <c r="D537" s="1391"/>
      <c r="E537" s="1391"/>
      <c r="F537" s="1391"/>
      <c r="G537" s="1391"/>
      <c r="H537" s="1392"/>
      <c r="I537" s="40" t="s">
        <v>1338</v>
      </c>
      <c r="J537" s="40"/>
      <c r="K537" s="40"/>
      <c r="L537" s="40"/>
      <c r="M537" s="40"/>
      <c r="N537" s="40"/>
      <c r="O537" s="40"/>
      <c r="P537" s="40"/>
      <c r="Q537" s="40"/>
      <c r="R537" s="40"/>
      <c r="S537" s="40"/>
      <c r="T537" s="40"/>
      <c r="U537" s="40"/>
      <c r="V537" s="40"/>
      <c r="W537" s="40"/>
      <c r="X537" s="40"/>
      <c r="Y537" s="40"/>
      <c r="Z537" s="40"/>
      <c r="AA537" s="40"/>
      <c r="AB537" s="40"/>
      <c r="AC537" s="1606" t="s">
        <v>811</v>
      </c>
      <c r="AD537" s="1607"/>
      <c r="AE537" s="1607"/>
      <c r="AF537" s="1607"/>
      <c r="AG537" s="30" t="s">
        <v>1306</v>
      </c>
      <c r="AH537" s="1364"/>
      <c r="AI537" s="1364"/>
      <c r="AJ537" s="1364"/>
      <c r="AK537" s="1365"/>
      <c r="AZ537" s="3"/>
      <c r="BA537" s="3"/>
      <c r="BB537" s="3"/>
      <c r="BC537" s="3"/>
      <c r="BD537" s="3"/>
      <c r="BE537" s="3"/>
      <c r="BF537" s="3"/>
      <c r="BG537" s="3"/>
      <c r="BH537" s="3"/>
      <c r="BI537" s="3"/>
      <c r="BJ537" s="3"/>
      <c r="BK537" s="3"/>
      <c r="BL537" s="3"/>
      <c r="BM537" s="3"/>
      <c r="BN537" s="3" t="s">
        <v>1357</v>
      </c>
    </row>
    <row r="538" spans="1:66" ht="12.95" customHeight="1">
      <c r="B538" s="1617"/>
      <c r="C538" s="1391"/>
      <c r="D538" s="1391"/>
      <c r="E538" s="1391"/>
      <c r="F538" s="1391"/>
      <c r="G538" s="1391"/>
      <c r="H538" s="1392"/>
      <c r="I538" s="34" t="s">
        <v>1358</v>
      </c>
      <c r="J538" s="34"/>
      <c r="K538" s="34"/>
      <c r="L538" s="34"/>
      <c r="M538" s="34"/>
      <c r="N538" s="34"/>
      <c r="O538" s="34"/>
      <c r="P538" s="34"/>
      <c r="Q538" s="34"/>
      <c r="R538" s="34"/>
      <c r="S538" s="34"/>
      <c r="T538" s="34"/>
      <c r="U538" s="34"/>
      <c r="V538" s="34"/>
      <c r="W538" s="34"/>
      <c r="AC538" s="1606">
        <v>5</v>
      </c>
      <c r="AD538" s="1607"/>
      <c r="AE538" s="1607"/>
      <c r="AF538" s="1607"/>
      <c r="AG538" s="30" t="s">
        <v>1306</v>
      </c>
      <c r="AH538" s="1364">
        <v>2026</v>
      </c>
      <c r="AI538" s="1364"/>
      <c r="AJ538" s="1364"/>
      <c r="AK538" s="1365"/>
      <c r="AZ538" s="3"/>
      <c r="BA538" s="3"/>
      <c r="BB538" s="3"/>
      <c r="BC538" s="3"/>
      <c r="BD538" s="3"/>
      <c r="BE538" s="3"/>
      <c r="BF538" s="3"/>
      <c r="BG538" s="3"/>
      <c r="BH538" s="3"/>
      <c r="BI538" s="3"/>
      <c r="BJ538" s="3"/>
      <c r="BK538" s="3"/>
      <c r="BL538" s="3"/>
      <c r="BM538" s="3"/>
      <c r="BN538" s="3"/>
    </row>
    <row r="539" spans="1:66" ht="12.95" customHeight="1">
      <c r="B539" s="1617"/>
      <c r="C539" s="1391"/>
      <c r="D539" s="1391"/>
      <c r="E539" s="1391"/>
      <c r="F539" s="1391"/>
      <c r="G539" s="1391"/>
      <c r="H539" s="1392"/>
      <c r="I539" t="s">
        <v>1359</v>
      </c>
      <c r="AC539" s="1606">
        <v>5</v>
      </c>
      <c r="AD539" s="1607"/>
      <c r="AE539" s="1607"/>
      <c r="AF539" s="1607"/>
      <c r="AG539" s="12" t="s">
        <v>1306</v>
      </c>
      <c r="AH539" s="1364">
        <v>2026</v>
      </c>
      <c r="AI539" s="1364"/>
      <c r="AJ539" s="1364"/>
      <c r="AK539" s="1365"/>
      <c r="AZ539" s="3"/>
      <c r="BA539" s="3"/>
      <c r="BB539" s="3"/>
      <c r="BC539" s="3"/>
      <c r="BD539" s="3"/>
      <c r="BE539" s="3"/>
      <c r="BF539" s="3"/>
      <c r="BG539" s="3"/>
      <c r="BH539" s="3"/>
      <c r="BI539" s="3"/>
      <c r="BJ539" s="3"/>
      <c r="BK539" s="3"/>
      <c r="BL539" s="3"/>
      <c r="BM539" s="3"/>
      <c r="BN539" s="3"/>
    </row>
    <row r="540" spans="1:66" ht="12.95" customHeight="1">
      <c r="B540" s="1617"/>
      <c r="C540" s="1391"/>
      <c r="D540" s="1391"/>
      <c r="E540" s="1391"/>
      <c r="F540" s="1391"/>
      <c r="G540" s="1391"/>
      <c r="H540" s="1392"/>
      <c r="I540" t="s">
        <v>1360</v>
      </c>
      <c r="AC540" s="1606">
        <v>8</v>
      </c>
      <c r="AD540" s="1607"/>
      <c r="AE540" s="1607"/>
      <c r="AF540" s="1607"/>
      <c r="AG540" s="30" t="s">
        <v>1306</v>
      </c>
      <c r="AH540" s="1364">
        <v>2027</v>
      </c>
      <c r="AI540" s="1364"/>
      <c r="AJ540" s="1364"/>
      <c r="AK540" s="1365"/>
      <c r="AZ540" s="3"/>
      <c r="BA540" s="3"/>
      <c r="BB540" s="3"/>
      <c r="BC540" s="3"/>
      <c r="BD540" s="3"/>
      <c r="BE540" s="3"/>
      <c r="BF540" s="3"/>
      <c r="BG540" s="3"/>
      <c r="BH540" s="3"/>
      <c r="BI540" s="3"/>
      <c r="BJ540" s="3"/>
      <c r="BK540" s="3"/>
      <c r="BL540" s="3"/>
      <c r="BM540" s="3"/>
      <c r="BN540" s="3"/>
    </row>
    <row r="541" spans="1:66" ht="12.95" customHeight="1">
      <c r="B541" s="1617"/>
      <c r="C541" s="1391"/>
      <c r="D541" s="1391"/>
      <c r="E541" s="1391"/>
      <c r="F541" s="1391"/>
      <c r="G541" s="1391"/>
      <c r="H541" s="1392"/>
      <c r="I541" t="s">
        <v>1361</v>
      </c>
      <c r="AC541" s="1606">
        <v>8</v>
      </c>
      <c r="AD541" s="1607"/>
      <c r="AE541" s="1607"/>
      <c r="AF541" s="1607"/>
      <c r="AG541" s="30" t="s">
        <v>1306</v>
      </c>
      <c r="AH541" s="1364">
        <v>2028</v>
      </c>
      <c r="AI541" s="1364"/>
      <c r="AJ541" s="1364"/>
      <c r="AK541" s="1365"/>
      <c r="AZ541" s="3"/>
      <c r="BA541" s="3"/>
      <c r="BB541" s="3"/>
      <c r="BC541" s="3"/>
      <c r="BD541" s="3"/>
      <c r="BE541" s="3"/>
      <c r="BF541" s="3"/>
      <c r="BG541" s="3"/>
      <c r="BH541" s="3"/>
      <c r="BI541" s="3"/>
      <c r="BJ541" s="3"/>
      <c r="BK541" s="3"/>
      <c r="BL541" s="3"/>
      <c r="BM541" s="3"/>
      <c r="BN541" s="3"/>
    </row>
    <row r="542" spans="1:66" ht="12.95" customHeight="1">
      <c r="B542" s="1618"/>
      <c r="C542" s="1393"/>
      <c r="D542" s="1393"/>
      <c r="E542" s="1393"/>
      <c r="F542" s="1393"/>
      <c r="G542" s="1393"/>
      <c r="H542" s="1394"/>
      <c r="I542" s="40" t="s">
        <v>1362</v>
      </c>
      <c r="J542" s="40"/>
      <c r="K542" s="40"/>
      <c r="L542" s="40"/>
      <c r="M542" s="40"/>
      <c r="N542" s="40"/>
      <c r="O542" s="40"/>
      <c r="P542" s="40"/>
      <c r="Q542" s="40"/>
      <c r="R542" s="40"/>
      <c r="S542" s="40"/>
      <c r="T542" s="40"/>
      <c r="U542" s="40"/>
      <c r="V542" s="40"/>
      <c r="W542" s="40"/>
      <c r="X542" s="40"/>
      <c r="Y542" s="40"/>
      <c r="Z542" s="40"/>
      <c r="AA542" s="40"/>
      <c r="AB542" s="40"/>
      <c r="AC542" s="1606">
        <v>9</v>
      </c>
      <c r="AD542" s="1607"/>
      <c r="AE542" s="1607"/>
      <c r="AF542" s="1607"/>
      <c r="AG542" s="30" t="s">
        <v>1306</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1363</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871</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1364</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6" t="s">
        <v>1365</v>
      </c>
      <c r="C551" s="1389"/>
      <c r="D551" s="1389"/>
      <c r="E551" s="1389"/>
      <c r="F551" s="1389"/>
      <c r="G551" s="1389"/>
      <c r="H551" s="1389"/>
      <c r="I551" s="1389"/>
      <c r="J551" s="1389"/>
      <c r="K551" s="1389"/>
      <c r="L551" s="1390"/>
      <c r="M551" s="1616" t="s">
        <v>1366</v>
      </c>
      <c r="N551" s="1389"/>
      <c r="O551" s="1389"/>
      <c r="P551" s="1390"/>
      <c r="Q551" s="1616" t="s">
        <v>1367</v>
      </c>
      <c r="R551" s="1389"/>
      <c r="S551" s="1390"/>
      <c r="T551" s="1616" t="s">
        <v>1368</v>
      </c>
      <c r="U551" s="1389"/>
      <c r="V551" s="1390"/>
      <c r="W551" s="1616" t="s">
        <v>1369</v>
      </c>
      <c r="X551" s="1389"/>
      <c r="Y551" s="1390"/>
      <c r="Z551" s="1616" t="s">
        <v>1370</v>
      </c>
      <c r="AA551" s="1389"/>
      <c r="AB551" s="1389"/>
      <c r="AC551" s="1389"/>
      <c r="AD551" s="1390"/>
      <c r="AE551" s="1616" t="s">
        <v>1371</v>
      </c>
      <c r="AF551" s="1389"/>
      <c r="AG551" s="1389"/>
      <c r="AH551" s="1390"/>
      <c r="AI551" s="1616" t="s">
        <v>1372</v>
      </c>
      <c r="AJ551" s="1389"/>
      <c r="AK551" s="1389"/>
      <c r="AL551" s="1390"/>
      <c r="AM551" s="1616" t="s">
        <v>1373</v>
      </c>
      <c r="AN551" s="1389"/>
      <c r="AO551" s="1389"/>
      <c r="AP551" s="1389"/>
      <c r="AQ551" s="1389"/>
      <c r="AR551" s="1389"/>
      <c r="AS551" s="1390"/>
      <c r="BB551" s="3"/>
      <c r="BC551" s="3"/>
      <c r="BD551" s="3"/>
      <c r="BE551" s="3"/>
      <c r="BF551" s="3"/>
      <c r="BG551" s="3"/>
      <c r="BH551" s="3" t="s">
        <v>82</v>
      </c>
      <c r="BI551" s="3"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2.95" customHeight="1">
      <c r="B554" s="43" t="s">
        <v>18</v>
      </c>
      <c r="C554" s="1636" t="s">
        <v>1374</v>
      </c>
      <c r="D554" s="1636"/>
      <c r="E554" s="1636"/>
      <c r="F554" s="1636"/>
      <c r="G554" s="1636"/>
      <c r="H554" s="1636"/>
      <c r="I554" s="1636"/>
      <c r="J554" s="1636"/>
      <c r="K554" s="1636"/>
      <c r="L554" s="1636"/>
      <c r="M554" s="1636" t="s">
        <v>1347</v>
      </c>
      <c r="N554" s="1636"/>
      <c r="O554" s="1636"/>
      <c r="P554" s="1636"/>
      <c r="Q554" s="1411">
        <v>24</v>
      </c>
      <c r="R554" s="1411"/>
      <c r="S554" s="1412"/>
      <c r="T554" s="1410">
        <v>480</v>
      </c>
      <c r="U554" s="1411"/>
      <c r="V554" s="1412"/>
      <c r="W554" s="1413">
        <v>6.6299999999999998E-2</v>
      </c>
      <c r="X554" s="1414"/>
      <c r="Y554" s="1415"/>
      <c r="Z554" s="1637" t="s">
        <v>1375</v>
      </c>
      <c r="AA554" s="1637"/>
      <c r="AB554" s="1637"/>
      <c r="AC554" s="1637"/>
      <c r="AD554" s="1637"/>
      <c r="AE554" s="1619">
        <v>1</v>
      </c>
      <c r="AF554" s="1620"/>
      <c r="AG554" s="1620"/>
      <c r="AH554" s="1621"/>
      <c r="AI554" s="1622"/>
      <c r="AJ554" s="1623"/>
      <c r="AK554" s="1623"/>
      <c r="AL554" s="1624"/>
      <c r="AM554" s="1612">
        <v>5400000</v>
      </c>
      <c r="AN554" s="1613"/>
      <c r="AO554" s="1613"/>
      <c r="AP554" s="1613"/>
      <c r="AQ554" s="1613"/>
      <c r="AR554" s="1613"/>
      <c r="AS554" s="1614"/>
      <c r="AT554" s="1037"/>
      <c r="AU554" s="1036"/>
      <c r="BB554" s="3"/>
      <c r="BC554" s="3"/>
      <c r="BD554" s="3"/>
      <c r="BE554" s="3"/>
      <c r="BF554" s="3"/>
      <c r="BG554" s="3"/>
      <c r="BH554" s="3"/>
      <c r="BI554" s="3"/>
    </row>
    <row r="555" spans="1:61" ht="12.95" customHeight="1">
      <c r="B555" s="44" t="s">
        <v>31</v>
      </c>
      <c r="C555" s="1625" t="s">
        <v>1374</v>
      </c>
      <c r="D555" s="1625"/>
      <c r="E555" s="1625"/>
      <c r="F555" s="1625"/>
      <c r="G555" s="1625"/>
      <c r="H555" s="1625"/>
      <c r="I555" s="1625"/>
      <c r="J555" s="1625"/>
      <c r="K555" s="1625"/>
      <c r="L555" s="1625"/>
      <c r="M555" s="1636" t="s">
        <v>1346</v>
      </c>
      <c r="N555" s="1636"/>
      <c r="O555" s="1636"/>
      <c r="P555" s="1636"/>
      <c r="Q555" s="1410">
        <v>24</v>
      </c>
      <c r="R555" s="1411"/>
      <c r="S555" s="1412"/>
      <c r="T555" s="1410">
        <v>480</v>
      </c>
      <c r="U555" s="1411"/>
      <c r="V555" s="1412"/>
      <c r="W555" s="1413">
        <v>6.6299999999999998E-2</v>
      </c>
      <c r="X555" s="1414"/>
      <c r="Y555" s="1415"/>
      <c r="Z555" s="1637" t="s">
        <v>1375</v>
      </c>
      <c r="AA555" s="1637"/>
      <c r="AB555" s="1637"/>
      <c r="AC555" s="1637"/>
      <c r="AD555" s="1637"/>
      <c r="AE555" s="1619">
        <v>2</v>
      </c>
      <c r="AF555" s="1620"/>
      <c r="AG555" s="1620"/>
      <c r="AH555" s="1621"/>
      <c r="AI555" s="1622"/>
      <c r="AJ555" s="1623"/>
      <c r="AK555" s="1623"/>
      <c r="AL555" s="1624"/>
      <c r="AM555" s="1612">
        <v>2200000</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2.95" customHeight="1">
      <c r="B556" s="44" t="s">
        <v>39</v>
      </c>
      <c r="C556" s="1625" t="s">
        <v>1376</v>
      </c>
      <c r="D556" s="1625"/>
      <c r="E556" s="1625"/>
      <c r="F556" s="1625"/>
      <c r="G556" s="1625"/>
      <c r="H556" s="1625"/>
      <c r="I556" s="1625"/>
      <c r="J556" s="1625"/>
      <c r="K556" s="1625"/>
      <c r="L556" s="1625"/>
      <c r="M556" s="1636" t="s">
        <v>1343</v>
      </c>
      <c r="N556" s="1636"/>
      <c r="O556" s="1636"/>
      <c r="P556" s="1636"/>
      <c r="Q556" s="1410">
        <v>660</v>
      </c>
      <c r="R556" s="1411"/>
      <c r="S556" s="1412"/>
      <c r="T556" s="1410"/>
      <c r="U556" s="1411"/>
      <c r="V556" s="1412"/>
      <c r="W556" s="1413">
        <v>0.03</v>
      </c>
      <c r="X556" s="1414"/>
      <c r="Y556" s="1415"/>
      <c r="Z556" s="1637" t="s">
        <v>1375</v>
      </c>
      <c r="AA556" s="1637"/>
      <c r="AB556" s="1637"/>
      <c r="AC556" s="1637"/>
      <c r="AD556" s="1637"/>
      <c r="AE556" s="1619">
        <v>3</v>
      </c>
      <c r="AF556" s="1620"/>
      <c r="AG556" s="1620"/>
      <c r="AH556" s="1621"/>
      <c r="AI556" s="1622"/>
      <c r="AJ556" s="1623"/>
      <c r="AK556" s="1623"/>
      <c r="AL556" s="1624"/>
      <c r="AM556" s="1612">
        <v>167537</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2.95" customHeight="1">
      <c r="B557" s="44" t="s">
        <v>82</v>
      </c>
      <c r="C557" s="1625" t="s">
        <v>1377</v>
      </c>
      <c r="D557" s="1625"/>
      <c r="E557" s="1625"/>
      <c r="F557" s="1625"/>
      <c r="G557" s="1625"/>
      <c r="H557" s="1625"/>
      <c r="I557" s="1625"/>
      <c r="J557" s="1625"/>
      <c r="K557" s="1625"/>
      <c r="L557" s="1625"/>
      <c r="M557" s="1636" t="s">
        <v>1343</v>
      </c>
      <c r="N557" s="1636"/>
      <c r="O557" s="1636"/>
      <c r="P557" s="1636"/>
      <c r="Q557" s="1410">
        <v>660</v>
      </c>
      <c r="R557" s="1411"/>
      <c r="S557" s="1412"/>
      <c r="T557" s="1410"/>
      <c r="U557" s="1411"/>
      <c r="V557" s="1412"/>
      <c r="W557" s="1413">
        <v>0.03</v>
      </c>
      <c r="X557" s="1414"/>
      <c r="Y557" s="1415"/>
      <c r="Z557" s="1637" t="s">
        <v>1028</v>
      </c>
      <c r="AA557" s="1637"/>
      <c r="AB557" s="1637"/>
      <c r="AC557" s="1637"/>
      <c r="AD557" s="1637"/>
      <c r="AE557" s="1619">
        <v>3</v>
      </c>
      <c r="AF557" s="1620"/>
      <c r="AG557" s="1620"/>
      <c r="AH557" s="1621"/>
      <c r="AI557" s="1622"/>
      <c r="AJ557" s="1623"/>
      <c r="AK557" s="1623"/>
      <c r="AL557" s="1624"/>
      <c r="AM557" s="1612">
        <v>2000000</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2.95" customHeight="1">
      <c r="B558" s="44" t="s">
        <v>86</v>
      </c>
      <c r="C558" s="1625" t="s">
        <v>1378</v>
      </c>
      <c r="D558" s="1625"/>
      <c r="E558" s="1625"/>
      <c r="F558" s="1625"/>
      <c r="G558" s="1625"/>
      <c r="H558" s="1625"/>
      <c r="I558" s="1625"/>
      <c r="J558" s="1625"/>
      <c r="K558" s="1625"/>
      <c r="L558" s="1625"/>
      <c r="M558" s="1636" t="s">
        <v>1331</v>
      </c>
      <c r="N558" s="1636"/>
      <c r="O558" s="1636"/>
      <c r="P558" s="1636"/>
      <c r="Q558" s="1410"/>
      <c r="R558" s="1411"/>
      <c r="S558" s="1412"/>
      <c r="T558" s="1410"/>
      <c r="U558" s="1411"/>
      <c r="V558" s="1412"/>
      <c r="W558" s="1413"/>
      <c r="X558" s="1414"/>
      <c r="Y558" s="1415"/>
      <c r="Z558" s="1637" t="s">
        <v>1028</v>
      </c>
      <c r="AA558" s="1637"/>
      <c r="AB558" s="1637"/>
      <c r="AC558" s="1637"/>
      <c r="AD558" s="1637"/>
      <c r="AE558" s="1619"/>
      <c r="AF558" s="1620"/>
      <c r="AG558" s="1620"/>
      <c r="AH558" s="1621"/>
      <c r="AI558" s="1622"/>
      <c r="AJ558" s="1623"/>
      <c r="AK558" s="1623"/>
      <c r="AL558" s="1624"/>
      <c r="AM558" s="1612">
        <v>825398</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Yes</v>
      </c>
    </row>
    <row r="559" spans="1:61" ht="12.95" customHeight="1">
      <c r="B559" s="44" t="s">
        <v>1379</v>
      </c>
      <c r="C559" s="1625" t="s">
        <v>1380</v>
      </c>
      <c r="D559" s="1625"/>
      <c r="E559" s="1625"/>
      <c r="F559" s="1625"/>
      <c r="G559" s="1625"/>
      <c r="H559" s="1625"/>
      <c r="I559" s="1625"/>
      <c r="J559" s="1625"/>
      <c r="K559" s="1625"/>
      <c r="L559" s="1625"/>
      <c r="M559" s="1636" t="s">
        <v>1343</v>
      </c>
      <c r="N559" s="1636"/>
      <c r="O559" s="1636"/>
      <c r="P559" s="1636"/>
      <c r="Q559" s="1410">
        <v>660</v>
      </c>
      <c r="R559" s="1411"/>
      <c r="S559" s="1412"/>
      <c r="T559" s="1410"/>
      <c r="U559" s="1411"/>
      <c r="V559" s="1412"/>
      <c r="W559" s="1413">
        <v>0.03</v>
      </c>
      <c r="X559" s="1414"/>
      <c r="Y559" s="1415"/>
      <c r="Z559" s="1637" t="s">
        <v>1028</v>
      </c>
      <c r="AA559" s="1637"/>
      <c r="AB559" s="1637"/>
      <c r="AC559" s="1637"/>
      <c r="AD559" s="1637"/>
      <c r="AE559" s="1619">
        <v>3</v>
      </c>
      <c r="AF559" s="1620"/>
      <c r="AG559" s="1620"/>
      <c r="AH559" s="1621"/>
      <c r="AI559" s="1622"/>
      <c r="AJ559" s="1623"/>
      <c r="AK559" s="1623"/>
      <c r="AL559" s="1624"/>
      <c r="AM559" s="1612">
        <v>3330275</v>
      </c>
      <c r="AN559" s="1613"/>
      <c r="AO559" s="1613"/>
      <c r="AP559" s="1613"/>
      <c r="AQ559" s="1613"/>
      <c r="AR559" s="1613"/>
      <c r="AS559" s="1614"/>
      <c r="AT559" s="1037" t="str">
        <f t="shared" si="0"/>
        <v/>
      </c>
      <c r="AU559" s="1036"/>
      <c r="BB559" s="3"/>
      <c r="BC559" s="3"/>
      <c r="BD559" s="3"/>
      <c r="BE559" s="3"/>
      <c r="BF559" s="3"/>
      <c r="BG559" s="3"/>
      <c r="BH559" s="3" t="s">
        <v>1379</v>
      </c>
      <c r="BI559" s="3" t="str">
        <f>AG665</f>
        <v>Yes</v>
      </c>
    </row>
    <row r="560" spans="1:61" ht="12.95" customHeight="1">
      <c r="B560" s="44" t="s">
        <v>1381</v>
      </c>
      <c r="C560" s="1625" t="s">
        <v>1382</v>
      </c>
      <c r="D560" s="1625"/>
      <c r="E560" s="1625"/>
      <c r="F560" s="1625"/>
      <c r="G560" s="1625"/>
      <c r="H560" s="1625"/>
      <c r="I560" s="1625"/>
      <c r="J560" s="1625"/>
      <c r="K560" s="1625"/>
      <c r="L560" s="1625"/>
      <c r="M560" s="1636" t="s">
        <v>1343</v>
      </c>
      <c r="N560" s="1636"/>
      <c r="O560" s="1636"/>
      <c r="P560" s="1636"/>
      <c r="Q560" s="1410">
        <v>660</v>
      </c>
      <c r="R560" s="1411"/>
      <c r="S560" s="1412"/>
      <c r="T560" s="1410"/>
      <c r="U560" s="1411"/>
      <c r="V560" s="1412"/>
      <c r="W560" s="1413">
        <v>0.03</v>
      </c>
      <c r="X560" s="1414"/>
      <c r="Y560" s="1415"/>
      <c r="Z560" s="1637" t="s">
        <v>1028</v>
      </c>
      <c r="AA560" s="1637"/>
      <c r="AB560" s="1637"/>
      <c r="AC560" s="1637"/>
      <c r="AD560" s="1637"/>
      <c r="AE560" s="1619">
        <v>3</v>
      </c>
      <c r="AF560" s="1620"/>
      <c r="AG560" s="1620"/>
      <c r="AH560" s="1621"/>
      <c r="AI560" s="1622"/>
      <c r="AJ560" s="1623"/>
      <c r="AK560" s="1623"/>
      <c r="AL560" s="1624"/>
      <c r="AM560" s="1612">
        <v>3500000</v>
      </c>
      <c r="AN560" s="1613"/>
      <c r="AO560" s="1613"/>
      <c r="AP560" s="1613"/>
      <c r="AQ560" s="1613"/>
      <c r="AR560" s="1613"/>
      <c r="AS560" s="1614"/>
      <c r="AT560" s="1037" t="str">
        <f t="shared" si="0"/>
        <v/>
      </c>
      <c r="AU560" s="1036"/>
      <c r="BB560" s="3"/>
      <c r="BC560" s="3"/>
      <c r="BD560" s="3"/>
      <c r="BE560" s="3"/>
      <c r="BF560" s="3"/>
      <c r="BG560" s="3"/>
      <c r="BH560" s="3"/>
      <c r="BI560" s="3"/>
    </row>
    <row r="561" spans="1:61" ht="12.95" customHeight="1">
      <c r="B561" s="44" t="s">
        <v>1383</v>
      </c>
      <c r="C561" s="1625" t="s">
        <v>1384</v>
      </c>
      <c r="D561" s="1625"/>
      <c r="E561" s="1625"/>
      <c r="F561" s="1625"/>
      <c r="G561" s="1625"/>
      <c r="H561" s="1625"/>
      <c r="I561" s="1625"/>
      <c r="J561" s="1625"/>
      <c r="K561" s="1625"/>
      <c r="L561" s="1625"/>
      <c r="M561" s="1636" t="s">
        <v>1327</v>
      </c>
      <c r="N561" s="1636"/>
      <c r="O561" s="1636"/>
      <c r="P561" s="1636"/>
      <c r="Q561" s="1410"/>
      <c r="R561" s="1411"/>
      <c r="S561" s="1412"/>
      <c r="T561" s="1410"/>
      <c r="U561" s="1411"/>
      <c r="V561" s="1412"/>
      <c r="W561" s="1413"/>
      <c r="X561" s="1414"/>
      <c r="Y561" s="1415"/>
      <c r="Z561" s="1637" t="s">
        <v>1028</v>
      </c>
      <c r="AA561" s="1637"/>
      <c r="AB561" s="1637"/>
      <c r="AC561" s="1637"/>
      <c r="AD561" s="1637"/>
      <c r="AE561" s="1619"/>
      <c r="AF561" s="1620"/>
      <c r="AG561" s="1620"/>
      <c r="AH561" s="1621"/>
      <c r="AI561" s="1622"/>
      <c r="AJ561" s="1623"/>
      <c r="AK561" s="1623"/>
      <c r="AL561" s="1624"/>
      <c r="AM561" s="1612">
        <v>1933351</v>
      </c>
      <c r="AN561" s="1613"/>
      <c r="AO561" s="1613"/>
      <c r="AP561" s="1613"/>
      <c r="AQ561" s="1613"/>
      <c r="AR561" s="1613"/>
      <c r="AS561" s="1614"/>
      <c r="AT561" s="1037" t="str">
        <f t="shared" si="0"/>
        <v/>
      </c>
      <c r="AU561" s="1036"/>
      <c r="BB561" s="3"/>
      <c r="BC561" s="3"/>
      <c r="BD561" s="3"/>
      <c r="BE561" s="3"/>
      <c r="BF561" s="3"/>
      <c r="BG561" s="3"/>
      <c r="BH561" s="3"/>
      <c r="BI561" s="3"/>
    </row>
    <row r="562" spans="1:61" ht="12.95" customHeight="1">
      <c r="B562" s="44" t="s">
        <v>1385</v>
      </c>
      <c r="C562" s="1625"/>
      <c r="D562" s="1625"/>
      <c r="E562" s="1625"/>
      <c r="F562" s="1625"/>
      <c r="G562" s="1625"/>
      <c r="H562" s="1625"/>
      <c r="I562" s="1625"/>
      <c r="J562" s="1625"/>
      <c r="K562" s="1625"/>
      <c r="L562" s="1625"/>
      <c r="M562" s="1636" t="s">
        <v>1028</v>
      </c>
      <c r="N562" s="1636"/>
      <c r="O562" s="1636"/>
      <c r="P562" s="1636"/>
      <c r="Q562" s="1410"/>
      <c r="R562" s="1411"/>
      <c r="S562" s="1412"/>
      <c r="T562" s="1410"/>
      <c r="U562" s="1411"/>
      <c r="V562" s="1412"/>
      <c r="W562" s="1413"/>
      <c r="X562" s="1414"/>
      <c r="Y562" s="1415"/>
      <c r="Z562" s="1637" t="s">
        <v>1028</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2.95" customHeight="1">
      <c r="B563" s="44" t="s">
        <v>1386</v>
      </c>
      <c r="C563" s="1625"/>
      <c r="D563" s="1625"/>
      <c r="E563" s="1625"/>
      <c r="F563" s="1625"/>
      <c r="G563" s="1625"/>
      <c r="H563" s="1625"/>
      <c r="I563" s="1625"/>
      <c r="J563" s="1625"/>
      <c r="K563" s="1625"/>
      <c r="L563" s="1625"/>
      <c r="M563" s="1636" t="s">
        <v>1028</v>
      </c>
      <c r="N563" s="1636"/>
      <c r="O563" s="1636"/>
      <c r="P563" s="1636"/>
      <c r="Q563" s="1410"/>
      <c r="R563" s="1411"/>
      <c r="S563" s="1412"/>
      <c r="T563" s="1410"/>
      <c r="U563" s="1411"/>
      <c r="V563" s="1412"/>
      <c r="W563" s="1413"/>
      <c r="X563" s="1414"/>
      <c r="Y563" s="1415"/>
      <c r="Z563" s="1637" t="s">
        <v>1028</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2.95" customHeight="1">
      <c r="B564" s="44" t="s">
        <v>1387</v>
      </c>
      <c r="C564" s="1625"/>
      <c r="D564" s="1625"/>
      <c r="E564" s="1625"/>
      <c r="F564" s="1625"/>
      <c r="G564" s="1625"/>
      <c r="H564" s="1625"/>
      <c r="I564" s="1625"/>
      <c r="J564" s="1625"/>
      <c r="K564" s="1625"/>
      <c r="L564" s="1625"/>
      <c r="M564" s="1636" t="s">
        <v>1028</v>
      </c>
      <c r="N564" s="1636"/>
      <c r="O564" s="1636"/>
      <c r="P564" s="1636"/>
      <c r="Q564" s="1410"/>
      <c r="R564" s="1411"/>
      <c r="S564" s="1412"/>
      <c r="T564" s="1410"/>
      <c r="U564" s="1411"/>
      <c r="V564" s="1412"/>
      <c r="W564" s="1413"/>
      <c r="X564" s="1414"/>
      <c r="Y564" s="1415"/>
      <c r="Z564" s="1637" t="s">
        <v>1028</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2.95" customHeight="1">
      <c r="B565" s="44" t="s">
        <v>1388</v>
      </c>
      <c r="C565" s="1625"/>
      <c r="D565" s="1625"/>
      <c r="E565" s="1625"/>
      <c r="F565" s="1625"/>
      <c r="G565" s="1625"/>
      <c r="H565" s="1625"/>
      <c r="I565" s="1625"/>
      <c r="J565" s="1625"/>
      <c r="K565" s="1625"/>
      <c r="L565" s="1625"/>
      <c r="M565" s="1636" t="s">
        <v>1028</v>
      </c>
      <c r="N565" s="1636"/>
      <c r="O565" s="1636"/>
      <c r="P565" s="1636"/>
      <c r="Q565" s="1410"/>
      <c r="R565" s="1411"/>
      <c r="S565" s="1412"/>
      <c r="T565" s="1410"/>
      <c r="U565" s="1411"/>
      <c r="V565" s="1412"/>
      <c r="W565" s="1413"/>
      <c r="X565" s="1414"/>
      <c r="Y565" s="1415"/>
      <c r="Z565" s="1637" t="s">
        <v>1028</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2.95" customHeight="1">
      <c r="B566" s="1407" t="s">
        <v>1389</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19356561</v>
      </c>
      <c r="AN566" s="1562"/>
      <c r="AO566" s="1562"/>
      <c r="AP566" s="1562"/>
      <c r="AQ566" s="1562"/>
      <c r="AR566" s="1562"/>
      <c r="AS566" s="1563"/>
      <c r="BB566" s="3"/>
      <c r="BC566" s="3"/>
      <c r="BD566" s="3"/>
      <c r="BE566" s="3"/>
      <c r="BF566" s="3"/>
      <c r="BG566" s="3"/>
      <c r="BH566" s="3" t="s">
        <v>1381</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1383</v>
      </c>
      <c r="BI567" s="3" t="str">
        <f>AG673</f>
        <v>No</v>
      </c>
    </row>
    <row r="568" spans="1:61" ht="12.95" customHeight="1">
      <c r="A568" s="47" t="s">
        <v>18</v>
      </c>
      <c r="B568" t="s">
        <v>1390</v>
      </c>
      <c r="G568" s="1320" t="str">
        <f>C554</f>
        <v xml:space="preserve">Banc of California </v>
      </c>
      <c r="H568" s="1320"/>
      <c r="I568" s="1320"/>
      <c r="J568" s="1320"/>
      <c r="K568" s="1320"/>
      <c r="L568" s="1320"/>
      <c r="M568" s="1320"/>
      <c r="N568" s="1320"/>
      <c r="O568" s="1320"/>
      <c r="P568" s="1320"/>
      <c r="Q568" s="1320"/>
      <c r="R568" s="1320"/>
      <c r="S568" s="7"/>
      <c r="T568" s="47" t="s">
        <v>31</v>
      </c>
      <c r="U568" t="s">
        <v>1390</v>
      </c>
      <c r="Z568" s="1320" t="str">
        <f>C555</f>
        <v xml:space="preserve">Banc of California </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1063</v>
      </c>
      <c r="G569" s="1333" t="s">
        <v>1391</v>
      </c>
      <c r="H569" s="1333"/>
      <c r="I569" s="1333"/>
      <c r="J569" s="1333"/>
      <c r="K569" s="1333"/>
      <c r="L569" s="1333"/>
      <c r="M569" s="1333"/>
      <c r="N569" s="1333"/>
      <c r="O569" s="1333"/>
      <c r="P569" s="1333"/>
      <c r="Q569" s="1333"/>
      <c r="R569" s="1333"/>
      <c r="S569" s="7"/>
      <c r="T569" s="19"/>
      <c r="U569" t="s">
        <v>1063</v>
      </c>
      <c r="Z569" s="1333" t="s">
        <v>1391</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19"/>
      <c r="B570" t="s">
        <v>931</v>
      </c>
      <c r="G570" s="1333" t="s">
        <v>859</v>
      </c>
      <c r="H570" s="1333"/>
      <c r="I570" s="1333"/>
      <c r="J570" s="1333"/>
      <c r="K570" s="1333"/>
      <c r="L570" s="1333"/>
      <c r="M570" s="1333"/>
      <c r="N570" s="1333"/>
      <c r="O570" s="1333"/>
      <c r="P570" s="1333"/>
      <c r="Q570" s="1333"/>
      <c r="R570" s="1333"/>
      <c r="T570" s="19"/>
      <c r="U570" t="s">
        <v>931</v>
      </c>
      <c r="Z570" s="1310" t="s">
        <v>859</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1392</v>
      </c>
      <c r="G571" s="1333" t="s">
        <v>1393</v>
      </c>
      <c r="H571" s="1333"/>
      <c r="I571" s="1333"/>
      <c r="J571" s="1333"/>
      <c r="K571" s="1333"/>
      <c r="L571" s="1333"/>
      <c r="M571" s="1333"/>
      <c r="N571" s="1333"/>
      <c r="O571" s="1333"/>
      <c r="P571" s="1333"/>
      <c r="Q571" s="1333"/>
      <c r="R571" s="1333"/>
      <c r="S571" s="7"/>
      <c r="T571" s="19"/>
      <c r="U571" t="s">
        <v>1392</v>
      </c>
      <c r="Z571" s="1310" t="s">
        <v>1393</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825</v>
      </c>
      <c r="G572" s="1308" t="s">
        <v>1394</v>
      </c>
      <c r="H572" s="1308"/>
      <c r="I572" s="1308"/>
      <c r="J572" s="1308"/>
      <c r="K572" s="1308"/>
      <c r="L572" s="1308"/>
      <c r="O572" s="923" t="s">
        <v>1070</v>
      </c>
      <c r="P572" s="1395"/>
      <c r="Q572" s="1395"/>
      <c r="R572" s="1395"/>
      <c r="S572" s="9"/>
      <c r="T572" s="19"/>
      <c r="U572" t="s">
        <v>825</v>
      </c>
      <c r="Z572" s="1308" t="s">
        <v>1394</v>
      </c>
      <c r="AA572" s="1308"/>
      <c r="AB572" s="1308"/>
      <c r="AC572" s="1308"/>
      <c r="AD572" s="1308"/>
      <c r="AE572" s="1308"/>
      <c r="AH572" s="923" t="s">
        <v>1070</v>
      </c>
      <c r="AI572" s="1395"/>
      <c r="AJ572" s="1395"/>
      <c r="AK572" s="1395"/>
      <c r="BB572" s="3"/>
      <c r="BC572" s="3"/>
      <c r="BD572" s="3"/>
      <c r="BE572" s="3"/>
      <c r="BF572" s="3"/>
      <c r="BG572" s="3"/>
      <c r="BH572" s="3"/>
      <c r="BI572" s="3"/>
    </row>
    <row r="573" spans="1:61" ht="12.95" customHeight="1">
      <c r="A573" s="19"/>
      <c r="B573" t="s">
        <v>1395</v>
      </c>
      <c r="H573" s="1333" t="s">
        <v>1396</v>
      </c>
      <c r="I573" s="1333"/>
      <c r="J573" s="1333"/>
      <c r="K573" s="1333"/>
      <c r="L573" s="1333"/>
      <c r="M573" s="1333"/>
      <c r="N573" s="1333"/>
      <c r="O573" s="1333"/>
      <c r="P573" s="1333"/>
      <c r="Q573" s="1333"/>
      <c r="R573" s="1333"/>
      <c r="S573" s="7"/>
      <c r="T573" s="19"/>
      <c r="U573" t="s">
        <v>1395</v>
      </c>
      <c r="AA573" s="1333" t="s">
        <v>1397</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1398</v>
      </c>
      <c r="H574" s="7"/>
      <c r="I574" s="7"/>
      <c r="J574" s="7"/>
      <c r="K574" s="7"/>
      <c r="L574" s="7"/>
      <c r="M574" s="1639"/>
      <c r="N574" s="1639"/>
      <c r="O574" s="1639"/>
      <c r="P574" s="1639"/>
      <c r="Q574" s="1639"/>
      <c r="R574" s="1639"/>
      <c r="S574" s="7"/>
      <c r="T574" s="19"/>
      <c r="U574" s="225" t="s">
        <v>1398</v>
      </c>
      <c r="AA574" s="7"/>
      <c r="AB574" s="7"/>
      <c r="AC574" s="7"/>
      <c r="AD574" s="7"/>
      <c r="AE574" s="7"/>
      <c r="AF574" s="1639"/>
      <c r="AG574" s="1639"/>
      <c r="AH574" s="1639"/>
      <c r="AI574" s="1639"/>
      <c r="AJ574" s="1639"/>
      <c r="AK574" s="1639"/>
      <c r="BB574" s="3"/>
      <c r="BC574" s="3"/>
      <c r="BD574" s="3"/>
      <c r="BE574" s="3"/>
      <c r="BF574" s="3"/>
      <c r="BG574" s="3"/>
      <c r="BH574" s="3"/>
      <c r="BI574" s="3"/>
    </row>
    <row r="575" spans="1:61" ht="12.95" customHeight="1">
      <c r="A575" s="19"/>
      <c r="B575" t="s">
        <v>1399</v>
      </c>
      <c r="N575" s="1294" t="s">
        <v>846</v>
      </c>
      <c r="O575" s="1294"/>
      <c r="T575" s="19"/>
      <c r="U575" t="s">
        <v>1399</v>
      </c>
      <c r="AG575" s="1294" t="s">
        <v>846</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1390</v>
      </c>
      <c r="G577" s="1320" t="str">
        <f>C556</f>
        <v>City of Bakersfield REAP 2022</v>
      </c>
      <c r="H577" s="1320"/>
      <c r="I577" s="1320"/>
      <c r="J577" s="1320"/>
      <c r="K577" s="1320"/>
      <c r="L577" s="1320"/>
      <c r="M577" s="1320"/>
      <c r="N577" s="1320"/>
      <c r="O577" s="1320"/>
      <c r="P577" s="1320"/>
      <c r="Q577" s="1320"/>
      <c r="R577" s="1320"/>
      <c r="T577" s="47" t="s">
        <v>82</v>
      </c>
      <c r="U577" t="s">
        <v>1390</v>
      </c>
      <c r="Z577" s="1320" t="str">
        <f>C557</f>
        <v>City of Bakersfield AHTF 22-23</v>
      </c>
      <c r="AA577" s="1320"/>
      <c r="AB577" s="1320"/>
      <c r="AC577" s="1320"/>
      <c r="AD577" s="1320"/>
      <c r="AE577" s="1320"/>
      <c r="AF577" s="1320"/>
      <c r="AG577" s="1320"/>
      <c r="AH577" s="1320"/>
      <c r="AI577" s="1320"/>
      <c r="AJ577" s="1320"/>
      <c r="AK577" s="1320"/>
      <c r="BB577" s="3"/>
      <c r="BC577" s="3"/>
    </row>
    <row r="578" spans="1:55" ht="12.95" customHeight="1">
      <c r="A578" s="19"/>
      <c r="B578" t="s">
        <v>1063</v>
      </c>
      <c r="G578" s="1377" t="s">
        <v>1400</v>
      </c>
      <c r="H578" s="1333"/>
      <c r="I578" s="1333"/>
      <c r="J578" s="1333"/>
      <c r="K578" s="1333"/>
      <c r="L578" s="1333"/>
      <c r="M578" s="1333"/>
      <c r="N578" s="1333"/>
      <c r="O578" s="1333"/>
      <c r="P578" s="1333"/>
      <c r="Q578" s="1333"/>
      <c r="R578" s="1333"/>
      <c r="T578" s="19"/>
      <c r="U578" t="s">
        <v>1063</v>
      </c>
      <c r="Z578" s="1377" t="s">
        <v>813</v>
      </c>
      <c r="AA578" s="1333"/>
      <c r="AB578" s="1333"/>
      <c r="AC578" s="1333"/>
      <c r="AD578" s="1333"/>
      <c r="AE578" s="1333"/>
      <c r="AF578" s="1333"/>
      <c r="AG578" s="1333"/>
      <c r="AH578" s="1333"/>
      <c r="AI578" s="1333"/>
      <c r="AJ578" s="1333"/>
      <c r="AK578" s="1333"/>
      <c r="BB578" s="3"/>
      <c r="BC578" s="3"/>
    </row>
    <row r="579" spans="1:55" ht="12.95" customHeight="1">
      <c r="A579" s="19"/>
      <c r="B579" t="s">
        <v>931</v>
      </c>
      <c r="G579" s="1395" t="s">
        <v>817</v>
      </c>
      <c r="H579" s="1310"/>
      <c r="I579" s="1310"/>
      <c r="J579" s="1310"/>
      <c r="K579" s="1310"/>
      <c r="L579" s="1310"/>
      <c r="M579" s="1310"/>
      <c r="N579" s="1310"/>
      <c r="O579" s="1310"/>
      <c r="P579" s="1310"/>
      <c r="Q579" s="1310"/>
      <c r="R579" s="1310"/>
      <c r="T579" s="19"/>
      <c r="U579" t="s">
        <v>931</v>
      </c>
      <c r="Z579" s="1395" t="s">
        <v>817</v>
      </c>
      <c r="AA579" s="1310"/>
      <c r="AB579" s="1310"/>
      <c r="AC579" s="1310"/>
      <c r="AD579" s="1310"/>
      <c r="AE579" s="1310"/>
      <c r="AF579" s="1310"/>
      <c r="AG579" s="1310"/>
      <c r="AH579" s="1310"/>
      <c r="AI579" s="1310"/>
      <c r="AJ579" s="1310"/>
      <c r="AK579" s="1310"/>
      <c r="BB579" s="3"/>
      <c r="BC579" s="3"/>
    </row>
    <row r="580" spans="1:55" ht="12.95" customHeight="1">
      <c r="A580" s="19"/>
      <c r="B580" t="s">
        <v>1392</v>
      </c>
      <c r="G580" s="1395" t="s">
        <v>1401</v>
      </c>
      <c r="H580" s="1310"/>
      <c r="I580" s="1310"/>
      <c r="J580" s="1310"/>
      <c r="K580" s="1310"/>
      <c r="L580" s="1310"/>
      <c r="M580" s="1310"/>
      <c r="N580" s="1310"/>
      <c r="O580" s="1310"/>
      <c r="P580" s="1310"/>
      <c r="Q580" s="1310"/>
      <c r="R580" s="1310"/>
      <c r="T580" s="19"/>
      <c r="U580" t="s">
        <v>1392</v>
      </c>
      <c r="Z580" s="1395" t="s">
        <v>1401</v>
      </c>
      <c r="AA580" s="1310"/>
      <c r="AB580" s="1310"/>
      <c r="AC580" s="1310"/>
      <c r="AD580" s="1310"/>
      <c r="AE580" s="1310"/>
      <c r="AF580" s="1310"/>
      <c r="AG580" s="1310"/>
      <c r="AH580" s="1310"/>
      <c r="AI580" s="1310"/>
      <c r="AJ580" s="1310"/>
      <c r="AK580" s="1310"/>
      <c r="BB580" s="3"/>
      <c r="BC580" s="3"/>
    </row>
    <row r="581" spans="1:55" ht="12.95" customHeight="1">
      <c r="A581" s="19"/>
      <c r="B581" t="s">
        <v>825</v>
      </c>
      <c r="G581" s="1308" t="s">
        <v>1402</v>
      </c>
      <c r="H581" s="1308"/>
      <c r="I581" s="1308"/>
      <c r="J581" s="1308"/>
      <c r="K581" s="1308"/>
      <c r="L581" s="1308"/>
      <c r="O581" s="923" t="s">
        <v>1070</v>
      </c>
      <c r="P581" s="1395"/>
      <c r="Q581" s="1395"/>
      <c r="R581" s="1395"/>
      <c r="T581" s="19"/>
      <c r="U581" t="s">
        <v>825</v>
      </c>
      <c r="Z581" s="1308" t="s">
        <v>1402</v>
      </c>
      <c r="AA581" s="1308"/>
      <c r="AB581" s="1308"/>
      <c r="AC581" s="1308"/>
      <c r="AD581" s="1308"/>
      <c r="AE581" s="1308"/>
      <c r="AH581" s="923" t="s">
        <v>1070</v>
      </c>
      <c r="AI581" s="1395"/>
      <c r="AJ581" s="1395"/>
      <c r="AK581" s="1395"/>
      <c r="BB581" s="3"/>
      <c r="BC581" s="3"/>
    </row>
    <row r="582" spans="1:55" ht="12.95" customHeight="1">
      <c r="A582" s="19"/>
      <c r="B582" t="s">
        <v>1395</v>
      </c>
      <c r="H582" s="1377" t="s">
        <v>1403</v>
      </c>
      <c r="I582" s="1333"/>
      <c r="J582" s="1333"/>
      <c r="K582" s="1333"/>
      <c r="L582" s="1333"/>
      <c r="M582" s="1333"/>
      <c r="N582" s="1333"/>
      <c r="O582" s="1333"/>
      <c r="P582" s="1333"/>
      <c r="Q582" s="1333"/>
      <c r="R582" s="1333"/>
      <c r="T582" s="19"/>
      <c r="U582" t="s">
        <v>1395</v>
      </c>
      <c r="AA582" s="1377" t="s">
        <v>1343</v>
      </c>
      <c r="AB582" s="1333"/>
      <c r="AC582" s="1333"/>
      <c r="AD582" s="1333"/>
      <c r="AE582" s="1333"/>
      <c r="AF582" s="1333"/>
      <c r="AG582" s="1333"/>
      <c r="AH582" s="1333"/>
      <c r="AI582" s="1333"/>
      <c r="AJ582" s="1333"/>
      <c r="AK582" s="1333"/>
      <c r="BB582" s="3"/>
      <c r="BC582" s="3"/>
    </row>
    <row r="583" spans="1:55" ht="12.95" customHeight="1">
      <c r="A583" s="19"/>
      <c r="B583" t="s">
        <v>1399</v>
      </c>
      <c r="N583" s="1294" t="s">
        <v>846</v>
      </c>
      <c r="O583" s="1294"/>
      <c r="T583" s="19"/>
      <c r="U583" t="s">
        <v>1399</v>
      </c>
      <c r="AG583" s="1294" t="s">
        <v>846</v>
      </c>
      <c r="AH583" s="1294"/>
      <c r="BB583" s="3"/>
      <c r="BC583" s="3"/>
    </row>
    <row r="584" spans="1:55" ht="12.95" customHeight="1">
      <c r="A584" s="19"/>
      <c r="T584" s="19"/>
      <c r="BB584" s="3"/>
      <c r="BC584" s="3"/>
    </row>
    <row r="585" spans="1:55" ht="12.95" customHeight="1">
      <c r="A585" s="47" t="s">
        <v>86</v>
      </c>
      <c r="B585" t="s">
        <v>1390</v>
      </c>
      <c r="G585" s="1320" t="str">
        <f>C558</f>
        <v>Tax Credit Equity</v>
      </c>
      <c r="H585" s="1320"/>
      <c r="I585" s="1320"/>
      <c r="J585" s="1320"/>
      <c r="K585" s="1320"/>
      <c r="L585" s="1320"/>
      <c r="M585" s="1320"/>
      <c r="N585" s="1320"/>
      <c r="O585" s="1320"/>
      <c r="P585" s="1320"/>
      <c r="Q585" s="1320"/>
      <c r="R585" s="1320"/>
      <c r="T585" s="47" t="s">
        <v>1379</v>
      </c>
      <c r="U585" t="s">
        <v>1390</v>
      </c>
      <c r="Z585" s="1320" t="str">
        <f>C559</f>
        <v xml:space="preserve">City of Bakersfield -Transformative Climate Communities </v>
      </c>
      <c r="AA585" s="1320"/>
      <c r="AB585" s="1320"/>
      <c r="AC585" s="1320"/>
      <c r="AD585" s="1320"/>
      <c r="AE585" s="1320"/>
      <c r="AF585" s="1320"/>
      <c r="AG585" s="1320"/>
      <c r="AH585" s="1320"/>
      <c r="AI585" s="1320"/>
      <c r="AJ585" s="1320"/>
      <c r="AK585" s="1320"/>
      <c r="BB585" s="3"/>
      <c r="BC585" s="3"/>
    </row>
    <row r="586" spans="1:55" ht="12.95" customHeight="1">
      <c r="A586" s="19"/>
      <c r="B586" t="s">
        <v>1063</v>
      </c>
      <c r="G586" s="1333" t="s">
        <v>1404</v>
      </c>
      <c r="H586" s="1333"/>
      <c r="I586" s="1333"/>
      <c r="J586" s="1333"/>
      <c r="K586" s="1333"/>
      <c r="L586" s="1333"/>
      <c r="M586" s="1333"/>
      <c r="N586" s="1333"/>
      <c r="O586" s="1333"/>
      <c r="P586" s="1333"/>
      <c r="Q586" s="1333"/>
      <c r="R586" s="1333"/>
      <c r="T586" s="19"/>
      <c r="U586" t="s">
        <v>1063</v>
      </c>
      <c r="Z586" s="1377" t="s">
        <v>813</v>
      </c>
      <c r="AA586" s="1333"/>
      <c r="AB586" s="1333"/>
      <c r="AC586" s="1333"/>
      <c r="AD586" s="1333"/>
      <c r="AE586" s="1333"/>
      <c r="AF586" s="1333"/>
      <c r="AG586" s="1333"/>
      <c r="AH586" s="1333"/>
      <c r="AI586" s="1333"/>
      <c r="AJ586" s="1333"/>
      <c r="AK586" s="1333"/>
      <c r="BB586" s="3"/>
      <c r="BC586" s="3"/>
    </row>
    <row r="587" spans="1:55" ht="12.95" customHeight="1">
      <c r="A587" s="19"/>
      <c r="B587" t="s">
        <v>931</v>
      </c>
      <c r="G587" s="1333" t="s">
        <v>1405</v>
      </c>
      <c r="H587" s="1333"/>
      <c r="I587" s="1333"/>
      <c r="J587" s="1333"/>
      <c r="K587" s="1333"/>
      <c r="L587" s="1333"/>
      <c r="M587" s="1333"/>
      <c r="N587" s="1333"/>
      <c r="O587" s="1333"/>
      <c r="P587" s="1333"/>
      <c r="Q587" s="1333"/>
      <c r="R587" s="1333"/>
      <c r="T587" s="19"/>
      <c r="U587" t="s">
        <v>931</v>
      </c>
      <c r="Z587" s="1395" t="s">
        <v>817</v>
      </c>
      <c r="AA587" s="1310"/>
      <c r="AB587" s="1310"/>
      <c r="AC587" s="1310"/>
      <c r="AD587" s="1310"/>
      <c r="AE587" s="1310"/>
      <c r="AF587" s="1310"/>
      <c r="AG587" s="1310"/>
      <c r="AH587" s="1310"/>
      <c r="AI587" s="1310"/>
      <c r="AJ587" s="1310"/>
      <c r="AK587" s="1310"/>
      <c r="BB587" s="3"/>
      <c r="BC587" s="3"/>
    </row>
    <row r="588" spans="1:55" ht="12.95" customHeight="1">
      <c r="A588" s="19"/>
      <c r="B588" t="s">
        <v>1392</v>
      </c>
      <c r="G588" s="1333" t="s">
        <v>1406</v>
      </c>
      <c r="H588" s="1333"/>
      <c r="I588" s="1333"/>
      <c r="J588" s="1333"/>
      <c r="K588" s="1333"/>
      <c r="L588" s="1333"/>
      <c r="M588" s="1333"/>
      <c r="N588" s="1333"/>
      <c r="O588" s="1333"/>
      <c r="P588" s="1333"/>
      <c r="Q588" s="1333"/>
      <c r="R588" s="1333"/>
      <c r="T588" s="19"/>
      <c r="U588" t="s">
        <v>1392</v>
      </c>
      <c r="Z588" s="1395" t="s">
        <v>1401</v>
      </c>
      <c r="AA588" s="1310"/>
      <c r="AB588" s="1310"/>
      <c r="AC588" s="1310"/>
      <c r="AD588" s="1310"/>
      <c r="AE588" s="1310"/>
      <c r="AF588" s="1310"/>
      <c r="AG588" s="1310"/>
      <c r="AH588" s="1310"/>
      <c r="AI588" s="1310"/>
      <c r="AJ588" s="1310"/>
      <c r="AK588" s="1310"/>
    </row>
    <row r="589" spans="1:55" ht="12.95" customHeight="1">
      <c r="A589" s="19"/>
      <c r="B589" t="s">
        <v>825</v>
      </c>
      <c r="G589" s="1308" t="s">
        <v>1407</v>
      </c>
      <c r="H589" s="1308"/>
      <c r="I589" s="1308"/>
      <c r="J589" s="1308"/>
      <c r="K589" s="1308"/>
      <c r="L589" s="1308"/>
      <c r="O589" s="923" t="s">
        <v>1070</v>
      </c>
      <c r="P589" s="1395"/>
      <c r="Q589" s="1395"/>
      <c r="R589" s="1395"/>
      <c r="T589" s="19"/>
      <c r="U589" t="s">
        <v>825</v>
      </c>
      <c r="Z589" s="1308" t="s">
        <v>1402</v>
      </c>
      <c r="AA589" s="1308"/>
      <c r="AB589" s="1308"/>
      <c r="AC589" s="1308"/>
      <c r="AD589" s="1308"/>
      <c r="AE589" s="1308"/>
      <c r="AH589" s="923" t="s">
        <v>1070</v>
      </c>
      <c r="AI589" s="1395"/>
      <c r="AJ589" s="1395"/>
      <c r="AK589" s="1395"/>
      <c r="AZ589" s="3"/>
      <c r="BA589" s="3"/>
      <c r="BB589" s="3"/>
      <c r="BC589" s="3"/>
    </row>
    <row r="590" spans="1:55" ht="12.95" customHeight="1">
      <c r="A590" s="19"/>
      <c r="B590" t="s">
        <v>1395</v>
      </c>
      <c r="H590" s="1333"/>
      <c r="I590" s="1333"/>
      <c r="J590" s="1333"/>
      <c r="K590" s="1333"/>
      <c r="L590" s="1333"/>
      <c r="M590" s="1333"/>
      <c r="N590" s="1333"/>
      <c r="O590" s="1333"/>
      <c r="P590" s="1333"/>
      <c r="Q590" s="1333"/>
      <c r="R590" s="1333"/>
      <c r="T590" s="19"/>
      <c r="U590" t="s">
        <v>1395</v>
      </c>
      <c r="AA590" s="1377" t="s">
        <v>1343</v>
      </c>
      <c r="AB590" s="1333"/>
      <c r="AC590" s="1333"/>
      <c r="AD590" s="1333"/>
      <c r="AE590" s="1333"/>
      <c r="AF590" s="1333"/>
      <c r="AG590" s="1333"/>
      <c r="AH590" s="1333"/>
      <c r="AI590" s="1333"/>
      <c r="AJ590" s="1333"/>
      <c r="AK590" s="1333"/>
      <c r="AZ590" s="3"/>
      <c r="BA590" s="3"/>
      <c r="BB590" s="3"/>
      <c r="BC590" s="3"/>
    </row>
    <row r="591" spans="1:55" ht="12.95" customHeight="1">
      <c r="A591" s="19"/>
      <c r="B591" t="s">
        <v>1399</v>
      </c>
      <c r="N591" s="1294" t="s">
        <v>846</v>
      </c>
      <c r="O591" s="1294"/>
      <c r="T591" s="19"/>
      <c r="U591" t="s">
        <v>1399</v>
      </c>
      <c r="AG591" s="1294" t="s">
        <v>846</v>
      </c>
      <c r="AH591" s="1294"/>
      <c r="AZ591" s="3"/>
      <c r="BA591" s="3"/>
      <c r="BB591" s="3"/>
      <c r="BC591" s="3"/>
    </row>
    <row r="592" spans="1:55" ht="12.95" customHeight="1">
      <c r="A592" s="19"/>
      <c r="T592" s="19"/>
      <c r="AZ592" s="3"/>
      <c r="BA592" s="3"/>
      <c r="BB592" s="3"/>
      <c r="BC592" s="3"/>
    </row>
    <row r="593" spans="1:55" ht="12.95" customHeight="1">
      <c r="A593" s="47" t="s">
        <v>1381</v>
      </c>
      <c r="B593" t="s">
        <v>1390</v>
      </c>
      <c r="G593" s="1320" t="str">
        <f>C560</f>
        <v>City of Bakersfield AHTF 25-26</v>
      </c>
      <c r="H593" s="1320"/>
      <c r="I593" s="1320"/>
      <c r="J593" s="1320"/>
      <c r="K593" s="1320"/>
      <c r="L593" s="1320"/>
      <c r="M593" s="1320"/>
      <c r="N593" s="1320"/>
      <c r="O593" s="1320"/>
      <c r="P593" s="1320"/>
      <c r="Q593" s="1320"/>
      <c r="R593" s="1320"/>
      <c r="T593" s="47" t="s">
        <v>1383</v>
      </c>
      <c r="U593" t="s">
        <v>1390</v>
      </c>
      <c r="Z593" s="1320" t="str">
        <f>C561</f>
        <v>Deferred Costs</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1063</v>
      </c>
      <c r="C594"/>
      <c r="D594"/>
      <c r="E594"/>
      <c r="F594"/>
      <c r="G594" s="1333" t="s">
        <v>813</v>
      </c>
      <c r="H594" s="1333"/>
      <c r="I594" s="1333"/>
      <c r="J594" s="1333"/>
      <c r="K594" s="1333"/>
      <c r="L594" s="1333"/>
      <c r="M594" s="1333"/>
      <c r="N594" s="1333"/>
      <c r="O594" s="1333"/>
      <c r="P594" s="1333"/>
      <c r="Q594" s="1333"/>
      <c r="R594" s="1333"/>
      <c r="S594"/>
      <c r="T594" s="19"/>
      <c r="U594" t="s">
        <v>1063</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931</v>
      </c>
      <c r="C595"/>
      <c r="D595"/>
      <c r="E595"/>
      <c r="F595"/>
      <c r="G595" s="1333" t="s">
        <v>817</v>
      </c>
      <c r="H595" s="1333"/>
      <c r="I595" s="1333"/>
      <c r="J595" s="1333"/>
      <c r="K595" s="1333"/>
      <c r="L595" s="1333"/>
      <c r="M595" s="1333"/>
      <c r="N595" s="1333"/>
      <c r="O595" s="1333"/>
      <c r="P595" s="1333"/>
      <c r="Q595" s="1333"/>
      <c r="R595" s="1333"/>
      <c r="S595"/>
      <c r="T595" s="19"/>
      <c r="U595" t="s">
        <v>931</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1392</v>
      </c>
      <c r="C596"/>
      <c r="D596"/>
      <c r="E596"/>
      <c r="F596"/>
      <c r="G596" s="1333" t="s">
        <v>1401</v>
      </c>
      <c r="H596" s="1333"/>
      <c r="I596" s="1333"/>
      <c r="J596" s="1333"/>
      <c r="K596" s="1333"/>
      <c r="L596" s="1333"/>
      <c r="M596" s="1333"/>
      <c r="N596" s="1333"/>
      <c r="O596" s="1333"/>
      <c r="P596" s="1333"/>
      <c r="Q596" s="1333"/>
      <c r="R596" s="1333"/>
      <c r="S596"/>
      <c r="T596" s="19"/>
      <c r="U596" t="s">
        <v>1392</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825</v>
      </c>
      <c r="C597"/>
      <c r="D597"/>
      <c r="E597"/>
      <c r="F597"/>
      <c r="G597" s="1308" t="s">
        <v>1402</v>
      </c>
      <c r="H597" s="1308"/>
      <c r="I597" s="1308"/>
      <c r="J597" s="1308"/>
      <c r="K597" s="1308"/>
      <c r="L597" s="1308"/>
      <c r="M597"/>
      <c r="N597"/>
      <c r="O597" s="923" t="s">
        <v>1070</v>
      </c>
      <c r="P597" s="1395"/>
      <c r="Q597" s="1395"/>
      <c r="R597" s="1395"/>
      <c r="S597"/>
      <c r="T597" s="19"/>
      <c r="U597" t="s">
        <v>825</v>
      </c>
      <c r="V597"/>
      <c r="W597"/>
      <c r="X597"/>
      <c r="Y597"/>
      <c r="Z597" s="1308"/>
      <c r="AA597" s="1308"/>
      <c r="AB597" s="1308"/>
      <c r="AC597" s="1308"/>
      <c r="AD597" s="1308"/>
      <c r="AE597" s="1308"/>
      <c r="AF597"/>
      <c r="AG597"/>
      <c r="AH597" s="923" t="s">
        <v>1070</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1395</v>
      </c>
      <c r="C598"/>
      <c r="D598"/>
      <c r="E598"/>
      <c r="F598"/>
      <c r="G598"/>
      <c r="H598" s="1333" t="s">
        <v>1343</v>
      </c>
      <c r="I598" s="1333"/>
      <c r="J598" s="1333"/>
      <c r="K598" s="1333"/>
      <c r="L598" s="1333"/>
      <c r="M598" s="1333"/>
      <c r="N598" s="1333"/>
      <c r="O598" s="1333"/>
      <c r="P598" s="1333"/>
      <c r="Q598" s="1333"/>
      <c r="R598" s="1333"/>
      <c r="S598"/>
      <c r="T598" s="19"/>
      <c r="U598" t="s">
        <v>1395</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1399</v>
      </c>
      <c r="N599" s="1294" t="s">
        <v>846</v>
      </c>
      <c r="O599" s="1294"/>
      <c r="T599" s="19"/>
      <c r="U599" t="s">
        <v>1399</v>
      </c>
      <c r="AG599" s="1294" t="s">
        <v>694</v>
      </c>
      <c r="AH599" s="1294"/>
      <c r="BB599" s="3"/>
      <c r="BC599" s="3"/>
    </row>
    <row r="600" spans="1:55" ht="12.95" customHeight="1">
      <c r="A600" s="19"/>
      <c r="T600" s="19"/>
      <c r="BB600" s="3"/>
      <c r="BC600" s="3"/>
    </row>
    <row r="601" spans="1:55" ht="12.95" customHeight="1">
      <c r="A601" s="47" t="s">
        <v>1385</v>
      </c>
      <c r="B601" t="s">
        <v>1390</v>
      </c>
      <c r="G601" s="1320">
        <f>C562</f>
        <v>0</v>
      </c>
      <c r="H601" s="1320"/>
      <c r="I601" s="1320"/>
      <c r="J601" s="1320"/>
      <c r="K601" s="1320"/>
      <c r="L601" s="1320"/>
      <c r="M601" s="1320"/>
      <c r="N601" s="1320"/>
      <c r="O601" s="1320"/>
      <c r="P601" s="1320"/>
      <c r="Q601" s="1320"/>
      <c r="R601" s="1320"/>
      <c r="T601" s="47" t="s">
        <v>1386</v>
      </c>
      <c r="U601" t="s">
        <v>1390</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1063</v>
      </c>
      <c r="G602" s="1333"/>
      <c r="H602" s="1333"/>
      <c r="I602" s="1333"/>
      <c r="J602" s="1333"/>
      <c r="K602" s="1333"/>
      <c r="L602" s="1333"/>
      <c r="M602" s="1333"/>
      <c r="N602" s="1333"/>
      <c r="O602" s="1333"/>
      <c r="P602" s="1333"/>
      <c r="Q602" s="1333"/>
      <c r="R602" s="1333"/>
      <c r="T602" s="19"/>
      <c r="U602" t="s">
        <v>1063</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931</v>
      </c>
      <c r="G603" s="1333"/>
      <c r="H603" s="1333"/>
      <c r="I603" s="1333"/>
      <c r="J603" s="1333"/>
      <c r="K603" s="1333"/>
      <c r="L603" s="1333"/>
      <c r="M603" s="1333"/>
      <c r="N603" s="1333"/>
      <c r="O603" s="1333"/>
      <c r="P603" s="1333"/>
      <c r="Q603" s="1333"/>
      <c r="R603" s="1333"/>
      <c r="T603" s="19"/>
      <c r="U603" t="s">
        <v>931</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1392</v>
      </c>
      <c r="G604" s="1333"/>
      <c r="H604" s="1333"/>
      <c r="I604" s="1333"/>
      <c r="J604" s="1333"/>
      <c r="K604" s="1333"/>
      <c r="L604" s="1333"/>
      <c r="M604" s="1333"/>
      <c r="N604" s="1333"/>
      <c r="O604" s="1333"/>
      <c r="P604" s="1333"/>
      <c r="Q604" s="1333"/>
      <c r="R604" s="1333"/>
      <c r="T604" s="19"/>
      <c r="U604" t="s">
        <v>1392</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825</v>
      </c>
      <c r="C605"/>
      <c r="D605"/>
      <c r="E605"/>
      <c r="F605"/>
      <c r="G605" s="1308"/>
      <c r="H605" s="1308"/>
      <c r="I605" s="1308"/>
      <c r="J605" s="1308"/>
      <c r="K605" s="1308"/>
      <c r="L605" s="1308"/>
      <c r="M605"/>
      <c r="N605"/>
      <c r="O605" s="923" t="s">
        <v>1070</v>
      </c>
      <c r="P605" s="1395"/>
      <c r="Q605" s="1395"/>
      <c r="R605" s="1395"/>
      <c r="S605"/>
      <c r="T605" s="19"/>
      <c r="U605" t="s">
        <v>825</v>
      </c>
      <c r="V605"/>
      <c r="W605"/>
      <c r="X605"/>
      <c r="Y605"/>
      <c r="Z605" s="1308"/>
      <c r="AA605" s="1308"/>
      <c r="AB605" s="1308"/>
      <c r="AC605" s="1308"/>
      <c r="AD605" s="1308"/>
      <c r="AE605" s="1308"/>
      <c r="AF605"/>
      <c r="AG605"/>
      <c r="AH605" s="923" t="s">
        <v>1070</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1395</v>
      </c>
      <c r="C606"/>
      <c r="D606"/>
      <c r="E606"/>
      <c r="F606"/>
      <c r="G606"/>
      <c r="H606" s="1333"/>
      <c r="I606" s="1333"/>
      <c r="J606" s="1333"/>
      <c r="K606" s="1333"/>
      <c r="L606" s="1333"/>
      <c r="M606" s="1333"/>
      <c r="N606" s="1333"/>
      <c r="O606" s="1333"/>
      <c r="P606" s="1333"/>
      <c r="Q606" s="1333"/>
      <c r="R606" s="1333"/>
      <c r="S606"/>
      <c r="T606" s="19"/>
      <c r="U606" t="s">
        <v>1395</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1399</v>
      </c>
      <c r="C607"/>
      <c r="D607"/>
      <c r="E607"/>
      <c r="F607"/>
      <c r="G607"/>
      <c r="H607"/>
      <c r="I607"/>
      <c r="J607"/>
      <c r="K607"/>
      <c r="L607"/>
      <c r="M607"/>
      <c r="N607" s="1294" t="s">
        <v>694</v>
      </c>
      <c r="O607" s="1294"/>
      <c r="P607"/>
      <c r="Q607"/>
      <c r="R607"/>
      <c r="S607"/>
      <c r="T607" s="19"/>
      <c r="U607" t="s">
        <v>1399</v>
      </c>
      <c r="V607"/>
      <c r="W607"/>
      <c r="X607"/>
      <c r="Y607"/>
      <c r="Z607"/>
      <c r="AA607"/>
      <c r="AB607"/>
      <c r="AC607"/>
      <c r="AD607"/>
      <c r="AE607"/>
      <c r="AF607"/>
      <c r="AG607" s="1294" t="s">
        <v>694</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1387</v>
      </c>
      <c r="B609" t="s">
        <v>1390</v>
      </c>
      <c r="G609" s="1320">
        <f>C564</f>
        <v>0</v>
      </c>
      <c r="H609" s="1320"/>
      <c r="I609" s="1320"/>
      <c r="J609" s="1320"/>
      <c r="K609" s="1320"/>
      <c r="L609" s="1320"/>
      <c r="M609" s="1320"/>
      <c r="N609" s="1320"/>
      <c r="O609" s="1320"/>
      <c r="P609" s="1320"/>
      <c r="Q609" s="1320"/>
      <c r="R609" s="1320"/>
      <c r="T609" s="47" t="s">
        <v>1388</v>
      </c>
      <c r="U609" t="s">
        <v>1390</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1063</v>
      </c>
      <c r="G610" s="1333"/>
      <c r="H610" s="1333"/>
      <c r="I610" s="1333"/>
      <c r="J610" s="1333"/>
      <c r="K610" s="1333"/>
      <c r="L610" s="1333"/>
      <c r="M610" s="1333"/>
      <c r="N610" s="1333"/>
      <c r="O610" s="1333"/>
      <c r="P610" s="1333"/>
      <c r="Q610" s="1333"/>
      <c r="R610" s="1333"/>
      <c r="U610" t="s">
        <v>1063</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931</v>
      </c>
      <c r="G611" s="1333"/>
      <c r="H611" s="1333"/>
      <c r="I611" s="1333"/>
      <c r="J611" s="1333"/>
      <c r="K611" s="1333"/>
      <c r="L611" s="1333"/>
      <c r="M611" s="1333"/>
      <c r="N611" s="1333"/>
      <c r="O611" s="1333"/>
      <c r="P611" s="1333"/>
      <c r="Q611" s="1333"/>
      <c r="R611" s="1333"/>
      <c r="U611" t="s">
        <v>931</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1392</v>
      </c>
      <c r="G612" s="1333"/>
      <c r="H612" s="1333"/>
      <c r="I612" s="1333"/>
      <c r="J612" s="1333"/>
      <c r="K612" s="1333"/>
      <c r="L612" s="1333"/>
      <c r="M612" s="1333"/>
      <c r="N612" s="1333"/>
      <c r="O612" s="1333"/>
      <c r="P612" s="1333"/>
      <c r="Q612" s="1333"/>
      <c r="R612" s="1333"/>
      <c r="U612" t="s">
        <v>1392</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825</v>
      </c>
      <c r="G613" s="1308"/>
      <c r="H613" s="1308"/>
      <c r="I613" s="1308"/>
      <c r="J613" s="1308"/>
      <c r="K613" s="1308"/>
      <c r="L613" s="1308"/>
      <c r="O613" s="923" t="s">
        <v>1070</v>
      </c>
      <c r="P613" s="1395"/>
      <c r="Q613" s="1395"/>
      <c r="R613" s="1395"/>
      <c r="U613" t="s">
        <v>825</v>
      </c>
      <c r="Z613" s="1308"/>
      <c r="AA613" s="1308"/>
      <c r="AB613" s="1308"/>
      <c r="AC613" s="1308"/>
      <c r="AD613" s="1308"/>
      <c r="AE613" s="1308"/>
      <c r="AH613" s="923" t="s">
        <v>1070</v>
      </c>
      <c r="AI613" s="1395"/>
      <c r="AJ613" s="1395"/>
      <c r="AK613" s="1395"/>
      <c r="AZ613" s="3"/>
      <c r="BA613" s="3"/>
      <c r="BB613" s="3"/>
      <c r="BC613" s="3"/>
    </row>
    <row r="614" spans="1:55" ht="12.95" customHeight="1">
      <c r="B614" t="s">
        <v>1395</v>
      </c>
      <c r="H614" s="1333"/>
      <c r="I614" s="1333"/>
      <c r="J614" s="1333"/>
      <c r="K614" s="1333"/>
      <c r="L614" s="1333"/>
      <c r="M614" s="1333"/>
      <c r="N614" s="1333"/>
      <c r="O614" s="1333"/>
      <c r="P614" s="1333"/>
      <c r="Q614" s="1333"/>
      <c r="R614" s="1333"/>
      <c r="U614" t="s">
        <v>1395</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1399</v>
      </c>
      <c r="N615" s="1294" t="s">
        <v>694</v>
      </c>
      <c r="O615" s="1294"/>
      <c r="U615" t="s">
        <v>1399</v>
      </c>
      <c r="AG615" s="1294" t="s">
        <v>694</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1408</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871</v>
      </c>
      <c r="B620" s="2"/>
      <c r="C620" s="2" t="s">
        <v>175</v>
      </c>
      <c r="AZ620" s="3"/>
      <c r="BA620" s="3"/>
      <c r="BB620" s="3"/>
      <c r="BC620" s="3"/>
    </row>
    <row r="621" spans="1:55" ht="12.95" customHeight="1">
      <c r="A621" s="2"/>
      <c r="B621" s="2"/>
      <c r="C621" s="2"/>
      <c r="AZ621" s="3"/>
      <c r="BA621" s="3"/>
      <c r="BB621" s="3"/>
      <c r="BC621" s="3"/>
    </row>
    <row r="622" spans="1:55" ht="12.95" customHeight="1">
      <c r="C622" s="2" t="s">
        <v>1364</v>
      </c>
      <c r="AZ622" s="3"/>
      <c r="BA622" s="3"/>
      <c r="BB622" s="3"/>
      <c r="BC622" s="3"/>
    </row>
    <row r="623" spans="1:55" ht="12.95" customHeight="1">
      <c r="B623" s="412"/>
      <c r="C623" s="2"/>
      <c r="AU623" s="3"/>
      <c r="AZ623" s="3"/>
      <c r="BA623" s="3"/>
      <c r="BB623" s="3"/>
      <c r="BC623" s="3"/>
    </row>
    <row r="624" spans="1:55" ht="12.95" customHeight="1">
      <c r="B624" s="1643" t="s">
        <v>1365</v>
      </c>
      <c r="C624" s="1643"/>
      <c r="D624" s="1643"/>
      <c r="E624" s="1643"/>
      <c r="F624" s="1643"/>
      <c r="G624" s="1643"/>
      <c r="H624" s="1643"/>
      <c r="I624" s="1643"/>
      <c r="J624" s="1643"/>
      <c r="K624" s="1643"/>
      <c r="L624" s="1643"/>
      <c r="M624" s="1400" t="s">
        <v>1366</v>
      </c>
      <c r="N624" s="1400"/>
      <c r="O624" s="1400"/>
      <c r="P624" s="1400"/>
      <c r="Q624" s="1400" t="s">
        <v>1409</v>
      </c>
      <c r="R624" s="1400"/>
      <c r="S624" s="1400"/>
      <c r="T624" s="1400" t="s">
        <v>1410</v>
      </c>
      <c r="U624" s="1400"/>
      <c r="V624" s="1400"/>
      <c r="W624" s="1644" t="s">
        <v>1369</v>
      </c>
      <c r="X624" s="1644"/>
      <c r="Y624" s="1644"/>
      <c r="Z624" s="1389" t="s">
        <v>1411</v>
      </c>
      <c r="AA624" s="1389"/>
      <c r="AB624" s="1390"/>
      <c r="AC624" s="1626" t="s">
        <v>1371</v>
      </c>
      <c r="AD624" s="1627"/>
      <c r="AE624" s="1628"/>
      <c r="AF624" s="1616" t="s">
        <v>1412</v>
      </c>
      <c r="AG624" s="1389"/>
      <c r="AH624" s="1389"/>
      <c r="AI624" s="1389"/>
      <c r="AJ624" s="1390"/>
      <c r="AK624" s="1675" t="s">
        <v>1413</v>
      </c>
      <c r="AL624" s="1676"/>
      <c r="AM624" s="1676"/>
      <c r="AN624" s="1677"/>
      <c r="AO624" s="1400" t="s">
        <v>1373</v>
      </c>
      <c r="AP624" s="1400"/>
      <c r="AQ624" s="1400"/>
      <c r="AR624" s="1400"/>
      <c r="AS624" s="1400"/>
      <c r="AU624" s="3"/>
      <c r="AZ624" s="3"/>
      <c r="BA624" s="3"/>
      <c r="BB624" s="3"/>
      <c r="BC624" s="3"/>
    </row>
    <row r="625" spans="2:157" ht="12.9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2.9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2.95" customHeight="1">
      <c r="B627" s="43" t="s">
        <v>18</v>
      </c>
      <c r="C627" s="1309" t="s">
        <v>1414</v>
      </c>
      <c r="D627" s="1309"/>
      <c r="E627" s="1309"/>
      <c r="F627" s="1309"/>
      <c r="G627" s="1309"/>
      <c r="H627" s="1309"/>
      <c r="I627" s="1309"/>
      <c r="J627" s="1309"/>
      <c r="K627" s="1309"/>
      <c r="L627" s="1309"/>
      <c r="M627" s="1564" t="s">
        <v>1339</v>
      </c>
      <c r="N627" s="1564"/>
      <c r="O627" s="1564"/>
      <c r="P627" s="1564"/>
      <c r="Q627" s="1384">
        <v>204</v>
      </c>
      <c r="R627" s="1384"/>
      <c r="S627" s="1385"/>
      <c r="T627" s="1383">
        <v>480</v>
      </c>
      <c r="U627" s="1384"/>
      <c r="V627" s="1385"/>
      <c r="W627" s="1396">
        <v>7.0000000000000007E-2</v>
      </c>
      <c r="X627" s="1397"/>
      <c r="Y627" s="1398"/>
      <c r="Z627" s="1430" t="s">
        <v>1028</v>
      </c>
      <c r="AA627" s="1431"/>
      <c r="AB627" s="1432"/>
      <c r="AC627" s="1404">
        <v>1</v>
      </c>
      <c r="AD627" s="1405"/>
      <c r="AE627" s="1406"/>
      <c r="AF627" s="1427">
        <v>156601</v>
      </c>
      <c r="AG627" s="1428"/>
      <c r="AH627" s="1428"/>
      <c r="AI627" s="1428"/>
      <c r="AJ627" s="1429"/>
      <c r="AK627" s="1386"/>
      <c r="AL627" s="1387"/>
      <c r="AM627" s="1387"/>
      <c r="AN627" s="1388"/>
      <c r="AO627" s="1433">
        <v>2100000</v>
      </c>
      <c r="AP627" s="1433"/>
      <c r="AQ627" s="1433"/>
      <c r="AR627" s="1433"/>
      <c r="AS627" s="1433"/>
      <c r="AT627" s="3"/>
      <c r="AU627" s="3"/>
      <c r="AZ627" s="3"/>
      <c r="BA627" s="3"/>
      <c r="BB627" s="3"/>
      <c r="BC627" s="3"/>
      <c r="BD627" s="3"/>
    </row>
    <row r="628" spans="2:157" ht="12.95" customHeight="1">
      <c r="B628" s="44" t="s">
        <v>31</v>
      </c>
      <c r="C628" s="1309" t="s">
        <v>1415</v>
      </c>
      <c r="D628" s="1309"/>
      <c r="E628" s="1309"/>
      <c r="F628" s="1309"/>
      <c r="G628" s="1309"/>
      <c r="H628" s="1309"/>
      <c r="I628" s="1309"/>
      <c r="J628" s="1309"/>
      <c r="K628" s="1309"/>
      <c r="L628" s="1309"/>
      <c r="M628" s="1564" t="s">
        <v>1343</v>
      </c>
      <c r="N628" s="1564"/>
      <c r="O628" s="1564"/>
      <c r="P628" s="1564"/>
      <c r="Q628" s="1383">
        <v>660</v>
      </c>
      <c r="R628" s="1384"/>
      <c r="S628" s="1385"/>
      <c r="T628" s="1383"/>
      <c r="U628" s="1384"/>
      <c r="V628" s="1385"/>
      <c r="W628" s="1396">
        <v>0.03</v>
      </c>
      <c r="X628" s="1397"/>
      <c r="Y628" s="1398"/>
      <c r="Z628" s="1430" t="s">
        <v>1028</v>
      </c>
      <c r="AA628" s="1431"/>
      <c r="AB628" s="1432"/>
      <c r="AC628" s="1404">
        <v>2</v>
      </c>
      <c r="AD628" s="1405"/>
      <c r="AE628" s="1406"/>
      <c r="AF628" s="1427"/>
      <c r="AG628" s="1428"/>
      <c r="AH628" s="1428"/>
      <c r="AI628" s="1428"/>
      <c r="AJ628" s="1429"/>
      <c r="AK628" s="1386"/>
      <c r="AL628" s="1387"/>
      <c r="AM628" s="1387"/>
      <c r="AN628" s="1388"/>
      <c r="AO628" s="1424">
        <v>3500000</v>
      </c>
      <c r="AP628" s="1425"/>
      <c r="AQ628" s="1425"/>
      <c r="AR628" s="1425"/>
      <c r="AS628" s="1426"/>
      <c r="AT628" s="1037" t="str">
        <f>IF(AND(NOT(C627=""),C628="",NOT(C629="")),"!","")</f>
        <v/>
      </c>
      <c r="AU628" s="3"/>
      <c r="AZ628" s="3"/>
      <c r="BA628" s="3"/>
      <c r="BB628" s="3"/>
      <c r="BC628" s="3"/>
      <c r="BD628" s="3"/>
    </row>
    <row r="629" spans="2:157" ht="12.95" customHeight="1">
      <c r="B629" s="44" t="s">
        <v>39</v>
      </c>
      <c r="C629" s="1309" t="s">
        <v>1377</v>
      </c>
      <c r="D629" s="1309"/>
      <c r="E629" s="1309"/>
      <c r="F629" s="1309"/>
      <c r="G629" s="1309"/>
      <c r="H629" s="1309"/>
      <c r="I629" s="1309"/>
      <c r="J629" s="1309"/>
      <c r="K629" s="1309"/>
      <c r="L629" s="1309"/>
      <c r="M629" s="1564" t="s">
        <v>1343</v>
      </c>
      <c r="N629" s="1564"/>
      <c r="O629" s="1564"/>
      <c r="P629" s="1564"/>
      <c r="Q629" s="1383">
        <v>660</v>
      </c>
      <c r="R629" s="1384"/>
      <c r="S629" s="1385"/>
      <c r="T629" s="1383"/>
      <c r="U629" s="1384"/>
      <c r="V629" s="1385"/>
      <c r="W629" s="1396">
        <v>0.03</v>
      </c>
      <c r="X629" s="1397"/>
      <c r="Y629" s="1398"/>
      <c r="Z629" s="1430" t="s">
        <v>1028</v>
      </c>
      <c r="AA629" s="1431"/>
      <c r="AB629" s="1432"/>
      <c r="AC629" s="1404">
        <v>2</v>
      </c>
      <c r="AD629" s="1405"/>
      <c r="AE629" s="1406"/>
      <c r="AF629" s="1427"/>
      <c r="AG629" s="1428"/>
      <c r="AH629" s="1428"/>
      <c r="AI629" s="1428"/>
      <c r="AJ629" s="1429"/>
      <c r="AK629" s="1386"/>
      <c r="AL629" s="1387"/>
      <c r="AM629" s="1387"/>
      <c r="AN629" s="1388"/>
      <c r="AO629" s="1424">
        <v>2000000</v>
      </c>
      <c r="AP629" s="1425"/>
      <c r="AQ629" s="1425"/>
      <c r="AR629" s="1425"/>
      <c r="AS629" s="1426"/>
      <c r="AT629" s="1037" t="str">
        <f t="shared" ref="AT629:AT638" si="1">IF(AND(NOT(C628=""),C629="",NOT(C630="")),"!","")</f>
        <v/>
      </c>
      <c r="AU629" s="3"/>
      <c r="AZ629" s="3"/>
      <c r="BA629" s="3"/>
      <c r="BB629" s="3"/>
      <c r="BC629" s="3"/>
      <c r="BD629" s="3"/>
    </row>
    <row r="630" spans="2:157" ht="12.95" customHeight="1">
      <c r="B630" s="44" t="s">
        <v>82</v>
      </c>
      <c r="C630" s="1309" t="s">
        <v>1416</v>
      </c>
      <c r="D630" s="1309"/>
      <c r="E630" s="1309"/>
      <c r="F630" s="1309"/>
      <c r="G630" s="1309"/>
      <c r="H630" s="1309"/>
      <c r="I630" s="1309"/>
      <c r="J630" s="1309"/>
      <c r="K630" s="1309"/>
      <c r="L630" s="1309"/>
      <c r="M630" s="1564" t="s">
        <v>1343</v>
      </c>
      <c r="N630" s="1564"/>
      <c r="O630" s="1564"/>
      <c r="P630" s="1564"/>
      <c r="Q630" s="1383">
        <v>660</v>
      </c>
      <c r="R630" s="1384"/>
      <c r="S630" s="1385"/>
      <c r="T630" s="1383"/>
      <c r="U630" s="1384"/>
      <c r="V630" s="1385"/>
      <c r="W630" s="1396">
        <v>0.03</v>
      </c>
      <c r="X630" s="1397"/>
      <c r="Y630" s="1398"/>
      <c r="Z630" s="1430" t="s">
        <v>1028</v>
      </c>
      <c r="AA630" s="1431"/>
      <c r="AB630" s="1432"/>
      <c r="AC630" s="1404">
        <v>2</v>
      </c>
      <c r="AD630" s="1405"/>
      <c r="AE630" s="1406"/>
      <c r="AF630" s="1427"/>
      <c r="AG630" s="1428"/>
      <c r="AH630" s="1428"/>
      <c r="AI630" s="1428"/>
      <c r="AJ630" s="1429"/>
      <c r="AK630" s="1386"/>
      <c r="AL630" s="1387"/>
      <c r="AM630" s="1387"/>
      <c r="AN630" s="1388"/>
      <c r="AO630" s="1424">
        <v>167537</v>
      </c>
      <c r="AP630" s="1425"/>
      <c r="AQ630" s="1425"/>
      <c r="AR630" s="1425"/>
      <c r="AS630" s="1426"/>
      <c r="AT630" s="1037" t="str">
        <f t="shared" si="1"/>
        <v/>
      </c>
      <c r="AU630" s="3"/>
      <c r="AZ630" s="3"/>
      <c r="BA630" s="3"/>
      <c r="BB630" s="3"/>
      <c r="BC630" s="3"/>
      <c r="BD630" s="3"/>
    </row>
    <row r="631" spans="2:157" ht="12.95" customHeight="1">
      <c r="B631" s="44" t="s">
        <v>86</v>
      </c>
      <c r="C631" s="1309" t="s">
        <v>1417</v>
      </c>
      <c r="D631" s="1309"/>
      <c r="E631" s="1309"/>
      <c r="F631" s="1309"/>
      <c r="G631" s="1309"/>
      <c r="H631" s="1309"/>
      <c r="I631" s="1309"/>
      <c r="J631" s="1309"/>
      <c r="K631" s="1309"/>
      <c r="L631" s="1309"/>
      <c r="M631" s="1564" t="s">
        <v>1337</v>
      </c>
      <c r="N631" s="1564"/>
      <c r="O631" s="1564"/>
      <c r="P631" s="1564"/>
      <c r="Q631" s="1383">
        <v>660</v>
      </c>
      <c r="R631" s="1384"/>
      <c r="S631" s="1385"/>
      <c r="T631" s="1383"/>
      <c r="U631" s="1384"/>
      <c r="V631" s="1385"/>
      <c r="W631" s="1396">
        <v>0.03</v>
      </c>
      <c r="X631" s="1397"/>
      <c r="Y631" s="1398"/>
      <c r="Z631" s="1430" t="s">
        <v>1028</v>
      </c>
      <c r="AA631" s="1431"/>
      <c r="AB631" s="1432"/>
      <c r="AC631" s="1404">
        <v>2</v>
      </c>
      <c r="AD631" s="1405"/>
      <c r="AE631" s="1406"/>
      <c r="AF631" s="1427"/>
      <c r="AG631" s="1428"/>
      <c r="AH631" s="1428"/>
      <c r="AI631" s="1428"/>
      <c r="AJ631" s="1429"/>
      <c r="AK631" s="1386"/>
      <c r="AL631" s="1387"/>
      <c r="AM631" s="1387"/>
      <c r="AN631" s="1388"/>
      <c r="AO631" s="1424">
        <v>3330275</v>
      </c>
      <c r="AP631" s="1425"/>
      <c r="AQ631" s="1425"/>
      <c r="AR631" s="1425"/>
      <c r="AS631" s="1426"/>
      <c r="AT631" s="1037" t="str">
        <f t="shared" si="1"/>
        <v/>
      </c>
      <c r="AU631" s="3"/>
      <c r="AZ631" s="3"/>
      <c r="BA631" s="3"/>
      <c r="BB631" s="3"/>
      <c r="BC631" s="3"/>
      <c r="BD631" s="3"/>
    </row>
    <row r="632" spans="2:157" ht="12.95" customHeight="1">
      <c r="B632" s="44" t="s">
        <v>1379</v>
      </c>
      <c r="C632" s="1309" t="s">
        <v>1418</v>
      </c>
      <c r="D632" s="1309"/>
      <c r="E632" s="1309"/>
      <c r="F632" s="1309"/>
      <c r="G632" s="1309"/>
      <c r="H632" s="1309"/>
      <c r="I632" s="1309"/>
      <c r="J632" s="1309"/>
      <c r="K632" s="1309"/>
      <c r="L632" s="1309"/>
      <c r="M632" s="1564" t="s">
        <v>1327</v>
      </c>
      <c r="N632" s="1564"/>
      <c r="O632" s="1564"/>
      <c r="P632" s="1564"/>
      <c r="Q632" s="1383"/>
      <c r="R632" s="1384"/>
      <c r="S632" s="1385"/>
      <c r="T632" s="1383"/>
      <c r="U632" s="1384"/>
      <c r="V632" s="1385"/>
      <c r="W632" s="1396"/>
      <c r="X632" s="1397"/>
      <c r="Y632" s="1398"/>
      <c r="Z632" s="1430" t="s">
        <v>1028</v>
      </c>
      <c r="AA632" s="1431"/>
      <c r="AB632" s="1432"/>
      <c r="AC632" s="1404"/>
      <c r="AD632" s="1405"/>
      <c r="AE632" s="1406"/>
      <c r="AF632" s="1427"/>
      <c r="AG632" s="1428"/>
      <c r="AH632" s="1428"/>
      <c r="AI632" s="1428"/>
      <c r="AJ632" s="1429"/>
      <c r="AK632" s="1386"/>
      <c r="AL632" s="1387"/>
      <c r="AM632" s="1387"/>
      <c r="AN632" s="1388"/>
      <c r="AO632" s="1424">
        <v>4766</v>
      </c>
      <c r="AP632" s="1425"/>
      <c r="AQ632" s="1425"/>
      <c r="AR632" s="1425"/>
      <c r="AS632" s="1426"/>
      <c r="AT632" s="1037" t="str">
        <f t="shared" si="1"/>
        <v/>
      </c>
      <c r="AU632" s="3"/>
      <c r="AZ632" s="3"/>
      <c r="BA632" s="3"/>
      <c r="BB632" s="3"/>
      <c r="BC632" s="3"/>
      <c r="BD632" s="3"/>
    </row>
    <row r="633" spans="2:157" ht="12.95" customHeight="1">
      <c r="B633" s="44" t="s">
        <v>1381</v>
      </c>
      <c r="C633" s="1309"/>
      <c r="D633" s="1309"/>
      <c r="E633" s="1309"/>
      <c r="F633" s="1309"/>
      <c r="G633" s="1309"/>
      <c r="H633" s="1309"/>
      <c r="I633" s="1309"/>
      <c r="J633" s="1309"/>
      <c r="K633" s="1309"/>
      <c r="L633" s="1309"/>
      <c r="M633" s="1564" t="s">
        <v>1028</v>
      </c>
      <c r="N633" s="1564"/>
      <c r="O633" s="1564"/>
      <c r="P633" s="1564"/>
      <c r="Q633" s="1383"/>
      <c r="R633" s="1384"/>
      <c r="S633" s="1385"/>
      <c r="T633" s="1383"/>
      <c r="U633" s="1384"/>
      <c r="V633" s="1385"/>
      <c r="W633" s="1396"/>
      <c r="X633" s="1397"/>
      <c r="Y633" s="1398"/>
      <c r="Z633" s="1430" t="s">
        <v>1028</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2.95" customHeight="1">
      <c r="B634" s="44" t="s">
        <v>1383</v>
      </c>
      <c r="C634" s="1309"/>
      <c r="D634" s="1309"/>
      <c r="E634" s="1309"/>
      <c r="F634" s="1309"/>
      <c r="G634" s="1309"/>
      <c r="H634" s="1309"/>
      <c r="I634" s="1309"/>
      <c r="J634" s="1309"/>
      <c r="K634" s="1309"/>
      <c r="L634" s="1309"/>
      <c r="M634" s="1564" t="s">
        <v>1028</v>
      </c>
      <c r="N634" s="1564"/>
      <c r="O634" s="1564"/>
      <c r="P634" s="1564"/>
      <c r="Q634" s="1383"/>
      <c r="R634" s="1384"/>
      <c r="S634" s="1385"/>
      <c r="T634" s="1383"/>
      <c r="U634" s="1384"/>
      <c r="V634" s="1385"/>
      <c r="W634" s="1396"/>
      <c r="X634" s="1397"/>
      <c r="Y634" s="1398"/>
      <c r="Z634" s="1430" t="s">
        <v>1028</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1028</v>
      </c>
      <c r="BB634" s="3"/>
      <c r="BC634" s="3"/>
      <c r="BD634" s="3"/>
    </row>
    <row r="635" spans="2:157" ht="12.95" customHeight="1">
      <c r="B635" s="44" t="s">
        <v>1385</v>
      </c>
      <c r="C635" s="1309"/>
      <c r="D635" s="1309"/>
      <c r="E635" s="1309"/>
      <c r="F635" s="1309"/>
      <c r="G635" s="1309"/>
      <c r="H635" s="1309"/>
      <c r="I635" s="1309"/>
      <c r="J635" s="1309"/>
      <c r="K635" s="1309"/>
      <c r="L635" s="1309"/>
      <c r="M635" s="1564" t="s">
        <v>1028</v>
      </c>
      <c r="N635" s="1564"/>
      <c r="O635" s="1564"/>
      <c r="P635" s="1564"/>
      <c r="Q635" s="1383"/>
      <c r="R635" s="1384"/>
      <c r="S635" s="1385"/>
      <c r="T635" s="1383"/>
      <c r="U635" s="1384"/>
      <c r="V635" s="1385"/>
      <c r="W635" s="1396"/>
      <c r="X635" s="1397"/>
      <c r="Y635" s="1398"/>
      <c r="Z635" s="1430" t="s">
        <v>1028</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1419</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188.94285714285715</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44" t="s">
        <v>1386</v>
      </c>
      <c r="C636" s="1309"/>
      <c r="D636" s="1309"/>
      <c r="E636" s="1309"/>
      <c r="F636" s="1309"/>
      <c r="G636" s="1309"/>
      <c r="H636" s="1309"/>
      <c r="I636" s="1309"/>
      <c r="J636" s="1309"/>
      <c r="K636" s="1309"/>
      <c r="L636" s="1309"/>
      <c r="M636" s="1564" t="s">
        <v>1028</v>
      </c>
      <c r="N636" s="1564"/>
      <c r="O636" s="1564"/>
      <c r="P636" s="1564"/>
      <c r="Q636" s="1383"/>
      <c r="R636" s="1384"/>
      <c r="S636" s="1385"/>
      <c r="T636" s="1383"/>
      <c r="U636" s="1384"/>
      <c r="V636" s="1385"/>
      <c r="W636" s="1396"/>
      <c r="X636" s="1397"/>
      <c r="Y636" s="1398"/>
      <c r="Z636" s="1430" t="s">
        <v>1028</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1420</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f t="shared" si="3"/>
        <v>143.80000000000001</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1387</v>
      </c>
      <c r="C637" s="1309"/>
      <c r="D637" s="1309"/>
      <c r="E637" s="1309"/>
      <c r="F637" s="1309"/>
      <c r="G637" s="1309"/>
      <c r="H637" s="1309"/>
      <c r="I637" s="1309"/>
      <c r="J637" s="1309"/>
      <c r="K637" s="1309"/>
      <c r="L637" s="1309"/>
      <c r="M637" s="1564" t="s">
        <v>1028</v>
      </c>
      <c r="N637" s="1564"/>
      <c r="O637" s="1564"/>
      <c r="P637" s="1564"/>
      <c r="Q637" s="1383"/>
      <c r="R637" s="1384"/>
      <c r="S637" s="1385"/>
      <c r="T637" s="1383"/>
      <c r="U637" s="1384"/>
      <c r="V637" s="1385"/>
      <c r="W637" s="1396"/>
      <c r="X637" s="1397"/>
      <c r="Y637" s="1398"/>
      <c r="Z637" s="1430" t="s">
        <v>1028</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1421</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f t="shared" si="3"/>
        <v>231.62857142857143</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1388</v>
      </c>
      <c r="C638" s="1309"/>
      <c r="D638" s="1309"/>
      <c r="E638" s="1309"/>
      <c r="F638" s="1309"/>
      <c r="G638" s="1309"/>
      <c r="H638" s="1309"/>
      <c r="I638" s="1309"/>
      <c r="J638" s="1309"/>
      <c r="K638" s="1309"/>
      <c r="L638" s="1309"/>
      <c r="M638" s="1564" t="s">
        <v>1028</v>
      </c>
      <c r="N638" s="1564"/>
      <c r="O638" s="1564"/>
      <c r="P638" s="1564"/>
      <c r="Q638" s="1383"/>
      <c r="R638" s="1384"/>
      <c r="S638" s="1385"/>
      <c r="T638" s="1383"/>
      <c r="U638" s="1384"/>
      <c r="V638" s="1385"/>
      <c r="W638" s="1396"/>
      <c r="X638" s="1397"/>
      <c r="Y638" s="1398"/>
      <c r="Z638" s="1430" t="s">
        <v>1028</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1422</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11102578</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1423</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8253983</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4" t="s">
        <v>1424</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19356561</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47" t="s">
        <v>18</v>
      </c>
      <c r="B643" t="s">
        <v>1390</v>
      </c>
      <c r="G643" s="1320" t="str">
        <f>C627</f>
        <v>Banc of California</v>
      </c>
      <c r="H643" s="1320"/>
      <c r="I643" s="1320"/>
      <c r="J643" s="1320"/>
      <c r="K643" s="1320"/>
      <c r="L643" s="1320"/>
      <c r="M643" s="1320"/>
      <c r="N643" s="1320"/>
      <c r="O643" s="1320"/>
      <c r="P643" s="1320"/>
      <c r="Q643" s="1320"/>
      <c r="R643" s="1320"/>
      <c r="S643" s="7"/>
      <c r="T643" s="47" t="s">
        <v>31</v>
      </c>
      <c r="U643" t="s">
        <v>1390</v>
      </c>
      <c r="Z643" s="1320" t="str">
        <f>C628</f>
        <v>City of Bakersfield  AHTF 25-26</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1063</v>
      </c>
      <c r="G644" s="1333" t="s">
        <v>1425</v>
      </c>
      <c r="H644" s="1333"/>
      <c r="I644" s="1333"/>
      <c r="J644" s="1333"/>
      <c r="K644" s="1333"/>
      <c r="L644" s="1333"/>
      <c r="M644" s="1333"/>
      <c r="N644" s="1333"/>
      <c r="O644" s="1333"/>
      <c r="P644" s="1333"/>
      <c r="Q644" s="1333"/>
      <c r="R644" s="1333"/>
      <c r="S644" s="7"/>
      <c r="T644" s="19"/>
      <c r="U644" t="s">
        <v>1063</v>
      </c>
      <c r="Z644" s="1377" t="s">
        <v>813</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931</v>
      </c>
      <c r="G645" s="1333" t="s">
        <v>1426</v>
      </c>
      <c r="H645" s="1333"/>
      <c r="I645" s="1333"/>
      <c r="J645" s="1333"/>
      <c r="K645" s="1333"/>
      <c r="L645" s="1333"/>
      <c r="M645" s="1333"/>
      <c r="N645" s="1333"/>
      <c r="O645" s="1333"/>
      <c r="P645" s="1333"/>
      <c r="Q645" s="1333"/>
      <c r="R645" s="1333"/>
      <c r="T645" s="19"/>
      <c r="U645" t="s">
        <v>931</v>
      </c>
      <c r="Z645" s="1395" t="s">
        <v>817</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1392</v>
      </c>
      <c r="G646" s="1333" t="s">
        <v>1393</v>
      </c>
      <c r="H646" s="1333"/>
      <c r="I646" s="1333"/>
      <c r="J646" s="1333"/>
      <c r="K646" s="1333"/>
      <c r="L646" s="1333"/>
      <c r="M646" s="1333"/>
      <c r="N646" s="1333"/>
      <c r="O646" s="1333"/>
      <c r="P646" s="1333"/>
      <c r="Q646" s="1333"/>
      <c r="R646" s="1333"/>
      <c r="S646" s="7"/>
      <c r="T646" s="19"/>
      <c r="U646" t="s">
        <v>1392</v>
      </c>
      <c r="Z646" s="1395" t="s">
        <v>1427</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9"/>
      <c r="B647" t="s">
        <v>825</v>
      </c>
      <c r="G647" s="1308" t="s">
        <v>1394</v>
      </c>
      <c r="H647" s="1308"/>
      <c r="I647" s="1308"/>
      <c r="J647" s="1308"/>
      <c r="K647" s="1308"/>
      <c r="L647" s="1308"/>
      <c r="O647" s="923" t="s">
        <v>1070</v>
      </c>
      <c r="P647" s="1395"/>
      <c r="Q647" s="1395"/>
      <c r="R647" s="1395"/>
      <c r="S647" s="9"/>
      <c r="T647" s="19"/>
      <c r="U647" t="s">
        <v>825</v>
      </c>
      <c r="Z647" s="1308" t="s">
        <v>1428</v>
      </c>
      <c r="AA647" s="1308"/>
      <c r="AB647" s="1308"/>
      <c r="AC647" s="1308"/>
      <c r="AD647" s="1308"/>
      <c r="AE647" s="1308"/>
      <c r="AH647" s="923" t="s">
        <v>1070</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1395</v>
      </c>
      <c r="H648" s="1333" t="s">
        <v>1429</v>
      </c>
      <c r="I648" s="1333"/>
      <c r="J648" s="1333"/>
      <c r="K648" s="1333"/>
      <c r="L648" s="1333"/>
      <c r="M648" s="1333"/>
      <c r="N648" s="1333"/>
      <c r="O648" s="1333"/>
      <c r="P648" s="1333"/>
      <c r="Q648" s="1333"/>
      <c r="R648" s="1333"/>
      <c r="S648" s="7"/>
      <c r="T648" s="19"/>
      <c r="U648" t="s">
        <v>1395</v>
      </c>
      <c r="AA648" s="1377" t="s">
        <v>1343</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9"/>
      <c r="B649" t="s">
        <v>1399</v>
      </c>
      <c r="N649" s="1294" t="s">
        <v>846</v>
      </c>
      <c r="O649" s="1294"/>
      <c r="T649" s="19"/>
      <c r="U649" t="s">
        <v>1399</v>
      </c>
      <c r="AG649" s="1294" t="s">
        <v>846</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1390</v>
      </c>
      <c r="G651" s="1320" t="str">
        <f>C629</f>
        <v>City of Bakersfield AHTF 22-23</v>
      </c>
      <c r="H651" s="1320"/>
      <c r="I651" s="1320"/>
      <c r="J651" s="1320"/>
      <c r="K651" s="1320"/>
      <c r="L651" s="1320"/>
      <c r="M651" s="1320"/>
      <c r="N651" s="1320"/>
      <c r="O651" s="1320"/>
      <c r="P651" s="1320"/>
      <c r="Q651" s="1320"/>
      <c r="R651" s="1320"/>
      <c r="T651" s="47" t="s">
        <v>82</v>
      </c>
      <c r="U651" t="s">
        <v>1390</v>
      </c>
      <c r="Z651" s="1320" t="str">
        <f>C630</f>
        <v>City of Bakersfeild - REAP 2022</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1063</v>
      </c>
      <c r="G652" s="1333" t="s">
        <v>813</v>
      </c>
      <c r="H652" s="1333"/>
      <c r="I652" s="1333"/>
      <c r="J652" s="1333"/>
      <c r="K652" s="1333"/>
      <c r="L652" s="1333"/>
      <c r="M652" s="1333"/>
      <c r="N652" s="1333"/>
      <c r="O652" s="1333"/>
      <c r="P652" s="1333"/>
      <c r="Q652" s="1333"/>
      <c r="R652" s="1333"/>
      <c r="T652" s="19"/>
      <c r="U652" t="s">
        <v>1063</v>
      </c>
      <c r="Z652" s="1333" t="s">
        <v>813</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9"/>
      <c r="B653" t="s">
        <v>931</v>
      </c>
      <c r="G653" s="1310" t="s">
        <v>817</v>
      </c>
      <c r="H653" s="1310"/>
      <c r="I653" s="1310"/>
      <c r="J653" s="1310"/>
      <c r="K653" s="1310"/>
      <c r="L653" s="1310"/>
      <c r="M653" s="1310"/>
      <c r="N653" s="1310"/>
      <c r="O653" s="1310"/>
      <c r="P653" s="1310"/>
      <c r="Q653" s="1310"/>
      <c r="R653" s="1310"/>
      <c r="T653" s="19"/>
      <c r="U653" t="s">
        <v>931</v>
      </c>
      <c r="Z653" s="1310" t="s">
        <v>817</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1392</v>
      </c>
      <c r="G654" s="1310" t="s">
        <v>1427</v>
      </c>
      <c r="H654" s="1310"/>
      <c r="I654" s="1310"/>
      <c r="J654" s="1310"/>
      <c r="K654" s="1310"/>
      <c r="L654" s="1310"/>
      <c r="M654" s="1310"/>
      <c r="N654" s="1310"/>
      <c r="O654" s="1310"/>
      <c r="P654" s="1310"/>
      <c r="Q654" s="1310"/>
      <c r="R654" s="1310"/>
      <c r="T654" s="19"/>
      <c r="U654" t="s">
        <v>1392</v>
      </c>
      <c r="Z654" s="1310" t="s">
        <v>1401</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825</v>
      </c>
      <c r="G655" s="1308" t="s">
        <v>1428</v>
      </c>
      <c r="H655" s="1308"/>
      <c r="I655" s="1308"/>
      <c r="J655" s="1308"/>
      <c r="K655" s="1308"/>
      <c r="L655" s="1308"/>
      <c r="O655" s="923" t="s">
        <v>1070</v>
      </c>
      <c r="P655" s="1395"/>
      <c r="Q655" s="1395"/>
      <c r="R655" s="1395"/>
      <c r="T655" s="19"/>
      <c r="U655" t="s">
        <v>825</v>
      </c>
      <c r="Z655" s="1308" t="s">
        <v>1402</v>
      </c>
      <c r="AA655" s="1308"/>
      <c r="AB655" s="1308"/>
      <c r="AC655" s="1308"/>
      <c r="AD655" s="1308"/>
      <c r="AE655" s="1308"/>
      <c r="AH655" s="923" t="s">
        <v>1070</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1395</v>
      </c>
      <c r="H656" s="1333" t="s">
        <v>1343</v>
      </c>
      <c r="I656" s="1333"/>
      <c r="J656" s="1333"/>
      <c r="K656" s="1333"/>
      <c r="L656" s="1333"/>
      <c r="M656" s="1333"/>
      <c r="N656" s="1333"/>
      <c r="O656" s="1333"/>
      <c r="P656" s="1333"/>
      <c r="Q656" s="1333"/>
      <c r="R656" s="1333"/>
      <c r="T656" s="19"/>
      <c r="U656" t="s">
        <v>1395</v>
      </c>
      <c r="AA656" s="1333" t="s">
        <v>1343</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1399</v>
      </c>
      <c r="N657" s="1294" t="s">
        <v>846</v>
      </c>
      <c r="O657" s="1294"/>
      <c r="T657" s="19"/>
      <c r="U657" t="s">
        <v>1399</v>
      </c>
      <c r="AG657" s="1294" t="s">
        <v>846</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1390</v>
      </c>
      <c r="G659" s="1320" t="str">
        <f>C631</f>
        <v>City of Bakersfield - TCC</v>
      </c>
      <c r="H659" s="1320"/>
      <c r="I659" s="1320"/>
      <c r="J659" s="1320"/>
      <c r="K659" s="1320"/>
      <c r="L659" s="1320"/>
      <c r="M659" s="1320"/>
      <c r="N659" s="1320"/>
      <c r="O659" s="1320"/>
      <c r="P659" s="1320"/>
      <c r="Q659" s="1320"/>
      <c r="R659" s="1320"/>
      <c r="T659" s="47" t="s">
        <v>1379</v>
      </c>
      <c r="U659" t="s">
        <v>1390</v>
      </c>
      <c r="Z659" s="1320" t="str">
        <f>C632</f>
        <v>Deferred Developer Fee</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1063</v>
      </c>
      <c r="G660" s="1377" t="s">
        <v>813</v>
      </c>
      <c r="H660" s="1333"/>
      <c r="I660" s="1333"/>
      <c r="J660" s="1333"/>
      <c r="K660" s="1333"/>
      <c r="L660" s="1333"/>
      <c r="M660" s="1333"/>
      <c r="N660" s="1333"/>
      <c r="O660" s="1333"/>
      <c r="P660" s="1333"/>
      <c r="Q660" s="1333"/>
      <c r="R660" s="1333"/>
      <c r="T660" s="19"/>
      <c r="U660" t="s">
        <v>1063</v>
      </c>
      <c r="Z660" s="1377" t="s">
        <v>1064</v>
      </c>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931</v>
      </c>
      <c r="G661" s="1377" t="s">
        <v>817</v>
      </c>
      <c r="H661" s="1333"/>
      <c r="I661" s="1333"/>
      <c r="J661" s="1333"/>
      <c r="K661" s="1333"/>
      <c r="L661" s="1333"/>
      <c r="M661" s="1333"/>
      <c r="N661" s="1333"/>
      <c r="O661" s="1333"/>
      <c r="P661" s="1333"/>
      <c r="Q661" s="1333"/>
      <c r="R661" s="1333"/>
      <c r="T661" s="19"/>
      <c r="U661" t="s">
        <v>931</v>
      </c>
      <c r="Z661" s="1395" t="s">
        <v>817</v>
      </c>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1392</v>
      </c>
      <c r="G662" s="1377" t="s">
        <v>1401</v>
      </c>
      <c r="H662" s="1333"/>
      <c r="I662" s="1333"/>
      <c r="J662" s="1333"/>
      <c r="K662" s="1333"/>
      <c r="L662" s="1333"/>
      <c r="M662" s="1333"/>
      <c r="N662" s="1333"/>
      <c r="O662" s="1333"/>
      <c r="P662" s="1333"/>
      <c r="Q662" s="1333"/>
      <c r="R662" s="1333"/>
      <c r="T662" s="19"/>
      <c r="U662" t="s">
        <v>1392</v>
      </c>
      <c r="Z662" s="1395" t="s">
        <v>790</v>
      </c>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825</v>
      </c>
      <c r="G663" s="1308" t="s">
        <v>1402</v>
      </c>
      <c r="H663" s="1308"/>
      <c r="I663" s="1308"/>
      <c r="J663" s="1308"/>
      <c r="K663" s="1308"/>
      <c r="L663" s="1308"/>
      <c r="O663" s="923" t="s">
        <v>1070</v>
      </c>
      <c r="P663" s="1395"/>
      <c r="Q663" s="1395"/>
      <c r="R663" s="1395"/>
      <c r="T663" s="19"/>
      <c r="U663" t="s">
        <v>825</v>
      </c>
      <c r="Z663" s="1308" t="s">
        <v>1069</v>
      </c>
      <c r="AA663" s="1308"/>
      <c r="AB663" s="1308"/>
      <c r="AC663" s="1308"/>
      <c r="AD663" s="1308"/>
      <c r="AE663" s="1308"/>
      <c r="AH663" s="923" t="s">
        <v>1070</v>
      </c>
      <c r="AI663" s="1395">
        <v>2005</v>
      </c>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1395</v>
      </c>
      <c r="H664" s="1377" t="s">
        <v>1343</v>
      </c>
      <c r="I664" s="1333"/>
      <c r="J664" s="1333"/>
      <c r="K664" s="1333"/>
      <c r="L664" s="1333"/>
      <c r="M664" s="1333"/>
      <c r="N664" s="1333"/>
      <c r="O664" s="1333"/>
      <c r="P664" s="1333"/>
      <c r="Q664" s="1333"/>
      <c r="R664" s="1333"/>
      <c r="T664" s="19"/>
      <c r="U664" t="s">
        <v>1395</v>
      </c>
      <c r="AA664" s="1377" t="s">
        <v>1418</v>
      </c>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1399</v>
      </c>
      <c r="N665" s="1294" t="s">
        <v>846</v>
      </c>
      <c r="O665" s="1294"/>
      <c r="T665" s="19"/>
      <c r="U665" t="s">
        <v>1399</v>
      </c>
      <c r="AG665" s="1294" t="s">
        <v>846</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1381</v>
      </c>
      <c r="B667" t="s">
        <v>1390</v>
      </c>
      <c r="G667" s="1320">
        <f>C633</f>
        <v>0</v>
      </c>
      <c r="H667" s="1320"/>
      <c r="I667" s="1320"/>
      <c r="J667" s="1320"/>
      <c r="K667" s="1320"/>
      <c r="L667" s="1320"/>
      <c r="M667" s="1320"/>
      <c r="N667" s="1320"/>
      <c r="O667" s="1320"/>
      <c r="P667" s="1320"/>
      <c r="Q667" s="1320"/>
      <c r="R667" s="1320"/>
      <c r="T667" s="47" t="s">
        <v>1383</v>
      </c>
      <c r="U667" t="s">
        <v>1390</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1063</v>
      </c>
      <c r="G668" s="1333"/>
      <c r="H668" s="1333"/>
      <c r="I668" s="1333"/>
      <c r="J668" s="1333"/>
      <c r="K668" s="1333"/>
      <c r="L668" s="1333"/>
      <c r="M668" s="1333"/>
      <c r="N668" s="1333"/>
      <c r="O668" s="1333"/>
      <c r="P668" s="1333"/>
      <c r="Q668" s="1333"/>
      <c r="R668" s="1333"/>
      <c r="T668" s="19"/>
      <c r="U668" t="s">
        <v>1063</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931</v>
      </c>
      <c r="G669" s="1333"/>
      <c r="H669" s="1333"/>
      <c r="I669" s="1333"/>
      <c r="J669" s="1333"/>
      <c r="K669" s="1333"/>
      <c r="L669" s="1333"/>
      <c r="M669" s="1333"/>
      <c r="N669" s="1333"/>
      <c r="O669" s="1333"/>
      <c r="P669" s="1333"/>
      <c r="Q669" s="1333"/>
      <c r="R669" s="1333"/>
      <c r="T669" s="19"/>
      <c r="U669" t="s">
        <v>931</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1392</v>
      </c>
      <c r="G670" s="1333"/>
      <c r="H670" s="1333"/>
      <c r="I670" s="1333"/>
      <c r="J670" s="1333"/>
      <c r="K670" s="1333"/>
      <c r="L670" s="1333"/>
      <c r="M670" s="1333"/>
      <c r="N670" s="1333"/>
      <c r="O670" s="1333"/>
      <c r="P670" s="1333"/>
      <c r="Q670" s="1333"/>
      <c r="R670" s="1333"/>
      <c r="T670" s="19"/>
      <c r="U670" t="s">
        <v>1392</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564.37142857142862</v>
      </c>
      <c r="ED670" s="1403"/>
      <c r="EE670" s="1403"/>
      <c r="EF670" s="1403"/>
      <c r="EG670" s="1403"/>
      <c r="EH670" s="1403">
        <f>SUMIF(EH635:EL669,"&gt;0")</f>
        <v>0</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825</v>
      </c>
      <c r="G671" s="1308"/>
      <c r="H671" s="1308"/>
      <c r="I671" s="1308"/>
      <c r="J671" s="1308"/>
      <c r="K671" s="1308"/>
      <c r="L671" s="1308"/>
      <c r="O671" s="923" t="s">
        <v>1070</v>
      </c>
      <c r="P671" s="1395"/>
      <c r="Q671" s="1395"/>
      <c r="R671" s="1395"/>
      <c r="T671" s="19"/>
      <c r="U671" t="s">
        <v>825</v>
      </c>
      <c r="Z671" s="1308"/>
      <c r="AA671" s="1308"/>
      <c r="AB671" s="1308"/>
      <c r="AC671" s="1308"/>
      <c r="AD671" s="1308"/>
      <c r="AE671" s="1308"/>
      <c r="AH671" s="923" t="s">
        <v>1070</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1395</v>
      </c>
      <c r="H672" s="1333"/>
      <c r="I672" s="1333"/>
      <c r="J672" s="1333"/>
      <c r="K672" s="1333"/>
      <c r="L672" s="1333"/>
      <c r="M672" s="1333"/>
      <c r="N672" s="1333"/>
      <c r="O672" s="1333"/>
      <c r="P672" s="1333"/>
      <c r="Q672" s="1333"/>
      <c r="R672" s="1333"/>
      <c r="T672" s="19"/>
      <c r="U672" t="s">
        <v>1395</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1399</v>
      </c>
      <c r="N673" s="1294" t="s">
        <v>694</v>
      </c>
      <c r="O673" s="1294"/>
      <c r="T673" s="19"/>
      <c r="U673" t="s">
        <v>1399</v>
      </c>
      <c r="AG673" s="1294" t="s">
        <v>694</v>
      </c>
      <c r="AH673" s="1294"/>
      <c r="AZ673" s="3"/>
    </row>
    <row r="674" spans="1:52" ht="12.95" customHeight="1">
      <c r="A674" s="19"/>
      <c r="T674" s="19"/>
      <c r="AZ674" s="3"/>
    </row>
    <row r="675" spans="1:52" ht="12.95" customHeight="1">
      <c r="A675" s="47" t="s">
        <v>1385</v>
      </c>
      <c r="B675" t="s">
        <v>1390</v>
      </c>
      <c r="G675" s="1320">
        <f>C635</f>
        <v>0</v>
      </c>
      <c r="H675" s="1320"/>
      <c r="I675" s="1320"/>
      <c r="J675" s="1320"/>
      <c r="K675" s="1320"/>
      <c r="L675" s="1320"/>
      <c r="M675" s="1320"/>
      <c r="N675" s="1320"/>
      <c r="O675" s="1320"/>
      <c r="P675" s="1320"/>
      <c r="Q675" s="1320"/>
      <c r="R675" s="1320"/>
      <c r="T675" s="47" t="s">
        <v>1386</v>
      </c>
      <c r="U675" t="s">
        <v>1390</v>
      </c>
      <c r="Z675" s="1320">
        <f>C636</f>
        <v>0</v>
      </c>
      <c r="AA675" s="1320"/>
      <c r="AB675" s="1320"/>
      <c r="AC675" s="1320"/>
      <c r="AD675" s="1320"/>
      <c r="AE675" s="1320"/>
      <c r="AF675" s="1320"/>
      <c r="AG675" s="1320"/>
      <c r="AH675" s="1320"/>
      <c r="AI675" s="1320"/>
      <c r="AJ675" s="1320"/>
      <c r="AK675" s="1320"/>
      <c r="AZ675" s="3"/>
    </row>
    <row r="676" spans="1:52" ht="12.95" customHeight="1">
      <c r="A676" s="19"/>
      <c r="B676" t="s">
        <v>1063</v>
      </c>
      <c r="G676" s="1333"/>
      <c r="H676" s="1333"/>
      <c r="I676" s="1333"/>
      <c r="J676" s="1333"/>
      <c r="K676" s="1333"/>
      <c r="L676" s="1333"/>
      <c r="M676" s="1333"/>
      <c r="N676" s="1333"/>
      <c r="O676" s="1333"/>
      <c r="P676" s="1333"/>
      <c r="Q676" s="1333"/>
      <c r="R676" s="1333"/>
      <c r="T676" s="19"/>
      <c r="U676" t="s">
        <v>1063</v>
      </c>
      <c r="Z676" s="1333"/>
      <c r="AA676" s="1333"/>
      <c r="AB676" s="1333"/>
      <c r="AC676" s="1333"/>
      <c r="AD676" s="1333"/>
      <c r="AE676" s="1333"/>
      <c r="AF676" s="1333"/>
      <c r="AG676" s="1333"/>
      <c r="AH676" s="1333"/>
      <c r="AI676" s="1333"/>
      <c r="AJ676" s="1333"/>
      <c r="AK676" s="1333"/>
      <c r="AZ676" s="3"/>
    </row>
    <row r="677" spans="1:52" ht="12.95" customHeight="1">
      <c r="A677" s="19"/>
      <c r="B677" t="s">
        <v>931</v>
      </c>
      <c r="G677" s="1333"/>
      <c r="H677" s="1333"/>
      <c r="I677" s="1333"/>
      <c r="J677" s="1333"/>
      <c r="K677" s="1333"/>
      <c r="L677" s="1333"/>
      <c r="M677" s="1333"/>
      <c r="N677" s="1333"/>
      <c r="O677" s="1333"/>
      <c r="P677" s="1333"/>
      <c r="Q677" s="1333"/>
      <c r="R677" s="1333"/>
      <c r="T677" s="19"/>
      <c r="U677" t="s">
        <v>931</v>
      </c>
      <c r="Z677" s="1310"/>
      <c r="AA677" s="1310"/>
      <c r="AB677" s="1310"/>
      <c r="AC677" s="1310"/>
      <c r="AD677" s="1310"/>
      <c r="AE677" s="1310"/>
      <c r="AF677" s="1310"/>
      <c r="AG677" s="1310"/>
      <c r="AH677" s="1310"/>
      <c r="AI677" s="1310"/>
      <c r="AJ677" s="1310"/>
      <c r="AK677" s="1310"/>
      <c r="AZ677" s="3"/>
    </row>
    <row r="678" spans="1:52" ht="12.95" customHeight="1">
      <c r="A678" s="19"/>
      <c r="B678" t="s">
        <v>1392</v>
      </c>
      <c r="G678" s="1333"/>
      <c r="H678" s="1333"/>
      <c r="I678" s="1333"/>
      <c r="J678" s="1333"/>
      <c r="K678" s="1333"/>
      <c r="L678" s="1333"/>
      <c r="M678" s="1333"/>
      <c r="N678" s="1333"/>
      <c r="O678" s="1333"/>
      <c r="P678" s="1333"/>
      <c r="Q678" s="1333"/>
      <c r="R678" s="1333"/>
      <c r="T678" s="19"/>
      <c r="U678" t="s">
        <v>1392</v>
      </c>
      <c r="Z678" s="1310"/>
      <c r="AA678" s="1310"/>
      <c r="AB678" s="1310"/>
      <c r="AC678" s="1310"/>
      <c r="AD678" s="1310"/>
      <c r="AE678" s="1310"/>
      <c r="AF678" s="1310"/>
      <c r="AG678" s="1310"/>
      <c r="AH678" s="1310"/>
      <c r="AI678" s="1310"/>
      <c r="AJ678" s="1310"/>
      <c r="AK678" s="1310"/>
      <c r="AZ678" s="3"/>
    </row>
    <row r="679" spans="1:52" ht="12.95" customHeight="1">
      <c r="A679" s="19"/>
      <c r="B679" t="s">
        <v>825</v>
      </c>
      <c r="G679" s="1308"/>
      <c r="H679" s="1308"/>
      <c r="I679" s="1308"/>
      <c r="J679" s="1308"/>
      <c r="K679" s="1308"/>
      <c r="L679" s="1308"/>
      <c r="O679" s="923" t="s">
        <v>1070</v>
      </c>
      <c r="P679" s="1395"/>
      <c r="Q679" s="1395"/>
      <c r="R679" s="1395"/>
      <c r="T679" s="19"/>
      <c r="U679" t="s">
        <v>825</v>
      </c>
      <c r="Z679" s="1308"/>
      <c r="AA679" s="1308"/>
      <c r="AB679" s="1308"/>
      <c r="AC679" s="1308"/>
      <c r="AD679" s="1308"/>
      <c r="AE679" s="1308"/>
      <c r="AH679" s="923" t="s">
        <v>1070</v>
      </c>
      <c r="AI679" s="1395"/>
      <c r="AJ679" s="1395"/>
      <c r="AK679" s="1395"/>
      <c r="AZ679" s="3"/>
    </row>
    <row r="680" spans="1:52" ht="12.95" customHeight="1">
      <c r="A680" s="19"/>
      <c r="B680" t="s">
        <v>1395</v>
      </c>
      <c r="H680" s="1333"/>
      <c r="I680" s="1333"/>
      <c r="J680" s="1333"/>
      <c r="K680" s="1333"/>
      <c r="L680" s="1333"/>
      <c r="M680" s="1333"/>
      <c r="N680" s="1333"/>
      <c r="O680" s="1333"/>
      <c r="P680" s="1333"/>
      <c r="Q680" s="1333"/>
      <c r="R680" s="1333"/>
      <c r="T680" s="19"/>
      <c r="U680" t="s">
        <v>1395</v>
      </c>
      <c r="AA680" s="1333"/>
      <c r="AB680" s="1333"/>
      <c r="AC680" s="1333"/>
      <c r="AD680" s="1333"/>
      <c r="AE680" s="1333"/>
      <c r="AF680" s="1333"/>
      <c r="AG680" s="1333"/>
      <c r="AH680" s="1333"/>
      <c r="AI680" s="1333"/>
      <c r="AJ680" s="1333"/>
      <c r="AK680" s="1333"/>
      <c r="AZ680" s="3"/>
    </row>
    <row r="681" spans="1:52" ht="12.95" customHeight="1">
      <c r="A681" s="19"/>
      <c r="B681" t="s">
        <v>1399</v>
      </c>
      <c r="N681" s="1294" t="s">
        <v>694</v>
      </c>
      <c r="O681" s="1294"/>
      <c r="T681" s="19"/>
      <c r="U681" t="s">
        <v>1399</v>
      </c>
      <c r="AG681" s="1294" t="s">
        <v>694</v>
      </c>
      <c r="AH681" s="1294"/>
      <c r="AZ681" s="3"/>
    </row>
    <row r="682" spans="1:52" ht="12.95" customHeight="1">
      <c r="A682" s="19"/>
      <c r="T682" s="19"/>
      <c r="AZ682" s="3"/>
    </row>
    <row r="683" spans="1:52" ht="12.95" customHeight="1">
      <c r="A683" s="47" t="s">
        <v>1387</v>
      </c>
      <c r="B683" t="s">
        <v>1390</v>
      </c>
      <c r="G683" s="1320">
        <f>C637</f>
        <v>0</v>
      </c>
      <c r="H683" s="1320"/>
      <c r="I683" s="1320"/>
      <c r="J683" s="1320"/>
      <c r="K683" s="1320"/>
      <c r="L683" s="1320"/>
      <c r="M683" s="1320"/>
      <c r="N683" s="1320"/>
      <c r="O683" s="1320"/>
      <c r="P683" s="1320"/>
      <c r="Q683" s="1320"/>
      <c r="R683" s="1320"/>
      <c r="T683" s="47" t="s">
        <v>1388</v>
      </c>
      <c r="U683" t="s">
        <v>1390</v>
      </c>
      <c r="Z683" s="1320">
        <f>C638</f>
        <v>0</v>
      </c>
      <c r="AA683" s="1320"/>
      <c r="AB683" s="1320"/>
      <c r="AC683" s="1320"/>
      <c r="AD683" s="1320"/>
      <c r="AE683" s="1320"/>
      <c r="AF683" s="1320"/>
      <c r="AG683" s="1320"/>
      <c r="AH683" s="1320"/>
      <c r="AI683" s="1320"/>
      <c r="AJ683" s="1320"/>
      <c r="AK683" s="1320"/>
      <c r="AZ683" s="3"/>
    </row>
    <row r="684" spans="1:52" ht="12.95" customHeight="1">
      <c r="B684" t="s">
        <v>1063</v>
      </c>
      <c r="G684" s="1333"/>
      <c r="H684" s="1333"/>
      <c r="I684" s="1333"/>
      <c r="J684" s="1333"/>
      <c r="K684" s="1333"/>
      <c r="L684" s="1333"/>
      <c r="M684" s="1333"/>
      <c r="N684" s="1333"/>
      <c r="O684" s="1333"/>
      <c r="P684" s="1333"/>
      <c r="Q684" s="1333"/>
      <c r="R684" s="1333"/>
      <c r="T684" s="19"/>
      <c r="U684" t="s">
        <v>1063</v>
      </c>
      <c r="Z684" s="1333"/>
      <c r="AA684" s="1333"/>
      <c r="AB684" s="1333"/>
      <c r="AC684" s="1333"/>
      <c r="AD684" s="1333"/>
      <c r="AE684" s="1333"/>
      <c r="AF684" s="1333"/>
      <c r="AG684" s="1333"/>
      <c r="AH684" s="1333"/>
      <c r="AI684" s="1333"/>
      <c r="AJ684" s="1333"/>
      <c r="AK684" s="1333"/>
      <c r="AZ684" s="3"/>
    </row>
    <row r="685" spans="1:52" ht="12.95" customHeight="1">
      <c r="B685" t="s">
        <v>931</v>
      </c>
      <c r="G685" s="1333"/>
      <c r="H685" s="1333"/>
      <c r="I685" s="1333"/>
      <c r="J685" s="1333"/>
      <c r="K685" s="1333"/>
      <c r="L685" s="1333"/>
      <c r="M685" s="1333"/>
      <c r="N685" s="1333"/>
      <c r="O685" s="1333"/>
      <c r="P685" s="1333"/>
      <c r="Q685" s="1333"/>
      <c r="R685" s="1333"/>
      <c r="U685" t="s">
        <v>931</v>
      </c>
      <c r="Z685" s="1310"/>
      <c r="AA685" s="1310"/>
      <c r="AB685" s="1310"/>
      <c r="AC685" s="1310"/>
      <c r="AD685" s="1310"/>
      <c r="AE685" s="1310"/>
      <c r="AF685" s="1310"/>
      <c r="AG685" s="1310"/>
      <c r="AH685" s="1310"/>
      <c r="AI685" s="1310"/>
      <c r="AJ685" s="1310"/>
      <c r="AK685" s="1310"/>
      <c r="AZ685" s="3"/>
    </row>
    <row r="686" spans="1:52" ht="12.95" customHeight="1">
      <c r="B686" t="s">
        <v>1392</v>
      </c>
      <c r="G686" s="1333"/>
      <c r="H686" s="1333"/>
      <c r="I686" s="1333"/>
      <c r="J686" s="1333"/>
      <c r="K686" s="1333"/>
      <c r="L686" s="1333"/>
      <c r="M686" s="1333"/>
      <c r="N686" s="1333"/>
      <c r="O686" s="1333"/>
      <c r="P686" s="1333"/>
      <c r="Q686" s="1333"/>
      <c r="R686" s="1333"/>
      <c r="U686" t="s">
        <v>1392</v>
      </c>
      <c r="Z686" s="1310"/>
      <c r="AA686" s="1310"/>
      <c r="AB686" s="1310"/>
      <c r="AC686" s="1310"/>
      <c r="AD686" s="1310"/>
      <c r="AE686" s="1310"/>
      <c r="AF686" s="1310"/>
      <c r="AG686" s="1310"/>
      <c r="AH686" s="1310"/>
      <c r="AI686" s="1310"/>
      <c r="AJ686" s="1310"/>
      <c r="AK686" s="1310"/>
      <c r="AZ686" s="3"/>
    </row>
    <row r="687" spans="1:52" ht="12.95" customHeight="1">
      <c r="B687" t="s">
        <v>825</v>
      </c>
      <c r="G687" s="1308"/>
      <c r="H687" s="1308"/>
      <c r="I687" s="1308"/>
      <c r="J687" s="1308"/>
      <c r="K687" s="1308"/>
      <c r="L687" s="1308"/>
      <c r="O687" s="923" t="s">
        <v>1070</v>
      </c>
      <c r="P687" s="1395"/>
      <c r="Q687" s="1395"/>
      <c r="R687" s="1395"/>
      <c r="U687" t="s">
        <v>825</v>
      </c>
      <c r="Z687" s="1308"/>
      <c r="AA687" s="1308"/>
      <c r="AB687" s="1308"/>
      <c r="AC687" s="1308"/>
      <c r="AD687" s="1308"/>
      <c r="AE687" s="1308"/>
      <c r="AH687" s="923" t="s">
        <v>1070</v>
      </c>
      <c r="AI687" s="1395"/>
      <c r="AJ687" s="1395"/>
      <c r="AK687" s="1395"/>
      <c r="AZ687" s="3"/>
    </row>
    <row r="688" spans="1:52" ht="12.95" customHeight="1">
      <c r="B688" t="s">
        <v>1395</v>
      </c>
      <c r="H688" s="1333"/>
      <c r="I688" s="1333"/>
      <c r="J688" s="1333"/>
      <c r="K688" s="1333"/>
      <c r="L688" s="1333"/>
      <c r="M688" s="1333"/>
      <c r="N688" s="1333"/>
      <c r="O688" s="1333"/>
      <c r="P688" s="1333"/>
      <c r="Q688" s="1333"/>
      <c r="R688" s="1333"/>
      <c r="U688" t="s">
        <v>1395</v>
      </c>
      <c r="AA688" s="1333"/>
      <c r="AB688" s="1333"/>
      <c r="AC688" s="1333"/>
      <c r="AD688" s="1333"/>
      <c r="AE688" s="1333"/>
      <c r="AF688" s="1333"/>
      <c r="AG688" s="1333"/>
      <c r="AH688" s="1333"/>
      <c r="AI688" s="1333"/>
      <c r="AJ688" s="1333"/>
      <c r="AK688" s="1333"/>
      <c r="AZ688" s="3"/>
    </row>
    <row r="689" spans="1:67" ht="12.95" customHeight="1">
      <c r="B689" t="s">
        <v>1399</v>
      </c>
      <c r="N689" s="1294" t="s">
        <v>694</v>
      </c>
      <c r="O689" s="1294"/>
      <c r="U689" t="s">
        <v>1399</v>
      </c>
      <c r="AG689" s="1294" t="s">
        <v>694</v>
      </c>
      <c r="AH689" s="1294"/>
      <c r="AZ689" s="3"/>
    </row>
    <row r="690" spans="1:67" ht="12.95" customHeight="1">
      <c r="AZ690" s="3"/>
    </row>
    <row r="691" spans="1:67" ht="12.95" customHeight="1">
      <c r="A691" s="2" t="s">
        <v>912</v>
      </c>
      <c r="C691" s="2" t="s">
        <v>179</v>
      </c>
      <c r="E691" s="95"/>
      <c r="F691" s="95"/>
      <c r="G691" s="95"/>
      <c r="H691" s="95"/>
      <c r="AZ691" s="3"/>
    </row>
    <row r="692" spans="1:67" ht="12.95" customHeight="1">
      <c r="B692" s="99"/>
      <c r="C692" s="99"/>
      <c r="D692" s="926" t="s">
        <v>1430</v>
      </c>
      <c r="E692" s="99"/>
      <c r="F692" s="99"/>
      <c r="G692" s="99"/>
      <c r="H692" s="99"/>
      <c r="AZ692" s="3"/>
    </row>
    <row r="693" spans="1:67" ht="12.95" customHeight="1">
      <c r="B693" s="99"/>
      <c r="C693" s="99"/>
      <c r="E693" s="926" t="s">
        <v>1431</v>
      </c>
      <c r="F693" s="99"/>
      <c r="G693" s="99"/>
      <c r="H693" s="99"/>
      <c r="AE693" s="1294" t="s">
        <v>846</v>
      </c>
      <c r="AF693" s="1294"/>
      <c r="AZ693" s="3"/>
    </row>
    <row r="694" spans="1:67" ht="12.95" customHeight="1">
      <c r="B694" s="99"/>
      <c r="C694" s="99"/>
      <c r="D694" s="926" t="s">
        <v>1432</v>
      </c>
      <c r="E694" s="99"/>
      <c r="F694" s="99"/>
      <c r="G694" s="99"/>
      <c r="H694" s="99"/>
      <c r="AE694" s="1294" t="s">
        <v>846</v>
      </c>
      <c r="AF694" s="1294"/>
      <c r="AZ694" s="3"/>
    </row>
    <row r="695" spans="1:67" ht="12.95" customHeight="1">
      <c r="B695" s="99"/>
      <c r="C695" s="99"/>
      <c r="D695" s="926" t="s">
        <v>1433</v>
      </c>
      <c r="E695" s="99"/>
      <c r="F695" s="99"/>
      <c r="G695" s="99"/>
      <c r="H695" s="99"/>
      <c r="AE695" s="1635">
        <v>45908</v>
      </c>
      <c r="AF695" s="1635"/>
      <c r="AG695" s="1635"/>
      <c r="AH695" s="1635"/>
      <c r="AI695" s="1635"/>
    </row>
    <row r="696" spans="1:67" ht="12.95" customHeight="1">
      <c r="B696" s="99"/>
      <c r="C696" s="99"/>
      <c r="D696" s="223" t="s">
        <v>1434</v>
      </c>
      <c r="E696" s="99"/>
      <c r="F696" s="99"/>
      <c r="G696" s="99"/>
      <c r="H696" s="99"/>
      <c r="AE696" s="1645">
        <v>45980</v>
      </c>
      <c r="AF696" s="1645"/>
      <c r="AG696" s="1645"/>
      <c r="AH696" s="1645"/>
      <c r="AI696" s="1645"/>
    </row>
    <row r="697" spans="1:67" ht="12.95" customHeight="1">
      <c r="B697" s="99"/>
      <c r="C697" s="99"/>
    </row>
    <row r="698" spans="1:67" ht="12.95" customHeight="1">
      <c r="B698" s="99"/>
      <c r="C698" s="99"/>
      <c r="D698" s="926" t="s">
        <v>1435</v>
      </c>
      <c r="E698" s="99"/>
      <c r="F698" s="99"/>
      <c r="G698" s="99"/>
      <c r="H698" s="99"/>
      <c r="AE698" s="1635">
        <v>46143</v>
      </c>
      <c r="AF698" s="1635"/>
      <c r="AG698" s="1635"/>
      <c r="AH698" s="1635"/>
      <c r="AI698" s="1635"/>
    </row>
    <row r="699" spans="1:67" ht="12.95" customHeight="1">
      <c r="B699" s="99"/>
      <c r="C699" s="99"/>
      <c r="D699" s="926" t="s">
        <v>1436</v>
      </c>
      <c r="E699" s="99"/>
      <c r="F699" s="99"/>
      <c r="G699" s="99"/>
      <c r="H699" s="99"/>
      <c r="AE699" s="1605">
        <v>0.28499999999999998</v>
      </c>
      <c r="AF699" s="1605"/>
      <c r="AG699" s="1605"/>
      <c r="AH699" s="1605"/>
      <c r="AI699" s="1605"/>
    </row>
    <row r="700" spans="1:67" ht="12.95" customHeight="1">
      <c r="B700" s="99"/>
      <c r="C700" s="99"/>
      <c r="D700" s="926" t="s">
        <v>1437</v>
      </c>
      <c r="E700" s="99"/>
      <c r="F700" s="99"/>
      <c r="G700" s="99"/>
      <c r="H700" s="99"/>
      <c r="W700" s="1320" t="str">
        <f>H335</f>
        <v>Housing Authority of the County of Kern</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1438</v>
      </c>
      <c r="E702" s="99"/>
      <c r="F702" s="99"/>
      <c r="G702" s="99"/>
      <c r="H702" s="99"/>
      <c r="AE702" s="1294" t="s">
        <v>694</v>
      </c>
      <c r="AF702" s="1294"/>
      <c r="AZ702" s="3" t="s">
        <v>831</v>
      </c>
    </row>
    <row r="703" spans="1:67" ht="12.95" customHeight="1">
      <c r="B703" s="99"/>
      <c r="C703" s="99"/>
      <c r="D703" s="926" t="s">
        <v>1439</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832</v>
      </c>
    </row>
    <row r="704" spans="1:67" ht="12.95" customHeight="1">
      <c r="B704" s="99"/>
      <c r="C704" s="99"/>
      <c r="D704" s="926" t="s">
        <v>1067</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833</v>
      </c>
      <c r="BB704" s="3"/>
      <c r="BC704" s="3"/>
      <c r="BD704" s="3"/>
      <c r="BE704" s="3"/>
      <c r="BF704" s="3"/>
      <c r="BJ704" s="3"/>
      <c r="BK704" s="3"/>
      <c r="BL704" s="3"/>
      <c r="BM704" s="3"/>
      <c r="BN704" s="3"/>
      <c r="BO704" s="3"/>
    </row>
    <row r="705" spans="1:185" ht="12.95" customHeight="1">
      <c r="B705" s="99"/>
      <c r="C705" s="99"/>
      <c r="D705" s="926" t="s">
        <v>1068</v>
      </c>
      <c r="J705" s="1308"/>
      <c r="K705" s="1308"/>
      <c r="L705" s="1308"/>
      <c r="M705" s="1308"/>
      <c r="N705" s="1308"/>
      <c r="O705" s="1308"/>
      <c r="P705" s="3" t="s">
        <v>1070</v>
      </c>
      <c r="Q705" s="3"/>
      <c r="R705" s="1395"/>
      <c r="S705" s="1395"/>
      <c r="T705" s="1395"/>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1440</v>
      </c>
      <c r="W706" s="1333" t="s">
        <v>392</v>
      </c>
      <c r="X706" s="1333"/>
      <c r="Y706" s="1333"/>
      <c r="Z706" s="1333"/>
      <c r="AA706" s="1333"/>
      <c r="AB706" s="1333"/>
      <c r="AC706" s="1333"/>
      <c r="AD706" s="1333"/>
      <c r="AE706" s="1333"/>
      <c r="AF706" s="1333"/>
      <c r="AG706" s="1333"/>
      <c r="AH706" s="1333"/>
      <c r="AI706" s="1333"/>
      <c r="AJ706" s="1333"/>
      <c r="AK706" s="1333"/>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1317</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1441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871</v>
      </c>
      <c r="B712" s="2"/>
      <c r="C712" s="2" t="s">
        <v>1442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1443</v>
      </c>
      <c r="C714" s="1325"/>
      <c r="D714" s="1325"/>
      <c r="E714" s="1325"/>
      <c r="F714" s="1326"/>
      <c r="G714" s="1324" t="s">
        <v>1444</v>
      </c>
      <c r="H714" s="1325"/>
      <c r="I714" s="1325"/>
      <c r="J714" s="1326"/>
      <c r="K714" s="1662" t="s">
        <v>1445</v>
      </c>
      <c r="L714" s="1663"/>
      <c r="M714" s="1663"/>
      <c r="N714" s="1664"/>
      <c r="O714" s="1324" t="s">
        <v>1446</v>
      </c>
      <c r="P714" s="1325"/>
      <c r="Q714" s="1325"/>
      <c r="R714" s="1325"/>
      <c r="S714" s="1326"/>
      <c r="T714" s="1324" t="s">
        <v>1447</v>
      </c>
      <c r="U714" s="1325"/>
      <c r="V714" s="1325"/>
      <c r="W714" s="1326"/>
      <c r="X714" s="1324" t="s">
        <v>1448</v>
      </c>
      <c r="Y714" s="1325"/>
      <c r="Z714" s="1325"/>
      <c r="AA714" s="1325"/>
      <c r="AB714" s="1326"/>
      <c r="AC714" s="1324" t="s">
        <v>1449</v>
      </c>
      <c r="AD714" s="1325"/>
      <c r="AE714" s="1325"/>
      <c r="AF714" s="1325"/>
      <c r="AG714" s="1326"/>
      <c r="AH714" s="1324" t="s">
        <v>1450</v>
      </c>
      <c r="AI714" s="1325"/>
      <c r="AJ714" s="1326"/>
      <c r="AK714" s="1324" t="s">
        <v>1451</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1452</v>
      </c>
      <c r="BG716" s="136"/>
      <c r="BH716" s="136"/>
      <c r="BI716" s="3"/>
      <c r="BJ716" s="3"/>
      <c r="BK716" s="3"/>
      <c r="BL716" s="3"/>
      <c r="BM716" s="3"/>
      <c r="BN716" s="3"/>
      <c r="BS716" s="137" t="s">
        <v>1453</v>
      </c>
      <c r="BT716" s="136"/>
      <c r="BU716" s="136"/>
      <c r="CC716" s="3"/>
      <c r="CD716" s="3"/>
      <c r="CE716" s="3"/>
      <c r="CF716" s="3"/>
      <c r="CG716" s="3"/>
      <c r="CH716" s="3"/>
      <c r="CI716" s="3"/>
      <c r="CJ716" s="3"/>
      <c r="CK716" s="3"/>
      <c r="CL716" s="3"/>
      <c r="CM716" s="3"/>
      <c r="CN716" s="3"/>
      <c r="CO716" s="3"/>
      <c r="CP716" s="3" t="s">
        <v>1454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1455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1456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1457</v>
      </c>
      <c r="BA717" s="3"/>
      <c r="BB717" s="3"/>
      <c r="BC717" s="3"/>
      <c r="BD717" s="3"/>
      <c r="BE717" s="136"/>
      <c r="BF717" s="201" t="s">
        <v>1458</v>
      </c>
      <c r="BG717" s="205" t="s">
        <v>1459</v>
      </c>
      <c r="BH717" s="204" t="s">
        <v>1460</v>
      </c>
      <c r="BI717" s="3"/>
      <c r="BJ717" s="3"/>
      <c r="BK717" s="3"/>
      <c r="BL717" s="3"/>
      <c r="BM717" s="3"/>
      <c r="BN717" s="3"/>
      <c r="BS717" s="201" t="s">
        <v>1458</v>
      </c>
      <c r="BT717" s="205" t="s">
        <v>1459</v>
      </c>
      <c r="BU717" s="204" t="s">
        <v>1460</v>
      </c>
      <c r="CC717" s="3"/>
      <c r="CD717" s="3"/>
      <c r="CE717" s="3"/>
      <c r="CF717" s="3"/>
      <c r="CG717" s="87" t="s">
        <v>1461</v>
      </c>
      <c r="CH717" s="88"/>
      <c r="CI717" s="1421"/>
      <c r="CJ717" s="1422"/>
      <c r="CK717" s="87" t="s">
        <v>1462</v>
      </c>
      <c r="CL717" s="88"/>
      <c r="CM717" s="1421"/>
      <c r="CN717" s="1422"/>
      <c r="CO717" s="3"/>
      <c r="CP717" s="1348" t="s">
        <v>837</v>
      </c>
      <c r="CQ717" s="1349"/>
      <c r="CR717" s="1349"/>
      <c r="CS717" s="1349"/>
      <c r="CT717" s="1350"/>
      <c r="CU717" s="1420" t="s">
        <v>832</v>
      </c>
      <c r="CV717" s="1420"/>
      <c r="CW717" s="1420"/>
      <c r="CX717" s="1420"/>
      <c r="CY717" s="1420"/>
      <c r="CZ717" s="1420" t="s">
        <v>833</v>
      </c>
      <c r="DA717" s="1420"/>
      <c r="DB717" s="1420"/>
      <c r="DC717" s="1420"/>
      <c r="DD717" s="1420"/>
      <c r="DE717" s="1420" t="s">
        <v>834</v>
      </c>
      <c r="DF717" s="1420"/>
      <c r="DG717" s="1420"/>
      <c r="DH717" s="1420"/>
      <c r="DI717" s="1420"/>
      <c r="DJ717" s="1420" t="s">
        <v>838</v>
      </c>
      <c r="DK717" s="1420"/>
      <c r="DL717" s="1420"/>
      <c r="DM717" s="1420"/>
      <c r="DN717" s="1420"/>
      <c r="DO717" s="1420" t="s">
        <v>836</v>
      </c>
      <c r="DP717" s="1420"/>
      <c r="DQ717" s="1420"/>
      <c r="DR717" s="1420"/>
      <c r="DS717" s="1420"/>
      <c r="DT717" s="65"/>
      <c r="DU717" s="1420" t="s">
        <v>837</v>
      </c>
      <c r="DV717" s="1420"/>
      <c r="DW717" s="1420"/>
      <c r="DX717" s="1420"/>
      <c r="DY717" s="1420"/>
      <c r="DZ717" s="1420" t="s">
        <v>832</v>
      </c>
      <c r="EA717" s="1420"/>
      <c r="EB717" s="1420"/>
      <c r="EC717" s="1420"/>
      <c r="ED717" s="1420"/>
      <c r="EE717" s="1420" t="s">
        <v>833</v>
      </c>
      <c r="EF717" s="1420"/>
      <c r="EG717" s="1420"/>
      <c r="EH717" s="1420"/>
      <c r="EI717" s="1420"/>
      <c r="EJ717" s="1420" t="s">
        <v>834</v>
      </c>
      <c r="EK717" s="1420"/>
      <c r="EL717" s="1420"/>
      <c r="EM717" s="1420"/>
      <c r="EN717" s="1420"/>
      <c r="EO717" s="1420" t="s">
        <v>838</v>
      </c>
      <c r="EP717" s="1420"/>
      <c r="EQ717" s="1420"/>
      <c r="ER717" s="1420"/>
      <c r="ES717" s="1420"/>
      <c r="ET717" s="1420" t="s">
        <v>836</v>
      </c>
      <c r="EU717" s="1420"/>
      <c r="EV717" s="1420"/>
      <c r="EW717" s="1420"/>
      <c r="EX717" s="1420"/>
      <c r="EY717" s="3"/>
      <c r="EZ717" s="1420" t="s">
        <v>837</v>
      </c>
      <c r="FA717" s="1420"/>
      <c r="FB717" s="1420"/>
      <c r="FC717" s="1420"/>
      <c r="FD717" s="1420"/>
      <c r="FE717" s="1420" t="s">
        <v>832</v>
      </c>
      <c r="FF717" s="1420"/>
      <c r="FG717" s="1420"/>
      <c r="FH717" s="1420"/>
      <c r="FI717" s="1420"/>
      <c r="FJ717" s="1420" t="s">
        <v>833</v>
      </c>
      <c r="FK717" s="1420"/>
      <c r="FL717" s="1420"/>
      <c r="FM717" s="1420"/>
      <c r="FN717" s="1420"/>
      <c r="FO717" s="1420" t="s">
        <v>834</v>
      </c>
      <c r="FP717" s="1420"/>
      <c r="FQ717" s="1420"/>
      <c r="FR717" s="1420"/>
      <c r="FS717" s="1420"/>
      <c r="FT717" s="1420" t="s">
        <v>838</v>
      </c>
      <c r="FU717" s="1420"/>
      <c r="FV717" s="1420"/>
      <c r="FW717" s="1420"/>
      <c r="FX717" s="1420"/>
      <c r="FY717" s="1420" t="s">
        <v>836</v>
      </c>
      <c r="FZ717" s="1420"/>
      <c r="GA717" s="1420"/>
      <c r="GB717" s="1420"/>
      <c r="GC717" s="1420"/>
    </row>
    <row r="718" spans="1:185" ht="12.95" customHeight="1">
      <c r="A718" s="3"/>
      <c r="B718" s="1299" t="s">
        <v>832</v>
      </c>
      <c r="C718" s="1300"/>
      <c r="D718" s="1300"/>
      <c r="E718" s="1300"/>
      <c r="F718" s="1301"/>
      <c r="G718" s="1311">
        <v>17</v>
      </c>
      <c r="H718" s="1312"/>
      <c r="I718" s="1312"/>
      <c r="J718" s="1313"/>
      <c r="K718" s="1305">
        <v>523</v>
      </c>
      <c r="L718" s="1306"/>
      <c r="M718" s="1306"/>
      <c r="N718" s="1307"/>
      <c r="O718" s="1302">
        <v>389</v>
      </c>
      <c r="P718" s="1303"/>
      <c r="Q718" s="1303"/>
      <c r="R718" s="1303"/>
      <c r="S718" s="1304"/>
      <c r="T718" s="1302">
        <v>106</v>
      </c>
      <c r="U718" s="1303"/>
      <c r="V718" s="1303"/>
      <c r="W718" s="1304"/>
      <c r="X718" s="1314">
        <f t="shared" ref="X718:X741" si="8">O718+T718</f>
        <v>495</v>
      </c>
      <c r="Y718" s="1315"/>
      <c r="Z718" s="1315"/>
      <c r="AA718" s="1315"/>
      <c r="AB718" s="1316"/>
      <c r="AC718" s="1321">
        <v>0.3</v>
      </c>
      <c r="AD718" s="1322"/>
      <c r="AE718" s="1322"/>
      <c r="AF718" s="1322"/>
      <c r="AG718" s="1323"/>
      <c r="AH718" s="1317">
        <f>IF($AC718&gt;0,($X718/$AZ718), "")</f>
        <v>0.28093076049943244</v>
      </c>
      <c r="AI718" s="1318"/>
      <c r="AJ718" s="1319"/>
      <c r="AK718" s="1299" t="s">
        <v>811</v>
      </c>
      <c r="AL718" s="1300"/>
      <c r="AM718" s="1300"/>
      <c r="AN718" s="1300"/>
      <c r="AO718" s="1301"/>
      <c r="AP718" s="3"/>
      <c r="AQ718" s="3"/>
      <c r="AR718" s="3"/>
      <c r="AS718" s="3"/>
      <c r="AZ718" s="84">
        <f t="shared" ref="AZ718:AZ752" si="9">IF($G718=0,"N/A",VLOOKUP($T$189,TC_Rent,(MATCH($B718,bedrooms,FALSE)),FALSE))</f>
        <v>1762</v>
      </c>
      <c r="BA718" s="3"/>
      <c r="BB718" s="3"/>
      <c r="BC718" s="3"/>
      <c r="BD718" s="3"/>
      <c r="BE718" s="136"/>
      <c r="BF718" s="202">
        <f t="shared" ref="BF718:BF752" si="10">G718</f>
        <v>17</v>
      </c>
      <c r="BG718" s="206">
        <f t="shared" ref="BG718:BG752" si="11">IF($BF$753=0,0,BF718/$BF$753)</f>
        <v>0.48571428571428571</v>
      </c>
      <c r="BH718" s="207">
        <f t="shared" ref="BH718:BH752" si="12">IF(BG718=0,"",BG718*AC718)</f>
        <v>0.14571428571428571</v>
      </c>
      <c r="BI718" s="3"/>
      <c r="BJ718" s="3"/>
      <c r="BK718" s="3"/>
      <c r="BL718" s="3"/>
      <c r="BM718" s="3"/>
      <c r="BN718" s="3"/>
      <c r="BS718" s="202">
        <f t="shared" ref="BS718:BS752" si="13">G718</f>
        <v>17</v>
      </c>
      <c r="BT718" s="206">
        <f t="shared" ref="BT718:BT752" si="14">IF($BS$753=0,0,BS718/$BS$753)</f>
        <v>0.48571428571428571</v>
      </c>
      <c r="BU718" s="207">
        <f t="shared" ref="BU718:BU752" si="15">IF(BT718=0,"",BT718*AH718)</f>
        <v>0.13645208367115289</v>
      </c>
      <c r="CC718" s="3"/>
      <c r="CD718" s="3"/>
      <c r="CE718" s="3"/>
      <c r="CF718" s="3"/>
      <c r="CG718" s="1421">
        <f>IF(AND(AC718&lt;=0.5,AC718&gt;=0.36),1,0)</f>
        <v>0</v>
      </c>
      <c r="CH718" s="1422"/>
      <c r="CI718" s="1421">
        <f>IF(CG718=1,G718,0)</f>
        <v>0</v>
      </c>
      <c r="CJ718" s="1422"/>
      <c r="CK718" s="1421">
        <f t="shared" ref="CK718:CK752" si="16">IF(AND(AC718&lt;=0.35,AC718&gt;0),1,0)</f>
        <v>1</v>
      </c>
      <c r="CL718" s="1422"/>
      <c r="CM718" s="1421">
        <f t="shared" ref="CM718:CM752" si="17">IF(CK718=1,G718,0)</f>
        <v>17</v>
      </c>
      <c r="CN718" s="1422"/>
      <c r="CO718" s="3"/>
      <c r="CP718" s="1416">
        <f t="shared" ref="CP718:CP752" si="18">IF(B718="SRO/Studio",G718,0)</f>
        <v>0</v>
      </c>
      <c r="CQ718" s="1417"/>
      <c r="CR718" s="1417"/>
      <c r="CS718" s="1417"/>
      <c r="CT718" s="1418"/>
      <c r="CU718" s="1401">
        <f t="shared" ref="CU718:CU752" si="19">IF(B718="1 Bedroom",G718,0)</f>
        <v>17</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17</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389</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2.95" customHeight="1">
      <c r="A719" s="3"/>
      <c r="B719" s="1299" t="s">
        <v>832</v>
      </c>
      <c r="C719" s="1300"/>
      <c r="D719" s="1300"/>
      <c r="E719" s="1300"/>
      <c r="F719" s="1301"/>
      <c r="G719" s="1311">
        <v>7</v>
      </c>
      <c r="H719" s="1312"/>
      <c r="I719" s="1312"/>
      <c r="J719" s="1313"/>
      <c r="K719" s="1305">
        <v>523</v>
      </c>
      <c r="L719" s="1306"/>
      <c r="M719" s="1306"/>
      <c r="N719" s="1307"/>
      <c r="O719" s="1302">
        <v>719</v>
      </c>
      <c r="P719" s="1303"/>
      <c r="Q719" s="1303"/>
      <c r="R719" s="1303"/>
      <c r="S719" s="1304"/>
      <c r="T719" s="1302">
        <v>106</v>
      </c>
      <c r="U719" s="1303"/>
      <c r="V719" s="1303"/>
      <c r="W719" s="1304"/>
      <c r="X719" s="1314">
        <f t="shared" si="8"/>
        <v>825</v>
      </c>
      <c r="Y719" s="1315"/>
      <c r="Z719" s="1315"/>
      <c r="AA719" s="1315"/>
      <c r="AB719" s="1316"/>
      <c r="AC719" s="1321">
        <v>0.5</v>
      </c>
      <c r="AD719" s="1322"/>
      <c r="AE719" s="1322"/>
      <c r="AF719" s="1322"/>
      <c r="AG719" s="1323"/>
      <c r="AH719" s="1317">
        <f t="shared" ref="AH719:AH752" si="36">IF($AC719&gt;0,($X719/$AZ719), "")</f>
        <v>0.46821793416572077</v>
      </c>
      <c r="AI719" s="1318"/>
      <c r="AJ719" s="1319"/>
      <c r="AK719" s="1299" t="s">
        <v>811</v>
      </c>
      <c r="AL719" s="1300"/>
      <c r="AM719" s="1300"/>
      <c r="AN719" s="1300"/>
      <c r="AO719" s="1301"/>
      <c r="AP719" s="3"/>
      <c r="AQ719" s="3"/>
      <c r="AR719" s="3"/>
      <c r="AS719" s="3"/>
      <c r="AZ719" s="84">
        <f t="shared" si="9"/>
        <v>1762</v>
      </c>
      <c r="BA719" s="3"/>
      <c r="BB719" s="3"/>
      <c r="BC719" s="3"/>
      <c r="BD719" s="3"/>
      <c r="BE719" s="136"/>
      <c r="BF719" s="203">
        <f t="shared" si="10"/>
        <v>7</v>
      </c>
      <c r="BG719" s="206">
        <f t="shared" si="11"/>
        <v>0.2</v>
      </c>
      <c r="BH719" s="207">
        <f t="shared" si="12"/>
        <v>0.1</v>
      </c>
      <c r="BI719" s="3"/>
      <c r="BJ719" s="3"/>
      <c r="BK719" s="3"/>
      <c r="BL719" s="3"/>
      <c r="BM719" s="3"/>
      <c r="BN719" s="3"/>
      <c r="BS719" s="203">
        <f t="shared" si="13"/>
        <v>7</v>
      </c>
      <c r="BT719" s="206">
        <f t="shared" si="14"/>
        <v>0.2</v>
      </c>
      <c r="BU719" s="207">
        <f t="shared" si="15"/>
        <v>9.3643586833144166E-2</v>
      </c>
      <c r="CC719" s="3"/>
      <c r="CD719" s="3"/>
      <c r="CE719" s="3"/>
      <c r="CF719" s="3"/>
      <c r="CG719" s="1421">
        <f t="shared" ref="CG719:CG752" si="37">IF(AND(AC719&lt;=0.5,AC719&gt;=0.36),1,0)</f>
        <v>1</v>
      </c>
      <c r="CH719" s="1422"/>
      <c r="CI719" s="1421">
        <f t="shared" ref="CI719:CI752" si="38">IF(CG719=1,G719,0)</f>
        <v>7</v>
      </c>
      <c r="CJ719" s="1422"/>
      <c r="CK719" s="1421">
        <f t="shared" si="16"/>
        <v>0</v>
      </c>
      <c r="CL719" s="1422"/>
      <c r="CM719" s="1421">
        <f t="shared" si="17"/>
        <v>0</v>
      </c>
      <c r="CN719" s="1422"/>
      <c r="CO719" s="3"/>
      <c r="CP719" s="1416">
        <f t="shared" si="18"/>
        <v>0</v>
      </c>
      <c r="CQ719" s="1417"/>
      <c r="CR719" s="1417"/>
      <c r="CS719" s="1417"/>
      <c r="CT719" s="1418"/>
      <c r="CU719" s="1401">
        <f t="shared" si="19"/>
        <v>7</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f t="shared" si="31"/>
        <v>719</v>
      </c>
      <c r="FF719" s="1423"/>
      <c r="FG719" s="1423"/>
      <c r="FH719" s="1423"/>
      <c r="FI719" s="1422"/>
      <c r="FJ719" s="1421" t="str">
        <f t="shared" si="32"/>
        <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2.95" customHeight="1">
      <c r="A720" s="3"/>
      <c r="B720" s="1299" t="s">
        <v>832</v>
      </c>
      <c r="C720" s="1300"/>
      <c r="D720" s="1300"/>
      <c r="E720" s="1300"/>
      <c r="F720" s="1301"/>
      <c r="G720" s="1311">
        <v>11</v>
      </c>
      <c r="H720" s="1312"/>
      <c r="I720" s="1312"/>
      <c r="J720" s="1313"/>
      <c r="K720" s="1305">
        <v>523</v>
      </c>
      <c r="L720" s="1306"/>
      <c r="M720" s="1306"/>
      <c r="N720" s="1307"/>
      <c r="O720" s="1302">
        <v>737</v>
      </c>
      <c r="P720" s="1303"/>
      <c r="Q720" s="1303"/>
      <c r="R720" s="1303"/>
      <c r="S720" s="1304"/>
      <c r="T720" s="1302">
        <v>106</v>
      </c>
      <c r="U720" s="1303"/>
      <c r="V720" s="1303"/>
      <c r="W720" s="1304"/>
      <c r="X720" s="1314">
        <f t="shared" si="8"/>
        <v>843</v>
      </c>
      <c r="Y720" s="1315"/>
      <c r="Z720" s="1315"/>
      <c r="AA720" s="1315"/>
      <c r="AB720" s="1316"/>
      <c r="AC720" s="1321">
        <v>0.6</v>
      </c>
      <c r="AD720" s="1322"/>
      <c r="AE720" s="1322"/>
      <c r="AF720" s="1322"/>
      <c r="AG720" s="1323"/>
      <c r="AH720" s="1317">
        <f t="shared" si="36"/>
        <v>0.47843359818388193</v>
      </c>
      <c r="AI720" s="1318"/>
      <c r="AJ720" s="1319"/>
      <c r="AK720" s="1299" t="s">
        <v>811</v>
      </c>
      <c r="AL720" s="1300"/>
      <c r="AM720" s="1300"/>
      <c r="AN720" s="1300"/>
      <c r="AO720" s="1301"/>
      <c r="AP720" s="3"/>
      <c r="AQ720" s="3"/>
      <c r="AR720" s="3"/>
      <c r="AS720" s="3"/>
      <c r="AZ720" s="84">
        <f t="shared" si="9"/>
        <v>1762</v>
      </c>
      <c r="BA720" s="3"/>
      <c r="BB720" s="3"/>
      <c r="BC720" s="3"/>
      <c r="BD720" s="3"/>
      <c r="BE720" s="136"/>
      <c r="BF720" s="203">
        <f t="shared" si="10"/>
        <v>11</v>
      </c>
      <c r="BG720" s="206">
        <f t="shared" si="11"/>
        <v>0.31428571428571428</v>
      </c>
      <c r="BH720" s="207">
        <f t="shared" si="12"/>
        <v>0.18857142857142856</v>
      </c>
      <c r="BI720" s="3"/>
      <c r="BJ720" s="3"/>
      <c r="BK720" s="3"/>
      <c r="BL720" s="3"/>
      <c r="BM720" s="3"/>
      <c r="BN720" s="3"/>
      <c r="BS720" s="203">
        <f t="shared" si="13"/>
        <v>11</v>
      </c>
      <c r="BT720" s="206">
        <f t="shared" si="14"/>
        <v>0.31428571428571428</v>
      </c>
      <c r="BU720" s="207">
        <f t="shared" si="15"/>
        <v>0.15036484514350573</v>
      </c>
      <c r="CC720" s="3"/>
      <c r="CD720" s="3"/>
      <c r="CE720" s="3"/>
      <c r="CF720" s="3"/>
      <c r="CG720" s="1421">
        <f t="shared" si="37"/>
        <v>0</v>
      </c>
      <c r="CH720" s="1422"/>
      <c r="CI720" s="1421">
        <f t="shared" si="38"/>
        <v>0</v>
      </c>
      <c r="CJ720" s="1422"/>
      <c r="CK720" s="1421">
        <f t="shared" si="16"/>
        <v>0</v>
      </c>
      <c r="CL720" s="1422"/>
      <c r="CM720" s="1421">
        <f t="shared" si="17"/>
        <v>0</v>
      </c>
      <c r="CN720" s="1422"/>
      <c r="CO720" s="3"/>
      <c r="CP720" s="1416">
        <f t="shared" si="18"/>
        <v>0</v>
      </c>
      <c r="CQ720" s="1417"/>
      <c r="CR720" s="1417"/>
      <c r="CS720" s="1417"/>
      <c r="CT720" s="1418"/>
      <c r="CU720" s="1401">
        <f t="shared" si="19"/>
        <v>11</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f t="shared" si="31"/>
        <v>737</v>
      </c>
      <c r="FF720" s="1423"/>
      <c r="FG720" s="1423"/>
      <c r="FH720" s="1423"/>
      <c r="FI720" s="1422"/>
      <c r="FJ720" s="1421" t="str">
        <f t="shared" si="32"/>
        <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2.95" customHeight="1">
      <c r="B721" s="1299"/>
      <c r="C721" s="1300"/>
      <c r="D721" s="1300"/>
      <c r="E721" s="1300"/>
      <c r="F721" s="1301"/>
      <c r="G721" s="1311"/>
      <c r="H721" s="1312"/>
      <c r="I721" s="1312"/>
      <c r="J721" s="1313"/>
      <c r="K721" s="1305"/>
      <c r="L721" s="1306"/>
      <c r="M721" s="1306"/>
      <c r="N721" s="1307"/>
      <c r="O721" s="1302"/>
      <c r="P721" s="1303"/>
      <c r="Q721" s="1303"/>
      <c r="R721" s="1303"/>
      <c r="S721" s="1304"/>
      <c r="T721" s="1302"/>
      <c r="U721" s="1303"/>
      <c r="V721" s="1303"/>
      <c r="W721" s="1304"/>
      <c r="X721" s="1314">
        <f t="shared" si="8"/>
        <v>0</v>
      </c>
      <c r="Y721" s="1315"/>
      <c r="Z721" s="1315"/>
      <c r="AA721" s="1315"/>
      <c r="AB721" s="1316"/>
      <c r="AC721" s="1321"/>
      <c r="AD721" s="1322"/>
      <c r="AE721" s="1322"/>
      <c r="AF721" s="1322"/>
      <c r="AG721" s="1323"/>
      <c r="AH721" s="1317" t="str">
        <f t="shared" si="36"/>
        <v/>
      </c>
      <c r="AI721" s="1318"/>
      <c r="AJ721" s="1319"/>
      <c r="AK721" s="1299" t="s">
        <v>811</v>
      </c>
      <c r="AL721" s="1300"/>
      <c r="AM721" s="1300"/>
      <c r="AN721" s="1300"/>
      <c r="AO721" s="1301"/>
      <c r="AP721" s="3"/>
      <c r="AQ721" s="3"/>
      <c r="AR721" s="3"/>
      <c r="AS721" s="3"/>
      <c r="AY721" s="85"/>
      <c r="AZ721" s="84" t="str">
        <f t="shared" si="9"/>
        <v>N/A</v>
      </c>
      <c r="BA721" s="3"/>
      <c r="BB721" s="3"/>
      <c r="BC721" s="3"/>
      <c r="BD721" s="3"/>
      <c r="BE721" s="136"/>
      <c r="BF721" s="203">
        <f t="shared" si="10"/>
        <v>0</v>
      </c>
      <c r="BG721" s="206">
        <f t="shared" si="11"/>
        <v>0</v>
      </c>
      <c r="BH721" s="207" t="str">
        <f t="shared" si="12"/>
        <v/>
      </c>
      <c r="BI721" s="3"/>
      <c r="BJ721" s="3"/>
      <c r="BK721" s="3"/>
      <c r="BL721" s="3"/>
      <c r="BM721" s="3"/>
      <c r="BN721" s="3"/>
      <c r="BS721" s="203">
        <f t="shared" si="13"/>
        <v>0</v>
      </c>
      <c r="BT721" s="206">
        <f t="shared" si="14"/>
        <v>0</v>
      </c>
      <c r="BU721" s="207" t="str">
        <f t="shared" si="15"/>
        <v/>
      </c>
      <c r="CC721" s="3"/>
      <c r="CD721" s="3"/>
      <c r="CE721" s="3"/>
      <c r="CF721" s="3"/>
      <c r="CG721" s="1421">
        <f t="shared" si="37"/>
        <v>0</v>
      </c>
      <c r="CH721" s="1422"/>
      <c r="CI721" s="1421">
        <f t="shared" si="38"/>
        <v>0</v>
      </c>
      <c r="CJ721" s="1422"/>
      <c r="CK721" s="1421">
        <f t="shared" si="16"/>
        <v>0</v>
      </c>
      <c r="CL721" s="1422"/>
      <c r="CM721" s="1421">
        <f t="shared" si="17"/>
        <v>0</v>
      </c>
      <c r="CN721" s="1422"/>
      <c r="CO721" s="3"/>
      <c r="CP721" s="1416">
        <f t="shared" si="18"/>
        <v>0</v>
      </c>
      <c r="CQ721" s="1417"/>
      <c r="CR721" s="1417"/>
      <c r="CS721" s="1417"/>
      <c r="CT721" s="1418"/>
      <c r="CU721" s="1401">
        <f t="shared" si="19"/>
        <v>0</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2.95"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6"/>
        <v/>
      </c>
      <c r="AI722" s="1318"/>
      <c r="AJ722" s="1319"/>
      <c r="AK722" s="1299" t="s">
        <v>811</v>
      </c>
      <c r="AL722" s="1300"/>
      <c r="AM722" s="1300"/>
      <c r="AN722" s="1300"/>
      <c r="AO722" s="130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1">
        <f t="shared" si="37"/>
        <v>0</v>
      </c>
      <c r="CH722" s="1422"/>
      <c r="CI722" s="1421">
        <f t="shared" si="38"/>
        <v>0</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2.95" customHeight="1">
      <c r="B723" s="1299"/>
      <c r="C723" s="1300"/>
      <c r="D723" s="1300"/>
      <c r="E723" s="1300"/>
      <c r="F723" s="1301"/>
      <c r="G723" s="1311"/>
      <c r="H723" s="1312"/>
      <c r="I723" s="1312"/>
      <c r="J723" s="1313"/>
      <c r="K723" s="1305"/>
      <c r="L723" s="1306"/>
      <c r="M723" s="1306"/>
      <c r="N723" s="1307"/>
      <c r="O723" s="1302"/>
      <c r="P723" s="1303"/>
      <c r="Q723" s="1303"/>
      <c r="R723" s="1303"/>
      <c r="S723" s="1304"/>
      <c r="T723" s="1302"/>
      <c r="U723" s="1303"/>
      <c r="V723" s="1303"/>
      <c r="W723" s="1304"/>
      <c r="X723" s="1314">
        <f t="shared" si="8"/>
        <v>0</v>
      </c>
      <c r="Y723" s="1315"/>
      <c r="Z723" s="1315"/>
      <c r="AA723" s="1315"/>
      <c r="AB723" s="1316"/>
      <c r="AC723" s="1321"/>
      <c r="AD723" s="1322"/>
      <c r="AE723" s="1322"/>
      <c r="AF723" s="1322"/>
      <c r="AG723" s="1323"/>
      <c r="AH723" s="1317" t="str">
        <f t="shared" si="36"/>
        <v/>
      </c>
      <c r="AI723" s="1318"/>
      <c r="AJ723" s="1319"/>
      <c r="AK723" s="1299" t="s">
        <v>811</v>
      </c>
      <c r="AL723" s="1300"/>
      <c r="AM723" s="1300"/>
      <c r="AN723" s="1300"/>
      <c r="AO723" s="130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1">
        <f t="shared" si="37"/>
        <v>0</v>
      </c>
      <c r="CH723" s="1422"/>
      <c r="CI723" s="1421">
        <f t="shared" si="38"/>
        <v>0</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2.95"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811</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2.95"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811</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2.95"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811</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2.95"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811</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2.9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811</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2.9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811</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811</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811</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811</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811</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811</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811</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811</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811</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811</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811</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811</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811</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811</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811</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811</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811</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811</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811</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811</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811</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811</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811</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811</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2.95" customHeight="1">
      <c r="A753"/>
      <c r="B753" s="1407" t="s">
        <v>1463</v>
      </c>
      <c r="C753" s="1408"/>
      <c r="D753" s="1408"/>
      <c r="E753" s="1408"/>
      <c r="F753" s="1409"/>
      <c r="G753" s="1567">
        <f>SUM(G718:G752)</f>
        <v>35</v>
      </c>
      <c r="H753" s="1568"/>
      <c r="I753" s="1568"/>
      <c r="J753" s="1569"/>
      <c r="K753" s="798" t="s">
        <v>1464</v>
      </c>
      <c r="L753" s="5"/>
      <c r="M753" s="5"/>
      <c r="N753" s="38"/>
      <c r="O753" s="1314">
        <f>SUMPRODUCT(G718:G752,O718:O752)</f>
        <v>19753</v>
      </c>
      <c r="P753" s="1315"/>
      <c r="Q753" s="1315"/>
      <c r="R753" s="1315"/>
      <c r="S753" s="1316"/>
      <c r="T753"/>
      <c r="U753"/>
      <c r="V753"/>
      <c r="W753"/>
      <c r="X753" s="800" t="s">
        <v>1465</v>
      </c>
      <c r="Y753" s="799"/>
      <c r="Z753" s="799"/>
      <c r="AA753" s="799"/>
      <c r="AB753" s="801"/>
      <c r="AC753" s="1550">
        <f>BH753</f>
        <v>0.43428571428571427</v>
      </c>
      <c r="AD753" s="1551"/>
      <c r="AE753" s="1551"/>
      <c r="AF753" s="1551"/>
      <c r="AG753" s="1552"/>
      <c r="AH753" s="1550">
        <f>IFERROR(BU753,"")</f>
        <v>0.38046051564780281</v>
      </c>
      <c r="AI753" s="1551"/>
      <c r="AJ753" s="1552"/>
      <c r="AK753"/>
      <c r="AL753"/>
      <c r="AM753"/>
      <c r="AN753"/>
      <c r="AO753"/>
      <c r="AP753" s="137"/>
      <c r="AQ753" s="137"/>
      <c r="AR753" s="137"/>
      <c r="AS753" s="137"/>
      <c r="AT753"/>
      <c r="AU753"/>
      <c r="AV753"/>
      <c r="AW753"/>
      <c r="AX753"/>
      <c r="AY753"/>
      <c r="BE753" s="200" t="s">
        <v>1466</v>
      </c>
      <c r="BF753" s="208">
        <f>SUM(BF718:BF752)</f>
        <v>35</v>
      </c>
      <c r="BG753" s="209">
        <f>SUM(BG718:BG752)</f>
        <v>1</v>
      </c>
      <c r="BH753" s="209">
        <f>SUM(BH718:BH752)</f>
        <v>0.43428571428571427</v>
      </c>
      <c r="BI753"/>
      <c r="BJ753"/>
      <c r="BK753"/>
      <c r="BL753"/>
      <c r="BO753"/>
      <c r="BP753"/>
      <c r="BQ753"/>
      <c r="BR753"/>
      <c r="BS753" s="758">
        <f>SUM(BS718:BS752)</f>
        <v>35</v>
      </c>
      <c r="BT753" s="209">
        <f>SUM(BT718:BT752)</f>
        <v>1</v>
      </c>
      <c r="BU753" s="209">
        <f>SUM(BU718:BU752)</f>
        <v>0.38046051564780281</v>
      </c>
      <c r="CI753" s="1421">
        <f>SUM(CI718:CJ752)</f>
        <v>7</v>
      </c>
      <c r="CJ753" s="1422"/>
      <c r="CM753" s="1421">
        <f>SUM(CM718:CN752)</f>
        <v>17</v>
      </c>
      <c r="CN753" s="1422"/>
      <c r="CP753" s="1421">
        <f>SUM(CP718:CT752)</f>
        <v>0</v>
      </c>
      <c r="CQ753" s="1423"/>
      <c r="CR753" s="1423"/>
      <c r="CS753" s="1423"/>
      <c r="CT753" s="1422"/>
      <c r="CU753" s="1419">
        <f>SUM(CU718:CY752)</f>
        <v>35</v>
      </c>
      <c r="CV753" s="1419"/>
      <c r="CW753" s="1419"/>
      <c r="CX753" s="1419"/>
      <c r="CY753" s="1419"/>
      <c r="CZ753" s="1419">
        <f>SUM(CZ718:DD752)</f>
        <v>0</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17</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1845</v>
      </c>
      <c r="FF753" s="1419"/>
      <c r="FG753" s="1419"/>
      <c r="FH753" s="1419"/>
      <c r="FI753" s="1419"/>
      <c r="FJ753" s="1419">
        <f>SUM(FJ718:FN752)</f>
        <v>0</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2.95" customHeight="1">
      <c r="A754"/>
      <c r="B754" s="1566" t="s">
        <v>1467</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1468</v>
      </c>
      <c r="DO754" s="1421">
        <f>CP753+CU753+CZ753+DE753+DJ753+DO753</f>
        <v>35</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35</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35</v>
      </c>
      <c r="DV755" s="49" t="s">
        <v>1469</v>
      </c>
      <c r="DW755" s="3"/>
      <c r="DX755" s="3"/>
      <c r="DY755" s="3"/>
      <c r="DZ755" s="3"/>
      <c r="EA755" s="3"/>
      <c r="EB755" s="3"/>
      <c r="EC755" s="3"/>
      <c r="ED755" s="3"/>
      <c r="EE755" s="3"/>
      <c r="EF755" s="3"/>
      <c r="EG755" s="3"/>
      <c r="EH755" s="3"/>
    </row>
    <row r="756" spans="1:185" ht="12.95" customHeight="1">
      <c r="A756" s="3"/>
      <c r="B756" s="3"/>
      <c r="C756" s="84" t="s">
        <v>1470</v>
      </c>
      <c r="D756" s="923"/>
      <c r="E756" s="923"/>
      <c r="F756" s="923"/>
      <c r="G756" s="924"/>
      <c r="H756" s="924"/>
      <c r="I756" s="924"/>
      <c r="J756" s="924"/>
      <c r="K756" s="923"/>
      <c r="L756" s="923"/>
      <c r="M756" s="923"/>
      <c r="N756" s="923"/>
      <c r="O756" s="1419">
        <f>DU755</f>
        <v>35</v>
      </c>
      <c r="P756" s="1419"/>
      <c r="Q756" s="1419"/>
      <c r="R756" s="1419"/>
      <c r="S756" s="863"/>
      <c r="T756" s="863"/>
      <c r="U756" s="84" t="s">
        <v>1471</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1472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811</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1473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912</v>
      </c>
      <c r="B761" s="48"/>
      <c r="C761" s="49" t="s">
        <v>1474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1475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1476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1477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1443</v>
      </c>
      <c r="K769" s="1325"/>
      <c r="L769" s="1325"/>
      <c r="M769" s="1325"/>
      <c r="N769" s="1326"/>
      <c r="O769" s="1565" t="s">
        <v>1444</v>
      </c>
      <c r="P769" s="1565"/>
      <c r="Q769" s="1565"/>
      <c r="R769" s="1565"/>
      <c r="S769" s="1565"/>
      <c r="T769" s="1662" t="s">
        <v>1445</v>
      </c>
      <c r="U769" s="1663"/>
      <c r="V769" s="1663"/>
      <c r="W769" s="1664"/>
      <c r="X769" s="1324" t="s">
        <v>1446</v>
      </c>
      <c r="Y769" s="1325"/>
      <c r="Z769" s="1325"/>
      <c r="AA769" s="1325"/>
      <c r="AB769" s="1326"/>
      <c r="AC769" s="1324" t="s">
        <v>1478</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1479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833</v>
      </c>
      <c r="K773" s="1300"/>
      <c r="L773" s="1300"/>
      <c r="M773" s="1300"/>
      <c r="N773" s="1301"/>
      <c r="O773" s="1559">
        <v>1</v>
      </c>
      <c r="P773" s="1559"/>
      <c r="Q773" s="1559"/>
      <c r="R773" s="1559"/>
      <c r="S773" s="1559"/>
      <c r="T773" s="1305">
        <v>763</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1463</v>
      </c>
      <c r="K777" s="1408"/>
      <c r="L777" s="1408"/>
      <c r="M777" s="1408"/>
      <c r="N777" s="1409"/>
      <c r="O777" s="1421">
        <f>SUM(O773:S776)</f>
        <v>1</v>
      </c>
      <c r="P777" s="1423"/>
      <c r="Q777" s="1423"/>
      <c r="R777" s="1423"/>
      <c r="S777" s="1422"/>
      <c r="X777" s="1407" t="s">
        <v>1464</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1480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1481</v>
      </c>
    </row>
    <row r="779" spans="1:126" ht="12.95" customHeight="1">
      <c r="B779" s="48"/>
      <c r="C779" s="48"/>
      <c r="D779" s="48"/>
      <c r="E779" s="48"/>
      <c r="F779" s="48"/>
      <c r="G779" s="257"/>
      <c r="H779" s="257"/>
      <c r="I779" s="257"/>
      <c r="J779" s="1607" t="s">
        <v>694</v>
      </c>
      <c r="K779" s="1607"/>
      <c r="L779" s="48"/>
      <c r="M779" s="84" t="s">
        <v>1482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1483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991</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1443</v>
      </c>
      <c r="K783" s="1325"/>
      <c r="L783" s="1325"/>
      <c r="M783" s="1325"/>
      <c r="N783" s="1326"/>
      <c r="O783" s="1565" t="s">
        <v>1444</v>
      </c>
      <c r="P783" s="1565"/>
      <c r="Q783" s="1565"/>
      <c r="R783" s="1565"/>
      <c r="S783" s="1565"/>
      <c r="T783" s="1662" t="s">
        <v>1445</v>
      </c>
      <c r="U783" s="1663"/>
      <c r="V783" s="1663"/>
      <c r="W783" s="1664"/>
      <c r="X783" s="1324" t="s">
        <v>1446</v>
      </c>
      <c r="Y783" s="1325"/>
      <c r="Z783" s="1325"/>
      <c r="AA783" s="1325"/>
      <c r="AB783" s="1326"/>
      <c r="AC783" s="1324" t="s">
        <v>1478</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1484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1485</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2.95" customHeight="1">
      <c r="A797"/>
      <c r="B797"/>
      <c r="C797"/>
      <c r="D797"/>
      <c r="E797"/>
      <c r="F797"/>
      <c r="G797"/>
      <c r="H797"/>
      <c r="I797"/>
      <c r="J797" s="1407" t="s">
        <v>1463</v>
      </c>
      <c r="K797" s="1408"/>
      <c r="L797" s="1408"/>
      <c r="M797" s="1408"/>
      <c r="N797" s="1409"/>
      <c r="O797" s="1419">
        <f>SUM(O787:S796)</f>
        <v>0</v>
      </c>
      <c r="P797" s="1419"/>
      <c r="Q797" s="1419"/>
      <c r="R797" s="1419"/>
      <c r="S797" s="1419"/>
      <c r="T797"/>
      <c r="U797"/>
      <c r="V797"/>
      <c r="W797"/>
      <c r="X797" s="798" t="s">
        <v>1464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2.9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1486</v>
      </c>
      <c r="DW799" s="3"/>
      <c r="DX799" s="3"/>
      <c r="DY799" s="3"/>
      <c r="DZ799" s="3"/>
      <c r="EA799" s="3"/>
      <c r="EB799" s="3"/>
      <c r="EC799" s="3"/>
      <c r="ED799" s="3"/>
      <c r="EE799" s="3"/>
      <c r="EF799" s="3"/>
      <c r="EG799" s="3"/>
      <c r="EH799" s="3"/>
      <c r="EI799"/>
      <c r="EJ799"/>
      <c r="EK799"/>
      <c r="EL799"/>
      <c r="EM799"/>
      <c r="EN799"/>
      <c r="EO799"/>
      <c r="EP799"/>
      <c r="EQ799"/>
      <c r="ER799"/>
      <c r="ES799" s="48" t="s">
        <v>1487</v>
      </c>
      <c r="ET799" s="1788">
        <f>SUM(DU797:EX797)</f>
        <v>0</v>
      </c>
      <c r="EU799" s="1789"/>
      <c r="EV799" s="1789"/>
      <c r="EW799" s="1789"/>
      <c r="EX799" s="179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1488</v>
      </c>
      <c r="Y800" s="1646">
        <f>O753+AC777+AC797</f>
        <v>19753</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1489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1490</v>
      </c>
      <c r="Y801" s="1646">
        <f>(O753+AC777+AC797)*12</f>
        <v>237036</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1491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35</v>
      </c>
      <c r="CV802" s="1423"/>
      <c r="CW802" s="1423"/>
      <c r="CX802" s="1423"/>
      <c r="CY802" s="1422"/>
      <c r="CZ802" s="1421">
        <f>CZ753+CZ777+CZ797</f>
        <v>1</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35</v>
      </c>
      <c r="DV802" s="49" t="s">
        <v>1492</v>
      </c>
    </row>
    <row r="803" spans="1:126" s="4" customFormat="1" ht="12.95" customHeight="1">
      <c r="A803" s="2" t="s">
        <v>1009</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1493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1494</v>
      </c>
      <c r="I806" s="5"/>
      <c r="J806" s="5"/>
      <c r="K806" s="5"/>
      <c r="L806" s="5"/>
      <c r="M806" s="5"/>
      <c r="N806" s="5"/>
      <c r="O806" s="5"/>
      <c r="P806" s="5"/>
      <c r="Q806" s="5"/>
      <c r="R806" s="5"/>
      <c r="S806" s="5"/>
      <c r="T806" s="5"/>
      <c r="U806" s="5"/>
      <c r="V806" s="5"/>
      <c r="W806" s="5"/>
      <c r="X806" s="5"/>
      <c r="Y806" s="5"/>
      <c r="Z806" s="1511">
        <v>35</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1495</v>
      </c>
      <c r="I807" s="5"/>
      <c r="J807" s="5"/>
      <c r="K807" s="5"/>
      <c r="L807" s="5"/>
      <c r="M807" s="5"/>
      <c r="N807" s="5"/>
      <c r="O807" s="5"/>
      <c r="P807" s="5"/>
      <c r="Q807" s="5"/>
      <c r="R807" s="5"/>
      <c r="S807" s="5"/>
      <c r="T807" s="5"/>
      <c r="U807" s="5"/>
      <c r="V807" s="5"/>
      <c r="W807" s="5"/>
      <c r="X807" s="5"/>
      <c r="Y807" s="5"/>
      <c r="Z807" s="1673">
        <v>20</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1496</v>
      </c>
      <c r="I808" s="5"/>
      <c r="J808" s="5"/>
      <c r="K808" s="5"/>
      <c r="L808" s="5"/>
      <c r="M808" s="5"/>
      <c r="N808" s="5"/>
      <c r="O808" s="5"/>
      <c r="P808" s="5"/>
      <c r="Q808" s="5"/>
      <c r="R808" s="5"/>
      <c r="S808" s="5"/>
      <c r="T808" s="5"/>
      <c r="U808" s="5"/>
      <c r="V808" s="5"/>
      <c r="W808" s="5"/>
      <c r="X808" s="5"/>
      <c r="Y808" s="5"/>
      <c r="Z808" s="1671">
        <v>53448</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1497</v>
      </c>
      <c r="Z809" s="1561">
        <f>'Subsidy Contract Calculation'!J40</f>
        <v>209844</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1498</v>
      </c>
      <c r="I813" s="5"/>
      <c r="J813" s="5"/>
      <c r="K813" s="5"/>
      <c r="L813" s="5"/>
      <c r="M813" s="5"/>
      <c r="N813" s="5"/>
      <c r="O813" s="5"/>
      <c r="P813" s="5"/>
      <c r="Q813" s="5"/>
      <c r="R813" s="5"/>
      <c r="S813" s="5"/>
      <c r="T813" s="5"/>
      <c r="U813" s="5"/>
      <c r="V813" s="5"/>
      <c r="W813" s="5"/>
      <c r="X813" s="5"/>
      <c r="Y813" s="5"/>
      <c r="Z813" s="1424">
        <v>1500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1499</v>
      </c>
      <c r="I814" s="5"/>
      <c r="J814" s="5"/>
      <c r="K814" s="5"/>
      <c r="L814" s="5"/>
      <c r="M814" s="5"/>
      <c r="N814" s="5"/>
      <c r="O814" s="5"/>
      <c r="P814" s="5"/>
      <c r="Q814" s="5"/>
      <c r="R814" s="5"/>
      <c r="S814" s="5"/>
      <c r="T814" s="5"/>
      <c r="U814" s="5"/>
      <c r="V814" s="5"/>
      <c r="W814" s="5"/>
      <c r="X814" s="5"/>
      <c r="Y814" s="5"/>
      <c r="Z814" s="1424">
        <v>0</v>
      </c>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1500</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1501</v>
      </c>
      <c r="I816" s="5"/>
      <c r="J816" s="5"/>
      <c r="K816" s="5"/>
      <c r="L816" s="5"/>
      <c r="M816" s="5"/>
      <c r="N816" s="5"/>
      <c r="O816" s="5"/>
      <c r="P816" s="1488" t="s">
        <v>1317</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1502</v>
      </c>
      <c r="Z817" s="1561">
        <f>SUM(Z813:AE816)</f>
        <v>1500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1503</v>
      </c>
      <c r="Z818" s="1561">
        <f>Z817+Y801+Z809</f>
        <v>448380</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1504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1505</v>
      </c>
      <c r="N823" s="1534"/>
      <c r="O823" s="1534"/>
      <c r="P823" s="1598"/>
      <c r="Q823" s="1560" t="s">
        <v>1506</v>
      </c>
      <c r="R823" s="1560"/>
      <c r="S823" s="1560"/>
      <c r="T823" s="1560"/>
      <c r="U823" s="1560" t="s">
        <v>1507</v>
      </c>
      <c r="V823" s="1560"/>
      <c r="W823" s="1560"/>
      <c r="X823" s="1560"/>
      <c r="Y823" s="1560" t="s">
        <v>1508</v>
      </c>
      <c r="Z823" s="1560"/>
      <c r="AA823" s="1560"/>
      <c r="AB823" s="1560"/>
      <c r="AC823" s="1560" t="s">
        <v>1509</v>
      </c>
      <c r="AD823" s="1560"/>
      <c r="AE823" s="1560"/>
      <c r="AF823" s="1560"/>
      <c r="AG823" s="1672" t="s">
        <v>1510</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1511</v>
      </c>
      <c r="D825" s="1320"/>
      <c r="E825" s="1320"/>
      <c r="F825" s="1320"/>
      <c r="G825" s="1320"/>
      <c r="H825" s="1320"/>
      <c r="I825" s="40"/>
      <c r="J825" s="40"/>
      <c r="K825" s="40"/>
      <c r="L825" s="41"/>
      <c r="M825" s="1587"/>
      <c r="N825" s="1587"/>
      <c r="O825" s="1587"/>
      <c r="P825" s="1587"/>
      <c r="Q825" s="1587">
        <v>19</v>
      </c>
      <c r="R825" s="1587"/>
      <c r="S825" s="1587"/>
      <c r="T825" s="1587"/>
      <c r="U825" s="1587"/>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1" t="s">
        <v>1512</v>
      </c>
      <c r="D826" s="1572"/>
      <c r="E826" s="1572"/>
      <c r="F826" s="1572"/>
      <c r="G826" s="1572"/>
      <c r="H826" s="1572"/>
      <c r="I826" s="5"/>
      <c r="J826" s="5"/>
      <c r="K826" s="5"/>
      <c r="L826" s="38"/>
      <c r="M826" s="1587"/>
      <c r="N826" s="1587"/>
      <c r="O826" s="1587"/>
      <c r="P826" s="1587"/>
      <c r="Q826" s="1587">
        <v>19</v>
      </c>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1" t="s">
        <v>1513</v>
      </c>
      <c r="D827" s="1572"/>
      <c r="E827" s="1572"/>
      <c r="F827" s="1572"/>
      <c r="G827" s="1572"/>
      <c r="H827" s="1572"/>
      <c r="I827" s="52"/>
      <c r="J827" s="52"/>
      <c r="K827" s="52"/>
      <c r="L827" s="53"/>
      <c r="M827" s="1587"/>
      <c r="N827" s="1587"/>
      <c r="O827" s="1587"/>
      <c r="P827" s="1587"/>
      <c r="Q827" s="1587">
        <v>19</v>
      </c>
      <c r="R827" s="1587"/>
      <c r="S827" s="1587"/>
      <c r="T827" s="1587"/>
      <c r="U827" s="1587"/>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1" t="s">
        <v>1514</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1" t="s">
        <v>1515</v>
      </c>
      <c r="D829" s="1572"/>
      <c r="E829" s="1572"/>
      <c r="F829" s="1572"/>
      <c r="G829" s="1572"/>
      <c r="H829" s="1572"/>
      <c r="I829" s="52"/>
      <c r="J829" s="52"/>
      <c r="K829" s="52"/>
      <c r="L829" s="53"/>
      <c r="M829" s="1587"/>
      <c r="N829" s="1587"/>
      <c r="O829" s="1587"/>
      <c r="P829" s="1587"/>
      <c r="Q829" s="1587"/>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7" t="s">
        <v>1516</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1517</v>
      </c>
      <c r="D831" s="52"/>
      <c r="E831" s="52"/>
      <c r="F831" s="1488" t="s">
        <v>1518</v>
      </c>
      <c r="G831" s="1489"/>
      <c r="H831" s="1489"/>
      <c r="I831" s="1489"/>
      <c r="J831" s="1489"/>
      <c r="K831" s="1489"/>
      <c r="L831" s="1489"/>
      <c r="M831" s="1587"/>
      <c r="N831" s="1587"/>
      <c r="O831" s="1587"/>
      <c r="P831" s="1587"/>
      <c r="Q831" s="1587">
        <v>49</v>
      </c>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1464</v>
      </c>
      <c r="D832" s="1408"/>
      <c r="E832" s="1408"/>
      <c r="F832" s="1408"/>
      <c r="G832" s="1408"/>
      <c r="H832" s="1408"/>
      <c r="I832" s="1408"/>
      <c r="J832" s="1408"/>
      <c r="K832" s="1408"/>
      <c r="L832" s="1409"/>
      <c r="M832" s="1581">
        <f>SUM(M825:P831)</f>
        <v>0</v>
      </c>
      <c r="N832" s="1581"/>
      <c r="O832" s="1581"/>
      <c r="P832" s="1581"/>
      <c r="Q832" s="1581">
        <f>SUM(Q825:T831)</f>
        <v>106</v>
      </c>
      <c r="R832" s="1581"/>
      <c r="S832" s="1581"/>
      <c r="T832" s="1581"/>
      <c r="U832" s="1581">
        <f>SUM(U825:X831)</f>
        <v>0</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1519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1520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1521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49" t="s">
        <v>667</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1522</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1104</v>
      </c>
      <c r="B840"/>
      <c r="C840" s="2" t="s">
        <v>1523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1524</v>
      </c>
      <c r="D842"/>
      <c r="E842"/>
      <c r="F842"/>
      <c r="G842"/>
      <c r="H842"/>
      <c r="I842"/>
      <c r="J842" s="37" t="s">
        <v>1525</v>
      </c>
      <c r="K842" s="5"/>
      <c r="L842" s="5"/>
      <c r="M842" s="5"/>
      <c r="N842" s="5"/>
      <c r="O842" s="5"/>
      <c r="P842" s="5"/>
      <c r="Q842" s="5"/>
      <c r="R842" s="5"/>
      <c r="S842" s="5"/>
      <c r="T842" s="5"/>
      <c r="U842" s="5"/>
      <c r="V842" s="38"/>
      <c r="W842" s="1433">
        <v>1000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1526</v>
      </c>
      <c r="K843" s="5"/>
      <c r="L843" s="5"/>
      <c r="M843" s="5"/>
      <c r="N843" s="5"/>
      <c r="O843" s="5"/>
      <c r="P843" s="5"/>
      <c r="Q843" s="5"/>
      <c r="R843" s="5"/>
      <c r="S843" s="5"/>
      <c r="T843" s="5"/>
      <c r="U843" s="5"/>
      <c r="V843" s="38"/>
      <c r="W843" s="1433">
        <v>1000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1527</v>
      </c>
      <c r="K844" s="5"/>
      <c r="L844" s="5"/>
      <c r="M844" s="5"/>
      <c r="N844" s="5"/>
      <c r="O844" s="5"/>
      <c r="P844" s="5"/>
      <c r="Q844" s="5"/>
      <c r="R844" s="5"/>
      <c r="S844" s="5"/>
      <c r="T844" s="5"/>
      <c r="U844" s="5"/>
      <c r="V844" s="38"/>
      <c r="W844" s="1433">
        <v>10000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1528</v>
      </c>
      <c r="K845" s="5"/>
      <c r="L845" s="5"/>
      <c r="M845" s="5"/>
      <c r="N845" s="5"/>
      <c r="O845" s="5"/>
      <c r="P845" s="5"/>
      <c r="Q845" s="5"/>
      <c r="R845" s="5"/>
      <c r="S845" s="5"/>
      <c r="T845" s="5"/>
      <c r="U845" s="5"/>
      <c r="V845" s="38"/>
      <c r="W845" s="1433">
        <v>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1317</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1529</v>
      </c>
      <c r="W847" s="1561">
        <f>SUM(W842:W846)</f>
        <v>12000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1530</v>
      </c>
      <c r="J849" s="1407" t="s">
        <v>1531</v>
      </c>
      <c r="K849" s="1408"/>
      <c r="L849" s="1408"/>
      <c r="M849" s="1408"/>
      <c r="N849" s="1408"/>
      <c r="O849" s="1408"/>
      <c r="P849" s="1408"/>
      <c r="Q849" s="1408"/>
      <c r="R849" s="1408"/>
      <c r="S849" s="1408"/>
      <c r="T849" s="1408"/>
      <c r="U849" s="1408"/>
      <c r="V849" s="1409"/>
      <c r="W849" s="1424">
        <v>28080</v>
      </c>
      <c r="X849" s="1425"/>
      <c r="Y849" s="1425"/>
      <c r="Z849" s="1425"/>
      <c r="AA849" s="1425"/>
      <c r="AB849" s="1425"/>
      <c r="AC849" s="1426"/>
      <c r="AD849" s="433"/>
      <c r="AZ849" s="25"/>
      <c r="BA849" s="25"/>
      <c r="BB849" s="13"/>
      <c r="BC849" s="13"/>
    </row>
    <row r="850" spans="3:55" ht="12.95" customHeight="1">
      <c r="AD850" s="433"/>
      <c r="AZ850" s="25"/>
      <c r="BA850" s="25"/>
      <c r="BB850" s="13"/>
      <c r="BC850" s="13"/>
    </row>
    <row r="851" spans="3:55" ht="12.95" customHeight="1">
      <c r="C851" s="2" t="s">
        <v>230</v>
      </c>
      <c r="J851" s="37" t="s">
        <v>1532</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2.95" customHeight="1">
      <c r="J852" s="37" t="s">
        <v>1533</v>
      </c>
      <c r="K852" s="5"/>
      <c r="L852" s="5"/>
      <c r="M852" s="5"/>
      <c r="N852" s="5"/>
      <c r="O852" s="5"/>
      <c r="P852" s="5"/>
      <c r="Q852" s="5"/>
      <c r="R852" s="5"/>
      <c r="S852" s="5"/>
      <c r="T852" s="5"/>
      <c r="U852" s="5"/>
      <c r="V852" s="38"/>
      <c r="W852" s="1596"/>
      <c r="X852" s="1596"/>
      <c r="Y852" s="1596"/>
      <c r="Z852" s="1596"/>
      <c r="AA852" s="1596"/>
      <c r="AB852" s="1596"/>
      <c r="AC852" s="1596"/>
      <c r="AZ852" s="25"/>
      <c r="BA852" s="25"/>
      <c r="BB852" s="13"/>
      <c r="BC852" s="13"/>
    </row>
    <row r="853" spans="3:55" ht="12.95" customHeight="1">
      <c r="J853" s="37" t="s">
        <v>1515</v>
      </c>
      <c r="K853" s="5"/>
      <c r="L853" s="5"/>
      <c r="M853" s="5"/>
      <c r="N853" s="5"/>
      <c r="O853" s="5"/>
      <c r="P853" s="5"/>
      <c r="Q853" s="5"/>
      <c r="R853" s="5"/>
      <c r="S853" s="5"/>
      <c r="T853" s="5"/>
      <c r="U853" s="5"/>
      <c r="V853" s="38"/>
      <c r="W853" s="1596">
        <v>12000</v>
      </c>
      <c r="X853" s="1596"/>
      <c r="Y853" s="1596"/>
      <c r="Z853" s="1596"/>
      <c r="AA853" s="1596"/>
      <c r="AB853" s="1596"/>
      <c r="AC853" s="1596"/>
      <c r="AZ853" s="25"/>
      <c r="BA853" s="25"/>
      <c r="BB853" s="13"/>
      <c r="BC853" s="13"/>
    </row>
    <row r="854" spans="3:55" ht="12.95" customHeight="1">
      <c r="J854" s="1175" t="s">
        <v>1534</v>
      </c>
      <c r="K854" s="5"/>
      <c r="L854" s="5"/>
      <c r="M854" s="5"/>
      <c r="N854" s="5"/>
      <c r="O854" s="5"/>
      <c r="P854" s="5"/>
      <c r="Q854" s="5"/>
      <c r="R854" s="5"/>
      <c r="S854" s="5"/>
      <c r="T854" s="5"/>
      <c r="U854" s="5"/>
      <c r="V854" s="38"/>
      <c r="W854" s="1596">
        <v>17280</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1535</v>
      </c>
      <c r="W855" s="1648">
        <f>SUM(W851:W854)</f>
        <v>29280</v>
      </c>
      <c r="X855" s="1648"/>
      <c r="Y855" s="1648"/>
      <c r="Z855" s="1648"/>
      <c r="AA855" s="1648"/>
      <c r="AB855" s="1648"/>
      <c r="AC855" s="1648"/>
      <c r="AZ855" s="3"/>
      <c r="BA855" s="3"/>
      <c r="BB855" s="3"/>
      <c r="BC855" s="3"/>
    </row>
    <row r="856" spans="3:55" ht="12.95" customHeight="1">
      <c r="AZ856" s="3"/>
      <c r="BA856" s="3"/>
      <c r="BB856" s="3"/>
      <c r="BC856" s="3"/>
    </row>
    <row r="857" spans="3:55" ht="12.95" customHeight="1">
      <c r="C857" s="2" t="s">
        <v>1536</v>
      </c>
      <c r="J857" s="37" t="s">
        <v>1537</v>
      </c>
      <c r="K857" s="5"/>
      <c r="L857" s="5"/>
      <c r="M857" s="5"/>
      <c r="N857" s="5"/>
      <c r="O857" s="5"/>
      <c r="P857" s="5"/>
      <c r="Q857" s="5"/>
      <c r="R857" s="5"/>
      <c r="S857" s="5"/>
      <c r="T857" s="5"/>
      <c r="U857" s="5"/>
      <c r="V857" s="38"/>
      <c r="W857" s="1575">
        <v>40000</v>
      </c>
      <c r="X857" s="1576"/>
      <c r="Y857" s="1576"/>
      <c r="Z857" s="1576"/>
      <c r="AA857" s="1576"/>
      <c r="AB857" s="1576"/>
      <c r="AC857" s="1577"/>
      <c r="AD857" s="428"/>
      <c r="AZ857" s="3"/>
      <c r="BA857" s="3"/>
      <c r="BB857" s="3"/>
      <c r="BC857" s="3"/>
    </row>
    <row r="858" spans="3:55" ht="12.95" customHeight="1">
      <c r="C858" s="2" t="s">
        <v>1538</v>
      </c>
      <c r="J858" s="87" t="s">
        <v>1539</v>
      </c>
      <c r="K858" s="5"/>
      <c r="L858" s="5"/>
      <c r="M858" s="5"/>
      <c r="N858" s="5"/>
      <c r="O858" s="5"/>
      <c r="P858" s="5"/>
      <c r="Q858" s="5"/>
      <c r="R858" s="5"/>
      <c r="S858" s="5"/>
      <c r="T858" s="1652">
        <v>2</v>
      </c>
      <c r="U858" s="1639"/>
      <c r="V858" s="1653"/>
      <c r="W858" s="773"/>
      <c r="X858" s="774"/>
      <c r="Y858" s="774"/>
      <c r="Z858" s="774"/>
      <c r="AA858" s="774"/>
      <c r="AB858" s="774"/>
      <c r="AC858" s="775"/>
      <c r="AD858" s="428"/>
      <c r="AZ858" s="3"/>
      <c r="BA858" s="3"/>
      <c r="BB858" s="3"/>
      <c r="BC858" s="3"/>
    </row>
    <row r="859" spans="3:55" ht="12.95" customHeight="1">
      <c r="C859" s="2"/>
      <c r="J859" s="37" t="s">
        <v>1540</v>
      </c>
      <c r="K859" s="5"/>
      <c r="L859" s="5"/>
      <c r="M859" s="5"/>
      <c r="N859" s="5"/>
      <c r="O859" s="5"/>
      <c r="P859" s="5"/>
      <c r="Q859" s="5"/>
      <c r="R859" s="5"/>
      <c r="S859" s="5"/>
      <c r="T859" s="5"/>
      <c r="U859" s="5"/>
      <c r="V859" s="38"/>
      <c r="W859" s="1575">
        <v>30000</v>
      </c>
      <c r="X859" s="1576"/>
      <c r="Y859" s="1576"/>
      <c r="Z859" s="1576"/>
      <c r="AA859" s="1576"/>
      <c r="AB859" s="1576"/>
      <c r="AC859" s="1577"/>
      <c r="AD859" s="433"/>
      <c r="AZ859" s="3"/>
      <c r="BA859" s="3"/>
      <c r="BB859" s="3"/>
      <c r="BC859" s="3"/>
    </row>
    <row r="860" spans="3:55" ht="12.95" customHeight="1">
      <c r="C860" s="2"/>
      <c r="J860" s="87" t="s">
        <v>1541</v>
      </c>
      <c r="K860" s="5"/>
      <c r="L860" s="5"/>
      <c r="M860" s="5"/>
      <c r="N860" s="5"/>
      <c r="O860" s="5"/>
      <c r="P860" s="5"/>
      <c r="Q860" s="5"/>
      <c r="R860" s="5"/>
      <c r="S860" s="5"/>
      <c r="T860" s="1652">
        <v>1</v>
      </c>
      <c r="U860" s="1639"/>
      <c r="V860" s="1653"/>
      <c r="W860" s="773"/>
      <c r="X860" s="774"/>
      <c r="Y860" s="774"/>
      <c r="Z860" s="774"/>
      <c r="AA860" s="774"/>
      <c r="AB860" s="774"/>
      <c r="AC860" s="775"/>
      <c r="AD860" s="433"/>
      <c r="AZ860" s="3"/>
      <c r="BA860" s="3"/>
      <c r="BB860" s="3"/>
      <c r="BC860" s="3"/>
    </row>
    <row r="861" spans="3:55" ht="12.95" customHeight="1">
      <c r="J861" s="37" t="s">
        <v>233</v>
      </c>
      <c r="K861" s="5"/>
      <c r="L861" s="5"/>
      <c r="M861" s="1488" t="s">
        <v>1317</v>
      </c>
      <c r="N861" s="1489"/>
      <c r="O861" s="1489"/>
      <c r="P861" s="1489"/>
      <c r="Q861" s="1489"/>
      <c r="R861" s="1489"/>
      <c r="S861" s="1489"/>
      <c r="T861" s="1489"/>
      <c r="U861" s="1489"/>
      <c r="V861" s="1490"/>
      <c r="W861" s="1575"/>
      <c r="X861" s="1576"/>
      <c r="Y861" s="1576"/>
      <c r="Z861" s="1576"/>
      <c r="AA861" s="1576"/>
      <c r="AB861" s="1576"/>
      <c r="AC861" s="1577"/>
      <c r="AD861" s="428"/>
      <c r="AU861" s="13"/>
      <c r="AZ861" s="3"/>
      <c r="BA861" s="3"/>
      <c r="BB861" s="3"/>
      <c r="BC861" s="3"/>
    </row>
    <row r="862" spans="3:55" ht="12.95" customHeight="1">
      <c r="J862" s="37"/>
      <c r="K862" s="5"/>
      <c r="L862" s="5"/>
      <c r="M862" s="5"/>
      <c r="N862" s="5"/>
      <c r="O862" s="5"/>
      <c r="P862" s="5"/>
      <c r="Q862" s="5"/>
      <c r="R862" s="5"/>
      <c r="S862" s="5"/>
      <c r="T862" s="5"/>
      <c r="U862" s="5"/>
      <c r="V862" s="46" t="s">
        <v>1542</v>
      </c>
      <c r="W862" s="1654">
        <f>SUM(W857:W861)</f>
        <v>70000</v>
      </c>
      <c r="X862" s="1655"/>
      <c r="Y862" s="1655"/>
      <c r="Z862" s="1655"/>
      <c r="AA862" s="1655"/>
      <c r="AB862" s="1655"/>
      <c r="AC862" s="1656"/>
      <c r="AD862" s="433"/>
      <c r="AU862" s="13"/>
      <c r="AZ862" s="3"/>
      <c r="BA862" s="3"/>
      <c r="BB862" s="3"/>
      <c r="BC862" s="3"/>
    </row>
    <row r="863" spans="3:55" ht="12.95" customHeight="1">
      <c r="J863" s="37"/>
      <c r="K863" s="5"/>
      <c r="L863" s="5"/>
      <c r="M863" s="5"/>
      <c r="N863" s="5"/>
      <c r="O863" s="5"/>
      <c r="P863" s="5"/>
      <c r="Q863" s="5"/>
      <c r="R863" s="5"/>
      <c r="S863" s="5"/>
      <c r="T863" s="5"/>
      <c r="U863" s="5"/>
      <c r="V863" s="46" t="s">
        <v>1543</v>
      </c>
      <c r="W863" s="1575">
        <v>2000</v>
      </c>
      <c r="X863" s="1576"/>
      <c r="Y863" s="1576"/>
      <c r="Z863" s="1576"/>
      <c r="AA863" s="1576"/>
      <c r="AB863" s="1576"/>
      <c r="AC863" s="1577"/>
      <c r="AU863" s="13"/>
      <c r="AZ863" s="3"/>
      <c r="BA863" s="3"/>
      <c r="BB863" s="3"/>
      <c r="BC863" s="3"/>
    </row>
    <row r="864" spans="3:55" ht="12.95" customHeight="1">
      <c r="J864" s="412"/>
      <c r="AU864" s="13"/>
      <c r="AZ864" s="3"/>
      <c r="BA864" s="3"/>
      <c r="BB864" s="3"/>
      <c r="BC864" s="3"/>
    </row>
    <row r="865" spans="3:55" ht="12.95" customHeight="1">
      <c r="C865" s="2" t="s">
        <v>232</v>
      </c>
      <c r="J865" s="37" t="s">
        <v>1544</v>
      </c>
      <c r="K865" s="5"/>
      <c r="L865" s="5"/>
      <c r="M865" s="5"/>
      <c r="N865" s="5"/>
      <c r="O865" s="5"/>
      <c r="P865" s="5"/>
      <c r="Q865" s="5"/>
      <c r="R865" s="5"/>
      <c r="S865" s="5"/>
      <c r="T865" s="5"/>
      <c r="U865" s="5"/>
      <c r="V865" s="38"/>
      <c r="W865" s="1433">
        <v>2000</v>
      </c>
      <c r="X865" s="1433"/>
      <c r="Y865" s="1433"/>
      <c r="Z865" s="1433"/>
      <c r="AA865" s="1433"/>
      <c r="AB865" s="1433"/>
      <c r="AC865" s="1433"/>
      <c r="AU865" s="13"/>
      <c r="AZ865" s="3"/>
      <c r="BA865" s="3"/>
      <c r="BB865" s="3"/>
      <c r="BC865" s="3"/>
    </row>
    <row r="866" spans="3:55" ht="12.95" customHeight="1">
      <c r="J866" s="37" t="s">
        <v>1545</v>
      </c>
      <c r="K866" s="5"/>
      <c r="L866" s="5"/>
      <c r="M866" s="5"/>
      <c r="N866" s="5"/>
      <c r="O866" s="5"/>
      <c r="P866" s="5"/>
      <c r="Q866" s="5"/>
      <c r="R866" s="5"/>
      <c r="S866" s="5"/>
      <c r="T866" s="5"/>
      <c r="U866" s="5"/>
      <c r="V866" s="38"/>
      <c r="W866" s="1433">
        <v>7500</v>
      </c>
      <c r="X866" s="1433"/>
      <c r="Y866" s="1433"/>
      <c r="Z866" s="1433"/>
      <c r="AA866" s="1433"/>
      <c r="AB866" s="1433"/>
      <c r="AC866" s="1433"/>
      <c r="AU866" s="3"/>
      <c r="AZ866" s="3"/>
      <c r="BA866" s="3"/>
      <c r="BB866" s="3"/>
      <c r="BC866" s="3"/>
    </row>
    <row r="867" spans="3:55" ht="12.95" customHeight="1">
      <c r="J867" s="37" t="s">
        <v>1546</v>
      </c>
      <c r="K867" s="5"/>
      <c r="L867" s="5"/>
      <c r="M867" s="5"/>
      <c r="N867" s="5"/>
      <c r="O867" s="5"/>
      <c r="P867" s="5"/>
      <c r="Q867" s="5"/>
      <c r="R867" s="5"/>
      <c r="S867" s="5"/>
      <c r="T867" s="5"/>
      <c r="U867" s="5"/>
      <c r="V867" s="38"/>
      <c r="W867" s="1433">
        <v>10800</v>
      </c>
      <c r="X867" s="1433"/>
      <c r="Y867" s="1433"/>
      <c r="Z867" s="1433"/>
      <c r="AA867" s="1433"/>
      <c r="AB867" s="1433"/>
      <c r="AC867" s="1433"/>
      <c r="AU867" s="3"/>
      <c r="AZ867" s="3"/>
      <c r="BA867" s="3"/>
      <c r="BB867" s="3"/>
      <c r="BC867" s="3"/>
    </row>
    <row r="868" spans="3:55" ht="12.95" customHeight="1">
      <c r="J868" s="37" t="s">
        <v>1547</v>
      </c>
      <c r="K868" s="5"/>
      <c r="L868" s="5"/>
      <c r="M868" s="5"/>
      <c r="N868" s="5"/>
      <c r="O868" s="5"/>
      <c r="P868" s="5"/>
      <c r="Q868" s="5"/>
      <c r="R868" s="5"/>
      <c r="S868" s="5"/>
      <c r="T868" s="5"/>
      <c r="U868" s="5"/>
      <c r="V868" s="38"/>
      <c r="W868" s="1433">
        <v>2500</v>
      </c>
      <c r="X868" s="1433"/>
      <c r="Y868" s="1433"/>
      <c r="Z868" s="1433"/>
      <c r="AA868" s="1433"/>
      <c r="AB868" s="1433"/>
      <c r="AC868" s="1433"/>
      <c r="AU868" s="3"/>
      <c r="AZ868" s="3"/>
      <c r="BA868" s="3"/>
      <c r="BB868" s="3"/>
      <c r="BC868" s="3"/>
    </row>
    <row r="869" spans="3:55" ht="12.95" customHeight="1">
      <c r="J869" s="37" t="s">
        <v>1548</v>
      </c>
      <c r="K869" s="5"/>
      <c r="L869" s="5"/>
      <c r="M869" s="5"/>
      <c r="N869" s="5"/>
      <c r="O869" s="5"/>
      <c r="P869" s="5"/>
      <c r="Q869" s="5"/>
      <c r="R869" s="5"/>
      <c r="S869" s="5"/>
      <c r="T869" s="5"/>
      <c r="U869" s="5"/>
      <c r="V869" s="38"/>
      <c r="W869" s="1433">
        <v>6000</v>
      </c>
      <c r="X869" s="1433"/>
      <c r="Y869" s="1433"/>
      <c r="Z869" s="1433"/>
      <c r="AA869" s="1433"/>
      <c r="AB869" s="1433"/>
      <c r="AC869" s="1433"/>
      <c r="AU869" s="3"/>
      <c r="AZ869" s="3"/>
      <c r="BA869" s="3"/>
      <c r="BB869" s="3"/>
      <c r="BC869" s="3"/>
    </row>
    <row r="870" spans="3:55" ht="12.95" customHeight="1">
      <c r="J870" s="37" t="s">
        <v>1549</v>
      </c>
      <c r="K870" s="5"/>
      <c r="L870" s="5"/>
      <c r="M870" s="5"/>
      <c r="N870" s="5"/>
      <c r="O870" s="5"/>
      <c r="P870" s="5"/>
      <c r="Q870" s="5"/>
      <c r="R870" s="5"/>
      <c r="S870" s="5"/>
      <c r="T870" s="5"/>
      <c r="U870" s="5"/>
      <c r="V870" s="38"/>
      <c r="W870" s="1433"/>
      <c r="X870" s="1433"/>
      <c r="Y870" s="1433"/>
      <c r="Z870" s="1433"/>
      <c r="AA870" s="1433"/>
      <c r="AB870" s="1433"/>
      <c r="AC870" s="1433"/>
      <c r="AU870" s="3"/>
      <c r="AZ870" s="3"/>
      <c r="BA870" s="3"/>
      <c r="BB870" s="3"/>
      <c r="BC870" s="3"/>
    </row>
    <row r="871" spans="3:55" ht="12.95" customHeight="1">
      <c r="J871" s="37" t="s">
        <v>233</v>
      </c>
      <c r="K871" s="5"/>
      <c r="L871" s="5"/>
      <c r="M871" s="1488" t="s">
        <v>1550</v>
      </c>
      <c r="N871" s="1489"/>
      <c r="O871" s="1489"/>
      <c r="P871" s="1489"/>
      <c r="Q871" s="1489"/>
      <c r="R871" s="1489"/>
      <c r="S871" s="1489"/>
      <c r="T871" s="1489"/>
      <c r="U871" s="1489"/>
      <c r="V871" s="1490"/>
      <c r="W871" s="1433">
        <v>4000</v>
      </c>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1551</v>
      </c>
      <c r="W872" s="1646">
        <f>SUM(W865:W871)</f>
        <v>32800</v>
      </c>
      <c r="X872" s="1646"/>
      <c r="Y872" s="1646"/>
      <c r="Z872" s="1646"/>
      <c r="AA872" s="1646"/>
      <c r="AB872" s="1646"/>
      <c r="AC872" s="1646"/>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1552</v>
      </c>
      <c r="J874" s="37" t="s">
        <v>233</v>
      </c>
      <c r="K874" s="5"/>
      <c r="L874" s="5"/>
      <c r="M874" s="1488" t="s">
        <v>1553</v>
      </c>
      <c r="N874" s="1489"/>
      <c r="O874" s="1489"/>
      <c r="P874" s="1489"/>
      <c r="Q874" s="1489"/>
      <c r="R874" s="1489"/>
      <c r="S874" s="1489"/>
      <c r="T874" s="1489"/>
      <c r="U874" s="1489"/>
      <c r="V874" s="1490"/>
      <c r="W874" s="1424">
        <v>32000</v>
      </c>
      <c r="X874" s="1425"/>
      <c r="Y874" s="1425"/>
      <c r="Z874" s="1425"/>
      <c r="AA874" s="1425"/>
      <c r="AB874" s="1425"/>
      <c r="AC874" s="1426"/>
      <c r="AD874" s="433"/>
      <c r="AV874" s="13"/>
      <c r="AW874" s="13"/>
      <c r="AX874" s="13"/>
      <c r="AY874" s="13"/>
      <c r="AZ874" s="3"/>
      <c r="BA874" s="3"/>
      <c r="BB874" s="3"/>
      <c r="BC874" s="3"/>
    </row>
    <row r="875" spans="3:55" ht="12.95" customHeight="1">
      <c r="C875" s="2" t="s">
        <v>1554</v>
      </c>
      <c r="J875" s="37" t="s">
        <v>233</v>
      </c>
      <c r="K875" s="5"/>
      <c r="L875" s="5"/>
      <c r="M875" s="1488" t="s">
        <v>1555</v>
      </c>
      <c r="N875" s="1489"/>
      <c r="O875" s="1489"/>
      <c r="P875" s="1489"/>
      <c r="Q875" s="1489"/>
      <c r="R875" s="1489"/>
      <c r="S875" s="1489"/>
      <c r="T875" s="1489"/>
      <c r="U875" s="1489"/>
      <c r="V875" s="1490"/>
      <c r="W875" s="1424">
        <v>1600</v>
      </c>
      <c r="X875" s="1425"/>
      <c r="Y875" s="1425"/>
      <c r="Z875" s="1425"/>
      <c r="AA875" s="1425"/>
      <c r="AB875" s="1425"/>
      <c r="AC875" s="1426"/>
      <c r="AD875" s="433"/>
      <c r="AV875" s="13"/>
      <c r="AW875" s="13"/>
      <c r="AX875" s="13"/>
      <c r="AY875" s="13"/>
      <c r="AZ875" s="3"/>
      <c r="BA875" s="3"/>
      <c r="BB875" s="3"/>
      <c r="BC875" s="3"/>
    </row>
    <row r="876" spans="3:55" ht="12.95" customHeight="1">
      <c r="J876" s="37" t="s">
        <v>233</v>
      </c>
      <c r="K876" s="5"/>
      <c r="L876" s="5"/>
      <c r="M876" s="1488" t="s">
        <v>1556</v>
      </c>
      <c r="N876" s="1489"/>
      <c r="O876" s="1489"/>
      <c r="P876" s="1489"/>
      <c r="Q876" s="1489"/>
      <c r="R876" s="1489"/>
      <c r="S876" s="1489"/>
      <c r="T876" s="1489"/>
      <c r="U876" s="1489"/>
      <c r="V876" s="1490"/>
      <c r="W876" s="1424">
        <v>800</v>
      </c>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1557</v>
      </c>
      <c r="N877" s="1489"/>
      <c r="O877" s="1489"/>
      <c r="P877" s="1489"/>
      <c r="Q877" s="1489"/>
      <c r="R877" s="1489"/>
      <c r="S877" s="1489"/>
      <c r="T877" s="1489"/>
      <c r="U877" s="1489"/>
      <c r="V877" s="1490"/>
      <c r="W877" s="1424">
        <v>8640</v>
      </c>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1317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1558</v>
      </c>
      <c r="W879" s="1561">
        <f>SUM(W874:W878)</f>
        <v>43040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1559</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1560</v>
      </c>
      <c r="AC883" s="1562">
        <f>W847+W855+W862+W863+W872+W879+W849</f>
        <v>217200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1561</v>
      </c>
      <c r="AC884" s="1657">
        <f>O797+O777+G753</f>
        <v>36</v>
      </c>
      <c r="AD884" s="1657"/>
      <c r="AE884" s="1657"/>
      <c r="AF884" s="1657"/>
      <c r="AG884" s="1657"/>
      <c r="AH884" s="1658"/>
      <c r="AL884" s="3"/>
      <c r="AM884" s="3"/>
      <c r="AN884" s="3"/>
      <c r="AO884" s="3"/>
      <c r="AP884" s="3"/>
      <c r="AQ884" s="3"/>
      <c r="AR884" s="3"/>
      <c r="AS884" s="3"/>
      <c r="AT884" s="3"/>
      <c r="AZ884" s="3"/>
      <c r="BA884" s="3"/>
      <c r="BB884" s="3"/>
      <c r="BC884" s="3"/>
    </row>
    <row r="885" spans="3:55" ht="12.95" customHeight="1">
      <c r="C885" s="33"/>
      <c r="D885" s="34"/>
      <c r="E885" s="1591" t="s">
        <v>1562</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6033</v>
      </c>
      <c r="AD885" s="1646"/>
      <c r="AE885" s="1646"/>
      <c r="AF885" s="1646"/>
      <c r="AG885" s="1646"/>
      <c r="AH885" s="1646"/>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1563</v>
      </c>
      <c r="AC886" s="1659">
        <v>100000</v>
      </c>
      <c r="AD886" s="1660"/>
      <c r="AE886" s="1660"/>
      <c r="AF886" s="1660"/>
      <c r="AG886" s="1660"/>
      <c r="AH886" s="166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1564</v>
      </c>
      <c r="AC887" s="1426"/>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1565</v>
      </c>
      <c r="AC888" s="1425">
        <v>5000</v>
      </c>
      <c r="AD888" s="1425"/>
      <c r="AE888" s="1425"/>
      <c r="AF888" s="1425"/>
      <c r="AG888" s="1425"/>
      <c r="AH888" s="142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1566</v>
      </c>
      <c r="AC889" s="1425">
        <v>18000</v>
      </c>
      <c r="AD889" s="1425"/>
      <c r="AE889" s="1425"/>
      <c r="AF889" s="1425"/>
      <c r="AG889" s="1425"/>
      <c r="AH889" s="142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1567</v>
      </c>
      <c r="AC890" s="1427"/>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1568</v>
      </c>
      <c r="AC891" s="1425">
        <v>1500</v>
      </c>
      <c r="AD891" s="1425"/>
      <c r="AE891" s="1425"/>
      <c r="AF891" s="1425"/>
      <c r="AG891" s="1425"/>
      <c r="AH891" s="1426"/>
      <c r="AZ891" s="3"/>
      <c r="BA891" s="3"/>
      <c r="BB891" s="3"/>
      <c r="BC891" s="3"/>
    </row>
    <row r="892" spans="3:55" ht="12.95" hidden="1" customHeight="1">
      <c r="C892" s="1407" t="s">
        <v>1569</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1570</v>
      </c>
      <c r="AC893" s="1425"/>
      <c r="AD893" s="1425"/>
      <c r="AE893" s="1425"/>
      <c r="AF893" s="1425"/>
      <c r="AG893" s="1425"/>
      <c r="AH893" s="1426"/>
      <c r="AZ893" s="3"/>
      <c r="BA893" s="3"/>
      <c r="BB893" s="3"/>
      <c r="BC893" s="3"/>
    </row>
    <row r="894" spans="3:55" ht="12.95" customHeight="1">
      <c r="C894" s="1578" t="s">
        <v>1571</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2.95" customHeight="1">
      <c r="C895" s="1578" t="s">
        <v>1571</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1270</v>
      </c>
      <c r="C897" s="2" t="s">
        <v>1572</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1573</v>
      </c>
      <c r="I899" s="5"/>
      <c r="J899" s="5"/>
      <c r="K899" s="5"/>
      <c r="L899" s="5"/>
      <c r="M899" s="5"/>
      <c r="N899" s="5"/>
      <c r="O899" s="5"/>
      <c r="P899" s="5"/>
      <c r="Q899" s="5"/>
      <c r="R899" s="5"/>
      <c r="S899" s="5"/>
      <c r="T899" s="5"/>
      <c r="U899" s="5"/>
      <c r="V899" s="5"/>
      <c r="W899" s="5"/>
      <c r="X899" s="5"/>
      <c r="Y899" s="38"/>
      <c r="Z899" s="1424">
        <v>0</v>
      </c>
      <c r="AA899" s="1425"/>
      <c r="AB899" s="1425"/>
      <c r="AC899" s="1425"/>
      <c r="AD899" s="1425"/>
      <c r="AE899" s="1426"/>
      <c r="AF899" s="433"/>
      <c r="AZ899" s="3"/>
      <c r="BB899" s="25"/>
      <c r="BC899" s="716"/>
      <c r="BD899" s="1574"/>
      <c r="BE899" s="1574"/>
      <c r="BF899" s="13"/>
    </row>
    <row r="900" spans="1:58" ht="12.95" customHeight="1">
      <c r="H900" s="87" t="s">
        <v>1574</v>
      </c>
      <c r="I900" s="5"/>
      <c r="J900" s="5"/>
      <c r="K900" s="5"/>
      <c r="L900" s="5"/>
      <c r="M900" s="5"/>
      <c r="N900" s="5"/>
      <c r="O900" s="5"/>
      <c r="P900" s="5"/>
      <c r="Q900" s="5"/>
      <c r="R900" s="5"/>
      <c r="S900" s="5"/>
      <c r="T900" s="5"/>
      <c r="U900" s="5"/>
      <c r="V900" s="5"/>
      <c r="W900" s="5"/>
      <c r="X900" s="5"/>
      <c r="Y900" s="5"/>
      <c r="Z900" s="1424">
        <v>0</v>
      </c>
      <c r="AA900" s="1425"/>
      <c r="AB900" s="1425"/>
      <c r="AC900" s="1425"/>
      <c r="AD900" s="1425"/>
      <c r="AE900" s="1426"/>
      <c r="AZ900" s="3"/>
      <c r="BB900" s="25"/>
      <c r="BC900" s="716"/>
      <c r="BD900" s="1574"/>
      <c r="BE900" s="1574"/>
      <c r="BF900" s="13"/>
    </row>
    <row r="901" spans="1:58" ht="12.95" customHeight="1">
      <c r="H901" s="87" t="s">
        <v>1575</v>
      </c>
      <c r="I901" s="5"/>
      <c r="J901" s="5"/>
      <c r="K901" s="5"/>
      <c r="L901" s="5"/>
      <c r="M901" s="5"/>
      <c r="N901" s="5"/>
      <c r="O901" s="5"/>
      <c r="P901" s="5"/>
      <c r="Q901" s="5"/>
      <c r="R901" s="5"/>
      <c r="S901" s="5"/>
      <c r="T901" s="5"/>
      <c r="U901" s="5"/>
      <c r="V901" s="5"/>
      <c r="W901" s="5"/>
      <c r="X901" s="5"/>
      <c r="Y901" s="5"/>
      <c r="Z901" s="1424">
        <v>0</v>
      </c>
      <c r="AA901" s="1425"/>
      <c r="AB901" s="1425"/>
      <c r="AC901" s="1425"/>
      <c r="AD901" s="1425"/>
      <c r="AE901" s="1426"/>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1576</v>
      </c>
      <c r="Z902" s="1561">
        <f>Z899-(Z900+Z901)</f>
        <v>0</v>
      </c>
      <c r="AA902" s="1562"/>
      <c r="AB902" s="1562"/>
      <c r="AC902" s="1562"/>
      <c r="AD902" s="1562"/>
      <c r="AE902" s="156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1577</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2.95" customHeight="1">
      <c r="C905" s="126" t="s">
        <v>1578</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2.95" customHeight="1">
      <c r="C906" s="126" t="s">
        <v>1579</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1580</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2.95" customHeight="1">
      <c r="AZ909" s="3"/>
      <c r="BB909" s="25"/>
      <c r="BC909" s="716"/>
    </row>
    <row r="910" spans="1:58" ht="12.95" customHeight="1">
      <c r="A910" s="1381" t="s">
        <v>1581</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871</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3" t="s">
        <v>1582</v>
      </c>
      <c r="G915" s="1594"/>
      <c r="H915" s="1594"/>
      <c r="I915" s="1594"/>
      <c r="J915" s="1594"/>
      <c r="K915" s="1594"/>
      <c r="L915" s="1594"/>
      <c r="M915" s="1594"/>
      <c r="N915" s="1594"/>
      <c r="O915" s="1594"/>
      <c r="P915" s="1594"/>
      <c r="Q915" s="1594"/>
      <c r="R915" s="1594"/>
      <c r="S915" s="1594"/>
      <c r="T915" s="1595"/>
      <c r="U915" s="1533" t="s">
        <v>1583</v>
      </c>
      <c r="V915" s="1534"/>
      <c r="W915" s="1534"/>
      <c r="X915" s="1534"/>
      <c r="Y915" s="1534"/>
      <c r="Z915" s="1534"/>
      <c r="AA915" s="35"/>
      <c r="AB915" s="216"/>
      <c r="AC915" s="216"/>
      <c r="AD915" s="216"/>
      <c r="AE915" s="216"/>
      <c r="AF915" s="1176"/>
      <c r="AZ915" s="3"/>
      <c r="BA915" s="3"/>
      <c r="BB915" s="3"/>
      <c r="BC915" s="3"/>
    </row>
    <row r="916" spans="1:58" ht="12.95" customHeight="1">
      <c r="B916" s="2"/>
      <c r="F916" s="1535" t="s">
        <v>1584</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1585</v>
      </c>
      <c r="AC917" s="1582"/>
      <c r="AD917" s="1582"/>
      <c r="AE917" s="1582"/>
      <c r="AF917" s="1178"/>
      <c r="AZ917" s="3"/>
      <c r="BA917" s="3"/>
      <c r="BB917" s="3"/>
      <c r="BC917" s="3"/>
    </row>
    <row r="918" spans="1:58" ht="12.95" customHeight="1">
      <c r="B918" s="2"/>
      <c r="F918" s="37" t="s">
        <v>1586</v>
      </c>
      <c r="G918" s="40"/>
      <c r="H918" s="40"/>
      <c r="I918" s="40"/>
      <c r="J918" s="40"/>
      <c r="K918" s="40"/>
      <c r="L918" s="40"/>
      <c r="M918" s="40"/>
      <c r="N918" s="40"/>
      <c r="O918" s="40"/>
      <c r="P918" s="40"/>
      <c r="Q918" s="40"/>
      <c r="R918" s="40"/>
      <c r="S918" s="40"/>
      <c r="T918" s="41"/>
      <c r="U918" s="1363" t="s">
        <v>846</v>
      </c>
      <c r="V918" s="1364"/>
      <c r="W918" s="1364"/>
      <c r="X918" s="1364"/>
      <c r="Y918" s="1364"/>
      <c r="Z918" s="1365"/>
      <c r="AA918" s="1369">
        <v>5400000</v>
      </c>
      <c r="AB918" s="1370"/>
      <c r="AC918" s="1370"/>
      <c r="AD918" s="1370"/>
      <c r="AE918" s="1370"/>
      <c r="AF918" s="1371"/>
      <c r="AZ918" s="3"/>
      <c r="BA918" s="3"/>
      <c r="BB918" s="3"/>
      <c r="BC918" s="3"/>
    </row>
    <row r="919" spans="1:58" ht="12.95" customHeight="1">
      <c r="B919" s="2"/>
      <c r="F919" s="87" t="s">
        <v>1587</v>
      </c>
      <c r="G919" s="40"/>
      <c r="H919" s="40"/>
      <c r="I919" s="40"/>
      <c r="J919" s="40"/>
      <c r="K919" s="40"/>
      <c r="L919" s="40"/>
      <c r="M919" s="40"/>
      <c r="N919" s="40"/>
      <c r="O919" s="40"/>
      <c r="P919" s="40"/>
      <c r="Q919" s="40"/>
      <c r="R919" s="40"/>
      <c r="S919" s="40"/>
      <c r="T919" s="41"/>
      <c r="U919" s="1363" t="s">
        <v>811</v>
      </c>
      <c r="V919" s="1364"/>
      <c r="W919" s="1364"/>
      <c r="X919" s="1364"/>
      <c r="Y919" s="1364"/>
      <c r="Z919" s="1365"/>
      <c r="AA919" s="1369"/>
      <c r="AB919" s="1370"/>
      <c r="AC919" s="1370"/>
      <c r="AD919" s="1370"/>
      <c r="AE919" s="1370"/>
      <c r="AF919" s="1371"/>
      <c r="AZ919" s="3"/>
      <c r="BA919" s="3"/>
      <c r="BB919" s="3"/>
      <c r="BC919" s="3"/>
    </row>
    <row r="920" spans="1:58" ht="12.95" customHeight="1">
      <c r="F920" s="37" t="s">
        <v>1588</v>
      </c>
      <c r="G920" s="5"/>
      <c r="H920" s="5"/>
      <c r="I920" s="5"/>
      <c r="J920" s="5"/>
      <c r="K920" s="5"/>
      <c r="L920" s="5"/>
      <c r="M920" s="5"/>
      <c r="N920" s="5"/>
      <c r="O920" s="5"/>
      <c r="P920" s="5"/>
      <c r="Q920" s="5"/>
      <c r="R920" s="5"/>
      <c r="S920" s="5"/>
      <c r="T920" s="38"/>
      <c r="U920" s="1363" t="s">
        <v>811</v>
      </c>
      <c r="V920" s="1364"/>
      <c r="W920" s="1364"/>
      <c r="X920" s="1364"/>
      <c r="Y920" s="1364"/>
      <c r="Z920" s="1365"/>
      <c r="AA920" s="1369"/>
      <c r="AB920" s="1370"/>
      <c r="AC920" s="1370"/>
      <c r="AD920" s="1370"/>
      <c r="AE920" s="1370"/>
      <c r="AF920" s="1371"/>
      <c r="AZ920" s="3"/>
      <c r="BA920" s="3"/>
      <c r="BB920" s="3"/>
      <c r="BC920" s="3"/>
    </row>
    <row r="921" spans="1:58" ht="12.95" customHeight="1">
      <c r="F921" s="37" t="s">
        <v>1589</v>
      </c>
      <c r="G921" s="5"/>
      <c r="H921" s="5"/>
      <c r="I921" s="5"/>
      <c r="J921" s="5"/>
      <c r="K921" s="5"/>
      <c r="L921" s="5"/>
      <c r="M921" s="5"/>
      <c r="N921" s="5"/>
      <c r="O921" s="5"/>
      <c r="P921" s="5"/>
      <c r="Q921" s="5"/>
      <c r="R921" s="5"/>
      <c r="S921" s="5"/>
      <c r="T921" s="38"/>
      <c r="U921" s="1363" t="s">
        <v>811</v>
      </c>
      <c r="V921" s="1364"/>
      <c r="W921" s="1364"/>
      <c r="X921" s="1364"/>
      <c r="Y921" s="1364"/>
      <c r="Z921" s="1365"/>
      <c r="AA921" s="1369"/>
      <c r="AB921" s="1370"/>
      <c r="AC921" s="1370"/>
      <c r="AD921" s="1370"/>
      <c r="AE921" s="1370"/>
      <c r="AF921" s="1371"/>
      <c r="AZ921" s="3"/>
      <c r="BA921" s="3"/>
      <c r="BB921" s="3"/>
      <c r="BC921" s="3"/>
    </row>
    <row r="922" spans="1:58" ht="12.95" customHeight="1">
      <c r="F922" s="87" t="s">
        <v>1590</v>
      </c>
      <c r="G922" s="5"/>
      <c r="H922" s="5"/>
      <c r="I922" s="5"/>
      <c r="J922" s="5"/>
      <c r="K922" s="5"/>
      <c r="L922" s="5"/>
      <c r="M922" s="5"/>
      <c r="N922" s="5"/>
      <c r="O922" s="5"/>
      <c r="P922" s="5"/>
      <c r="Q922" s="5"/>
      <c r="R922" s="5"/>
      <c r="S922" s="5"/>
      <c r="T922" s="38"/>
      <c r="U922" s="1363" t="s">
        <v>811</v>
      </c>
      <c r="V922" s="1364"/>
      <c r="W922" s="1364"/>
      <c r="X922" s="1364"/>
      <c r="Y922" s="1364"/>
      <c r="Z922" s="1365"/>
      <c r="AA922" s="1369"/>
      <c r="AB922" s="1370"/>
      <c r="AC922" s="1370"/>
      <c r="AD922" s="1370"/>
      <c r="AE922" s="1370"/>
      <c r="AF922" s="1371"/>
      <c r="AZ922" s="3"/>
      <c r="BA922" s="3"/>
      <c r="BB922" s="3"/>
      <c r="BC922" s="3"/>
    </row>
    <row r="923" spans="1:58" ht="12.95" customHeight="1">
      <c r="F923" s="87" t="s">
        <v>1591</v>
      </c>
      <c r="G923" s="5"/>
      <c r="H923" s="5"/>
      <c r="I923" s="5"/>
      <c r="J923" s="5"/>
      <c r="K923" s="5"/>
      <c r="L923" s="5"/>
      <c r="M923" s="5"/>
      <c r="N923" s="5"/>
      <c r="O923" s="5"/>
      <c r="P923" s="5"/>
      <c r="Q923" s="5"/>
      <c r="R923" s="5"/>
      <c r="S923" s="5"/>
      <c r="T923" s="38"/>
      <c r="U923" s="1363" t="s">
        <v>811</v>
      </c>
      <c r="V923" s="1364"/>
      <c r="W923" s="1364"/>
      <c r="X923" s="1364"/>
      <c r="Y923" s="1364"/>
      <c r="Z923" s="1365"/>
      <c r="AA923" s="1369"/>
      <c r="AB923" s="1370"/>
      <c r="AC923" s="1370"/>
      <c r="AD923" s="1370"/>
      <c r="AE923" s="1370"/>
      <c r="AF923" s="1371"/>
      <c r="AZ923" s="3"/>
      <c r="BA923" s="3"/>
      <c r="BB923" s="3"/>
      <c r="BC923" s="3"/>
    </row>
    <row r="924" spans="1:58" ht="12.95" customHeight="1">
      <c r="F924" s="87" t="s">
        <v>1592</v>
      </c>
      <c r="G924" s="5"/>
      <c r="H924" s="5"/>
      <c r="I924" s="5"/>
      <c r="J924" s="5"/>
      <c r="K924" s="5"/>
      <c r="L924" s="5"/>
      <c r="M924" s="5"/>
      <c r="N924" s="5"/>
      <c r="O924" s="5"/>
      <c r="P924" s="5"/>
      <c r="Q924" s="5"/>
      <c r="R924" s="5"/>
      <c r="S924" s="5"/>
      <c r="T924" s="38"/>
      <c r="U924" s="1363" t="s">
        <v>811</v>
      </c>
      <c r="V924" s="1364"/>
      <c r="W924" s="1364"/>
      <c r="X924" s="1364"/>
      <c r="Y924" s="1364"/>
      <c r="Z924" s="1365"/>
      <c r="AA924" s="1369"/>
      <c r="AB924" s="1370"/>
      <c r="AC924" s="1370"/>
      <c r="AD924" s="1370"/>
      <c r="AE924" s="1370"/>
      <c r="AF924" s="1371"/>
      <c r="AZ924" s="3"/>
      <c r="BA924" s="3"/>
      <c r="BB924" s="3"/>
      <c r="BC924" s="3"/>
    </row>
    <row r="925" spans="1:58" ht="12.95" customHeight="1">
      <c r="F925" s="37" t="s">
        <v>1593</v>
      </c>
      <c r="G925" s="5"/>
      <c r="H925" s="5"/>
      <c r="I925" s="5"/>
      <c r="J925" s="5"/>
      <c r="K925" s="5"/>
      <c r="L925" s="5"/>
      <c r="M925" s="5"/>
      <c r="N925" s="5"/>
      <c r="O925" s="5"/>
      <c r="P925" s="5"/>
      <c r="Q925" s="5"/>
      <c r="R925" s="5"/>
      <c r="S925" s="5"/>
      <c r="T925" s="38"/>
      <c r="U925" s="1363" t="s">
        <v>811</v>
      </c>
      <c r="V925" s="1364"/>
      <c r="W925" s="1364"/>
      <c r="X925" s="1364"/>
      <c r="Y925" s="1364"/>
      <c r="Z925" s="1365"/>
      <c r="AA925" s="1369"/>
      <c r="AB925" s="1370"/>
      <c r="AC925" s="1370"/>
      <c r="AD925" s="1370"/>
      <c r="AE925" s="1370"/>
      <c r="AF925" s="1371"/>
      <c r="AZ925" s="3"/>
      <c r="BA925" s="3"/>
      <c r="BB925" s="3"/>
      <c r="BC925" s="3"/>
    </row>
    <row r="926" spans="1:58" ht="12.95" customHeight="1">
      <c r="F926" s="1547" t="s">
        <v>1594</v>
      </c>
      <c r="G926" s="1548"/>
      <c r="H926" s="1548"/>
      <c r="I926" s="1548"/>
      <c r="J926" s="1548"/>
      <c r="K926" s="1548"/>
      <c r="L926" s="1548"/>
      <c r="M926" s="1548"/>
      <c r="N926" s="1548"/>
      <c r="O926" s="1548"/>
      <c r="P926" s="1548"/>
      <c r="Q926" s="1548"/>
      <c r="R926" s="1548"/>
      <c r="S926" s="1548"/>
      <c r="T926" s="1549"/>
      <c r="U926" s="1363" t="s">
        <v>811</v>
      </c>
      <c r="V926" s="1364"/>
      <c r="W926" s="1364"/>
      <c r="X926" s="1364"/>
      <c r="Y926" s="1364"/>
      <c r="Z926" s="1365"/>
      <c r="AA926" s="1369"/>
      <c r="AB926" s="1370"/>
      <c r="AC926" s="1370"/>
      <c r="AD926" s="1370"/>
      <c r="AE926" s="1370"/>
      <c r="AF926" s="1371"/>
      <c r="AZ926" s="3"/>
      <c r="BA926" s="3"/>
      <c r="BB926" s="3"/>
      <c r="BC926" s="3"/>
    </row>
    <row r="927" spans="1:58" ht="12.95" customHeight="1">
      <c r="F927" s="1547" t="s">
        <v>1595</v>
      </c>
      <c r="G927" s="1548"/>
      <c r="H927" s="1548"/>
      <c r="I927" s="1548"/>
      <c r="J927" s="1548"/>
      <c r="K927" s="1548"/>
      <c r="L927" s="1548"/>
      <c r="M927" s="1548"/>
      <c r="N927" s="1548"/>
      <c r="O927" s="1548"/>
      <c r="P927" s="1548"/>
      <c r="Q927" s="1548"/>
      <c r="R927" s="1548"/>
      <c r="S927" s="1548"/>
      <c r="T927" s="1549"/>
      <c r="U927" s="1363" t="s">
        <v>811</v>
      </c>
      <c r="V927" s="1364"/>
      <c r="W927" s="1364"/>
      <c r="X927" s="1364"/>
      <c r="Y927" s="1364"/>
      <c r="Z927" s="1365"/>
      <c r="AA927" s="1369"/>
      <c r="AB927" s="1370"/>
      <c r="AC927" s="1370"/>
      <c r="AD927" s="1370"/>
      <c r="AE927" s="1370"/>
      <c r="AF927" s="1371"/>
      <c r="AU927" s="2"/>
      <c r="AZ927" s="3"/>
      <c r="BA927" s="3"/>
      <c r="BB927" s="3"/>
      <c r="BC927" s="3"/>
    </row>
    <row r="928" spans="1:58" ht="12.95" customHeight="1">
      <c r="F928" s="1547" t="s">
        <v>1596</v>
      </c>
      <c r="G928" s="1548"/>
      <c r="H928" s="1548"/>
      <c r="I928" s="1548"/>
      <c r="J928" s="1548"/>
      <c r="K928" s="1548"/>
      <c r="L928" s="1548"/>
      <c r="M928" s="1548"/>
      <c r="N928" s="1548"/>
      <c r="O928" s="1548"/>
      <c r="P928" s="1548"/>
      <c r="Q928" s="1548"/>
      <c r="R928" s="1548"/>
      <c r="S928" s="1548"/>
      <c r="T928" s="1549"/>
      <c r="U928" s="1363" t="s">
        <v>811</v>
      </c>
      <c r="V928" s="1364"/>
      <c r="W928" s="1364"/>
      <c r="X928" s="1364"/>
      <c r="Y928" s="1364"/>
      <c r="Z928" s="1365"/>
      <c r="AA928" s="1369"/>
      <c r="AB928" s="1370"/>
      <c r="AC928" s="1370"/>
      <c r="AD928" s="1370"/>
      <c r="AE928" s="1370"/>
      <c r="AF928" s="1371"/>
      <c r="AU928" s="2"/>
      <c r="AZ928" s="3"/>
      <c r="BA928" s="3"/>
      <c r="BB928" s="3"/>
      <c r="BC928" s="3"/>
    </row>
    <row r="929" spans="6:55" ht="12.95" customHeight="1">
      <c r="F929" s="1547" t="s">
        <v>1597</v>
      </c>
      <c r="G929" s="1548"/>
      <c r="H929" s="1548"/>
      <c r="I929" s="1548"/>
      <c r="J929" s="1548"/>
      <c r="K929" s="1548"/>
      <c r="L929" s="1548"/>
      <c r="M929" s="1548"/>
      <c r="N929" s="1548"/>
      <c r="O929" s="1548"/>
      <c r="P929" s="1548"/>
      <c r="Q929" s="1548"/>
      <c r="R929" s="1548"/>
      <c r="S929" s="1548"/>
      <c r="T929" s="1549"/>
      <c r="U929" s="1363" t="s">
        <v>811</v>
      </c>
      <c r="V929" s="1364"/>
      <c r="W929" s="1364"/>
      <c r="X929" s="1364"/>
      <c r="Y929" s="1364"/>
      <c r="Z929" s="1365"/>
      <c r="AA929" s="1369"/>
      <c r="AB929" s="1370"/>
      <c r="AC929" s="1370"/>
      <c r="AD929" s="1370"/>
      <c r="AE929" s="1370"/>
      <c r="AF929" s="1371"/>
      <c r="AU929" s="2"/>
      <c r="AZ929" s="3"/>
      <c r="BA929" s="3"/>
      <c r="BB929" s="3"/>
      <c r="BC929" s="3"/>
    </row>
    <row r="930" spans="6:55" ht="12.95" customHeight="1">
      <c r="F930" s="1547" t="s">
        <v>1598</v>
      </c>
      <c r="G930" s="1548"/>
      <c r="H930" s="1548"/>
      <c r="I930" s="1548"/>
      <c r="J930" s="1548"/>
      <c r="K930" s="1548"/>
      <c r="L930" s="1548"/>
      <c r="M930" s="1548"/>
      <c r="N930" s="1548"/>
      <c r="O930" s="1548"/>
      <c r="P930" s="1548"/>
      <c r="Q930" s="1548"/>
      <c r="R930" s="1548"/>
      <c r="S930" s="1548"/>
      <c r="T930" s="1549"/>
      <c r="U930" s="1363" t="s">
        <v>811</v>
      </c>
      <c r="V930" s="1364"/>
      <c r="W930" s="1364"/>
      <c r="X930" s="1364"/>
      <c r="Y930" s="1364"/>
      <c r="Z930" s="1365"/>
      <c r="AA930" s="1369"/>
      <c r="AB930" s="1370"/>
      <c r="AC930" s="1370"/>
      <c r="AD930" s="1370"/>
      <c r="AE930" s="1370"/>
      <c r="AF930" s="1371"/>
      <c r="AU930" s="2"/>
      <c r="AZ930" s="3"/>
      <c r="BA930" s="3"/>
      <c r="BB930" s="3"/>
      <c r="BC930" s="3"/>
    </row>
    <row r="931" spans="6:55" ht="12.95" customHeight="1">
      <c r="F931" s="1547" t="s">
        <v>1599</v>
      </c>
      <c r="G931" s="1548"/>
      <c r="H931" s="1548"/>
      <c r="I931" s="1548"/>
      <c r="J931" s="1548"/>
      <c r="K931" s="1548"/>
      <c r="L931" s="1548"/>
      <c r="M931" s="1548"/>
      <c r="N931" s="1548"/>
      <c r="O931" s="1548"/>
      <c r="P931" s="1548"/>
      <c r="Q931" s="1548"/>
      <c r="R931" s="1548"/>
      <c r="S931" s="1548"/>
      <c r="T931" s="1549"/>
      <c r="U931" s="1363" t="s">
        <v>811</v>
      </c>
      <c r="V931" s="1364"/>
      <c r="W931" s="1364"/>
      <c r="X931" s="1364"/>
      <c r="Y931" s="1364"/>
      <c r="Z931" s="1365"/>
      <c r="AA931" s="1369"/>
      <c r="AB931" s="1370"/>
      <c r="AC931" s="1370"/>
      <c r="AD931" s="1370"/>
      <c r="AE931" s="1370"/>
      <c r="AF931" s="1371"/>
      <c r="AU931" s="2"/>
      <c r="AZ931" s="3"/>
      <c r="BA931" s="3"/>
      <c r="BB931" s="3"/>
      <c r="BC931" s="3"/>
    </row>
    <row r="932" spans="6:55" ht="12.95" customHeight="1">
      <c r="F932" s="1547" t="s">
        <v>1600</v>
      </c>
      <c r="G932" s="1548"/>
      <c r="H932" s="1548"/>
      <c r="I932" s="1548"/>
      <c r="J932" s="1548"/>
      <c r="K932" s="1548"/>
      <c r="L932" s="1548"/>
      <c r="M932" s="1548"/>
      <c r="N932" s="1548"/>
      <c r="O932" s="1548"/>
      <c r="P932" s="1548"/>
      <c r="Q932" s="1548"/>
      <c r="R932" s="1548"/>
      <c r="S932" s="1548"/>
      <c r="T932" s="1549"/>
      <c r="U932" s="1363" t="s">
        <v>811</v>
      </c>
      <c r="V932" s="1364"/>
      <c r="W932" s="1364"/>
      <c r="X932" s="1364"/>
      <c r="Y932" s="1364"/>
      <c r="Z932" s="1365"/>
      <c r="AA932" s="1369"/>
      <c r="AB932" s="1370"/>
      <c r="AC932" s="1370"/>
      <c r="AD932" s="1370"/>
      <c r="AE932" s="1370"/>
      <c r="AF932" s="1371"/>
      <c r="AZ932" s="25"/>
      <c r="BA932" s="25"/>
    </row>
    <row r="933" spans="6:55" ht="12.95" customHeight="1">
      <c r="F933" s="123" t="s">
        <v>1601</v>
      </c>
      <c r="G933" s="5"/>
      <c r="H933" s="5"/>
      <c r="I933" s="5"/>
      <c r="J933" s="5"/>
      <c r="K933" s="5"/>
      <c r="L933" s="5"/>
      <c r="M933" s="5"/>
      <c r="N933" s="5"/>
      <c r="O933" s="5"/>
      <c r="P933" s="5"/>
      <c r="Q933" s="5"/>
      <c r="R933" s="5"/>
      <c r="S933" s="5"/>
      <c r="T933" s="38"/>
      <c r="U933" s="1363" t="s">
        <v>811</v>
      </c>
      <c r="V933" s="1364"/>
      <c r="W933" s="1364"/>
      <c r="X933" s="1364"/>
      <c r="Y933" s="1364"/>
      <c r="Z933" s="1365"/>
      <c r="AA933" s="1369"/>
      <c r="AB933" s="1370"/>
      <c r="AC933" s="1370"/>
      <c r="AD933" s="1370"/>
      <c r="AE933" s="1370"/>
      <c r="AF933" s="1371"/>
    </row>
    <row r="934" spans="6:55" ht="12.95" customHeight="1">
      <c r="F934" s="87" t="s">
        <v>1602</v>
      </c>
      <c r="G934" s="5"/>
      <c r="H934" s="5"/>
      <c r="I934" s="5"/>
      <c r="J934" s="5"/>
      <c r="K934" s="5"/>
      <c r="L934" s="5"/>
      <c r="M934" s="5"/>
      <c r="N934" s="5"/>
      <c r="O934" s="5"/>
      <c r="P934" s="5"/>
      <c r="Q934" s="5"/>
      <c r="R934" s="5"/>
      <c r="S934" s="5"/>
      <c r="T934" s="38"/>
      <c r="U934" s="1363" t="s">
        <v>811</v>
      </c>
      <c r="V934" s="1364"/>
      <c r="W934" s="1364"/>
      <c r="X934" s="1364"/>
      <c r="Y934" s="1364"/>
      <c r="Z934" s="1365"/>
      <c r="AA934" s="1369"/>
      <c r="AB934" s="1370"/>
      <c r="AC934" s="1370"/>
      <c r="AD934" s="1370"/>
      <c r="AE934" s="1370"/>
      <c r="AF934" s="1371"/>
      <c r="AZ934" s="25"/>
      <c r="BA934" s="13"/>
    </row>
    <row r="935" spans="6:55" ht="12.95" customHeight="1">
      <c r="F935" s="87" t="s">
        <v>1603</v>
      </c>
      <c r="G935" s="5"/>
      <c r="H935" s="5"/>
      <c r="I935" s="5"/>
      <c r="J935" s="5"/>
      <c r="K935" s="5"/>
      <c r="L935" s="5"/>
      <c r="M935" s="5"/>
      <c r="N935" s="5"/>
      <c r="O935" s="5"/>
      <c r="P935" s="5"/>
      <c r="Q935" s="5"/>
      <c r="R935" s="5"/>
      <c r="S935" s="5"/>
      <c r="T935" s="38"/>
      <c r="U935" s="1363" t="s">
        <v>811</v>
      </c>
      <c r="V935" s="1364"/>
      <c r="W935" s="1364"/>
      <c r="X935" s="1364"/>
      <c r="Y935" s="1364"/>
      <c r="Z935" s="1365"/>
      <c r="AA935" s="1369"/>
      <c r="AB935" s="1370"/>
      <c r="AC935" s="1370"/>
      <c r="AD935" s="1370"/>
      <c r="AE935" s="1370"/>
      <c r="AF935" s="1371"/>
      <c r="AZ935" s="25"/>
      <c r="BA935" s="13"/>
    </row>
    <row r="936" spans="6:55" ht="12.95" customHeight="1">
      <c r="F936" s="1584" t="s">
        <v>1604</v>
      </c>
      <c r="G936" s="1585"/>
      <c r="H936" s="1585"/>
      <c r="I936" s="1585"/>
      <c r="J936" s="1585"/>
      <c r="K936" s="1585"/>
      <c r="L936" s="1585"/>
      <c r="M936" s="1585"/>
      <c r="N936" s="1585"/>
      <c r="O936" s="1585"/>
      <c r="P936" s="1585"/>
      <c r="Q936" s="1585"/>
      <c r="R936" s="1585"/>
      <c r="S936" s="1585"/>
      <c r="T936" s="1586"/>
      <c r="U936" s="1363" t="s">
        <v>811</v>
      </c>
      <c r="V936" s="1364"/>
      <c r="W936" s="1364"/>
      <c r="X936" s="1364"/>
      <c r="Y936" s="1364"/>
      <c r="Z936" s="1365"/>
      <c r="AA936" s="1369"/>
      <c r="AB936" s="1370"/>
      <c r="AC936" s="1370"/>
      <c r="AD936" s="1370"/>
      <c r="AE936" s="1370"/>
      <c r="AF936" s="1371"/>
      <c r="AZ936" s="25"/>
      <c r="BA936" s="13"/>
    </row>
    <row r="937" spans="6:55" ht="12.95" customHeight="1">
      <c r="F937" s="1584" t="s">
        <v>1605</v>
      </c>
      <c r="G937" s="1585"/>
      <c r="H937" s="1585"/>
      <c r="I937" s="1585"/>
      <c r="J937" s="1585"/>
      <c r="K937" s="1585"/>
      <c r="L937" s="1585"/>
      <c r="M937" s="1585"/>
      <c r="N937" s="1585"/>
      <c r="O937" s="1585"/>
      <c r="P937" s="1585"/>
      <c r="Q937" s="1585"/>
      <c r="R937" s="1585"/>
      <c r="S937" s="1585"/>
      <c r="T937" s="1586"/>
      <c r="U937" s="1363" t="s">
        <v>811</v>
      </c>
      <c r="V937" s="1364"/>
      <c r="W937" s="1364"/>
      <c r="X937" s="1364"/>
      <c r="Y937" s="1364"/>
      <c r="Z937" s="1365"/>
      <c r="AA937" s="1369"/>
      <c r="AB937" s="1370"/>
      <c r="AC937" s="1370"/>
      <c r="AD937" s="1370"/>
      <c r="AE937" s="1370"/>
      <c r="AF937" s="1371"/>
      <c r="AZ937" s="25"/>
      <c r="BA937" s="25"/>
    </row>
    <row r="938" spans="6:55" ht="12.95" customHeight="1">
      <c r="F938" s="1547" t="s">
        <v>1606</v>
      </c>
      <c r="G938" s="1548"/>
      <c r="H938" s="1548"/>
      <c r="I938" s="1548"/>
      <c r="J938" s="1548"/>
      <c r="K938" s="1548"/>
      <c r="L938" s="1548"/>
      <c r="M938" s="1548"/>
      <c r="N938" s="1548"/>
      <c r="O938" s="1548"/>
      <c r="P938" s="1548"/>
      <c r="Q938" s="1548"/>
      <c r="R938" s="1548"/>
      <c r="S938" s="1548"/>
      <c r="T938" s="1549"/>
      <c r="U938" s="1363" t="s">
        <v>811</v>
      </c>
      <c r="V938" s="1364"/>
      <c r="W938" s="1364"/>
      <c r="X938" s="1364"/>
      <c r="Y938" s="1364"/>
      <c r="Z938" s="1365"/>
      <c r="AA938" s="1369"/>
      <c r="AB938" s="1370"/>
      <c r="AC938" s="1370"/>
      <c r="AD938" s="1370"/>
      <c r="AE938" s="1370"/>
      <c r="AF938" s="1371"/>
      <c r="AZ938" s="25"/>
      <c r="BA938" s="25"/>
    </row>
    <row r="939" spans="6:55" ht="12.95" customHeight="1">
      <c r="F939" s="1547" t="s">
        <v>1607</v>
      </c>
      <c r="G939" s="1548"/>
      <c r="H939" s="1548"/>
      <c r="I939" s="1548"/>
      <c r="J939" s="1548"/>
      <c r="K939" s="1548"/>
      <c r="L939" s="1548"/>
      <c r="M939" s="1548"/>
      <c r="N939" s="1548"/>
      <c r="O939" s="1548"/>
      <c r="P939" s="1548"/>
      <c r="Q939" s="1548"/>
      <c r="R939" s="1548"/>
      <c r="S939" s="1548"/>
      <c r="T939" s="1549"/>
      <c r="U939" s="1363" t="s">
        <v>811</v>
      </c>
      <c r="V939" s="1364"/>
      <c r="W939" s="1364"/>
      <c r="X939" s="1364"/>
      <c r="Y939" s="1364"/>
      <c r="Z939" s="1365"/>
      <c r="AA939" s="1369"/>
      <c r="AB939" s="1370"/>
      <c r="AC939" s="1370"/>
      <c r="AD939" s="1370"/>
      <c r="AE939" s="1370"/>
      <c r="AF939" s="1371"/>
      <c r="AZ939" s="25"/>
      <c r="BA939" s="25"/>
    </row>
    <row r="940" spans="6:55" ht="12.95" customHeight="1">
      <c r="F940" s="1547" t="s">
        <v>1608</v>
      </c>
      <c r="G940" s="1548"/>
      <c r="H940" s="1548"/>
      <c r="I940" s="1548"/>
      <c r="J940" s="1548"/>
      <c r="K940" s="1548"/>
      <c r="L940" s="1548"/>
      <c r="M940" s="1548"/>
      <c r="N940" s="1548"/>
      <c r="O940" s="1548"/>
      <c r="P940" s="1548"/>
      <c r="Q940" s="1548"/>
      <c r="R940" s="1548"/>
      <c r="S940" s="1548"/>
      <c r="T940" s="1549"/>
      <c r="U940" s="1363" t="s">
        <v>811</v>
      </c>
      <c r="V940" s="1364"/>
      <c r="W940" s="1364"/>
      <c r="X940" s="1364"/>
      <c r="Y940" s="1364"/>
      <c r="Z940" s="1365"/>
      <c r="AA940" s="1369"/>
      <c r="AB940" s="1370"/>
      <c r="AC940" s="1370"/>
      <c r="AD940" s="1370"/>
      <c r="AE940" s="1370"/>
      <c r="AF940" s="1371"/>
      <c r="AZ940" s="3"/>
      <c r="BA940" s="3"/>
      <c r="BB940" s="13"/>
      <c r="BC940" s="13"/>
    </row>
    <row r="941" spans="6:55" ht="12.95" customHeight="1">
      <c r="F941" s="87" t="s">
        <v>1609</v>
      </c>
      <c r="G941" s="5"/>
      <c r="H941" s="5"/>
      <c r="I941" s="5"/>
      <c r="J941" s="5"/>
      <c r="K941" s="5"/>
      <c r="L941" s="5"/>
      <c r="M941" s="5"/>
      <c r="N941" s="5"/>
      <c r="O941" s="5"/>
      <c r="P941" s="5"/>
      <c r="Q941" s="5"/>
      <c r="R941" s="5"/>
      <c r="S941" s="5"/>
      <c r="T941" s="38"/>
      <c r="U941" s="1363" t="s">
        <v>811</v>
      </c>
      <c r="V941" s="1364"/>
      <c r="W941" s="1364"/>
      <c r="X941" s="1364"/>
      <c r="Y941" s="1364"/>
      <c r="Z941" s="1365"/>
      <c r="AA941" s="1369"/>
      <c r="AB941" s="1370"/>
      <c r="AC941" s="1370"/>
      <c r="AD941" s="1370"/>
      <c r="AE941" s="1370"/>
      <c r="AF941" s="1371"/>
      <c r="AZ941" s="3"/>
      <c r="BA941" s="3"/>
      <c r="BB941" s="13"/>
      <c r="BC941" s="13"/>
    </row>
    <row r="942" spans="6:55" ht="12.95" customHeight="1">
      <c r="F942" s="1584" t="s">
        <v>1610</v>
      </c>
      <c r="G942" s="1585"/>
      <c r="H942" s="1585"/>
      <c r="I942" s="1585"/>
      <c r="J942" s="1585"/>
      <c r="K942" s="1585"/>
      <c r="L942" s="1585"/>
      <c r="M942" s="1585"/>
      <c r="N942" s="1585"/>
      <c r="O942" s="1585"/>
      <c r="P942" s="1585"/>
      <c r="Q942" s="1585"/>
      <c r="R942" s="1585"/>
      <c r="S942" s="1585"/>
      <c r="T942" s="1586"/>
      <c r="U942" s="1363" t="s">
        <v>811</v>
      </c>
      <c r="V942" s="1364"/>
      <c r="W942" s="1364"/>
      <c r="X942" s="1364"/>
      <c r="Y942" s="1364"/>
      <c r="Z942" s="1365"/>
      <c r="AA942" s="1369"/>
      <c r="AB942" s="1370"/>
      <c r="AC942" s="1370"/>
      <c r="AD942" s="1370"/>
      <c r="AE942" s="1370"/>
      <c r="AF942" s="1371"/>
      <c r="AZ942" s="3"/>
      <c r="BA942" s="3"/>
      <c r="BB942" s="3"/>
      <c r="BC942" s="3"/>
    </row>
    <row r="943" spans="6:55" ht="12.95" customHeight="1">
      <c r="F943" s="87" t="s">
        <v>1611</v>
      </c>
      <c r="G943" s="5"/>
      <c r="H943" s="5"/>
      <c r="I943" s="5"/>
      <c r="J943" s="5"/>
      <c r="K943" s="5"/>
      <c r="L943" s="5"/>
      <c r="M943" s="5"/>
      <c r="N943" s="5"/>
      <c r="O943" s="5"/>
      <c r="P943" s="5"/>
      <c r="Q943" s="5"/>
      <c r="R943" s="5"/>
      <c r="S943" s="5"/>
      <c r="T943" s="38"/>
      <c r="U943" s="1363" t="s">
        <v>811</v>
      </c>
      <c r="V943" s="1364"/>
      <c r="W943" s="1364"/>
      <c r="X943" s="1364"/>
      <c r="Y943" s="1364"/>
      <c r="Z943" s="1365"/>
      <c r="AA943" s="1369"/>
      <c r="AB943" s="1370"/>
      <c r="AC943" s="1370"/>
      <c r="AD943" s="1370"/>
      <c r="AE943" s="1370"/>
      <c r="AF943" s="1371"/>
      <c r="AZ943" s="3"/>
      <c r="BA943" s="3"/>
      <c r="BB943" s="3"/>
      <c r="BC943" s="3"/>
    </row>
    <row r="944" spans="6:55" ht="12.95" customHeight="1">
      <c r="F944" s="1584" t="s">
        <v>1612</v>
      </c>
      <c r="G944" s="1585"/>
      <c r="H944" s="1585"/>
      <c r="I944" s="1585"/>
      <c r="J944" s="1585"/>
      <c r="K944" s="1585"/>
      <c r="L944" s="1585"/>
      <c r="M944" s="1585"/>
      <c r="N944" s="1585"/>
      <c r="O944" s="1585"/>
      <c r="P944" s="1585"/>
      <c r="Q944" s="1585"/>
      <c r="R944" s="1585"/>
      <c r="S944" s="1585"/>
      <c r="T944" s="1586"/>
      <c r="U944" s="1363" t="s">
        <v>811</v>
      </c>
      <c r="V944" s="1364"/>
      <c r="W944" s="1364"/>
      <c r="X944" s="1364"/>
      <c r="Y944" s="1364"/>
      <c r="Z944" s="1365"/>
      <c r="AA944" s="1369"/>
      <c r="AB944" s="1370"/>
      <c r="AC944" s="1370"/>
      <c r="AD944" s="1370"/>
      <c r="AE944" s="1370"/>
      <c r="AF944" s="1371"/>
      <c r="AZ944" s="3"/>
      <c r="BA944" s="3"/>
      <c r="BB944" s="3"/>
      <c r="BC944" s="3"/>
    </row>
    <row r="945" spans="1:55" ht="12.95" customHeight="1">
      <c r="F945" s="37" t="s">
        <v>1613</v>
      </c>
      <c r="G945" s="5"/>
      <c r="H945" s="5"/>
      <c r="I945" s="5"/>
      <c r="J945" s="5"/>
      <c r="K945" s="5"/>
      <c r="L945" s="5"/>
      <c r="M945" s="5"/>
      <c r="N945" s="5"/>
      <c r="O945" s="5"/>
      <c r="P945" s="1363" t="s">
        <v>694</v>
      </c>
      <c r="Q945" s="1364"/>
      <c r="R945" s="1364"/>
      <c r="S945" s="1364"/>
      <c r="T945" s="1365"/>
      <c r="U945" s="1363" t="s">
        <v>811</v>
      </c>
      <c r="V945" s="1364"/>
      <c r="W945" s="1364"/>
      <c r="X945" s="1364"/>
      <c r="Y945" s="1364"/>
      <c r="Z945" s="1365"/>
      <c r="AA945" s="1369"/>
      <c r="AB945" s="1370"/>
      <c r="AC945" s="1370"/>
      <c r="AD945" s="1370"/>
      <c r="AE945" s="1370"/>
      <c r="AF945" s="1371"/>
      <c r="AZ945" s="3"/>
      <c r="BA945" s="3"/>
      <c r="BB945" s="3"/>
      <c r="BC945" s="3"/>
    </row>
    <row r="946" spans="1:55" ht="12.95" customHeight="1">
      <c r="F946" s="1547" t="s">
        <v>1614</v>
      </c>
      <c r="G946" s="1548"/>
      <c r="H946" s="1549"/>
      <c r="I946" s="1488" t="s">
        <v>1317</v>
      </c>
      <c r="J946" s="1489"/>
      <c r="K946" s="1489"/>
      <c r="L946" s="1489"/>
      <c r="M946" s="1489"/>
      <c r="N946" s="1489"/>
      <c r="O946" s="1489"/>
      <c r="P946" s="1489"/>
      <c r="Q946" s="1489"/>
      <c r="R946" s="1489"/>
      <c r="S946" s="1489"/>
      <c r="T946" s="1490"/>
      <c r="U946" s="1363" t="s">
        <v>811</v>
      </c>
      <c r="V946" s="1364"/>
      <c r="W946" s="1364"/>
      <c r="X946" s="1364"/>
      <c r="Y946" s="1364"/>
      <c r="Z946" s="1365"/>
      <c r="AA946" s="1369"/>
      <c r="AB946" s="1370"/>
      <c r="AC946" s="1370"/>
      <c r="AD946" s="1370"/>
      <c r="AE946" s="1370"/>
      <c r="AF946" s="1371"/>
      <c r="AZ946" s="3"/>
      <c r="BA946" s="3"/>
      <c r="BB946" s="3"/>
      <c r="BC946" s="3"/>
    </row>
    <row r="947" spans="1:55" ht="12.95" customHeight="1">
      <c r="F947" s="37" t="s">
        <v>1065</v>
      </c>
      <c r="G947" s="40"/>
      <c r="H947" s="40"/>
      <c r="I947" s="1488" t="s">
        <v>1317</v>
      </c>
      <c r="J947" s="1489"/>
      <c r="K947" s="1489"/>
      <c r="L947" s="1489"/>
      <c r="M947" s="1489"/>
      <c r="N947" s="1489"/>
      <c r="O947" s="1489"/>
      <c r="P947" s="1489"/>
      <c r="Q947" s="1489"/>
      <c r="R947" s="1489"/>
      <c r="S947" s="1489"/>
      <c r="T947" s="1490"/>
      <c r="U947" s="1363" t="s">
        <v>811</v>
      </c>
      <c r="V947" s="1364"/>
      <c r="W947" s="1364"/>
      <c r="X947" s="1364"/>
      <c r="Y947" s="1364"/>
      <c r="Z947" s="1365"/>
      <c r="AA947" s="1369"/>
      <c r="AB947" s="1370"/>
      <c r="AC947" s="1370"/>
      <c r="AD947" s="1370"/>
      <c r="AE947" s="1370"/>
      <c r="AF947" s="1371"/>
      <c r="AZ947" s="3"/>
      <c r="BA947" s="3"/>
      <c r="BB947" s="3"/>
      <c r="BC947" s="3"/>
    </row>
    <row r="948" spans="1:55" ht="12.95" customHeight="1">
      <c r="F948" s="37" t="s">
        <v>1615</v>
      </c>
      <c r="G948" s="40"/>
      <c r="H948" s="40"/>
      <c r="I948" s="1488" t="s">
        <v>2742</v>
      </c>
      <c r="J948" s="1489"/>
      <c r="K948" s="1489"/>
      <c r="L948" s="1489"/>
      <c r="M948" s="1489"/>
      <c r="N948" s="1489"/>
      <c r="O948" s="1489"/>
      <c r="P948" s="1489"/>
      <c r="Q948" s="1489"/>
      <c r="R948" s="1489"/>
      <c r="S948" s="1489"/>
      <c r="T948" s="1490"/>
      <c r="U948" s="1363" t="s">
        <v>846</v>
      </c>
      <c r="V948" s="1364"/>
      <c r="W948" s="1364"/>
      <c r="X948" s="1364"/>
      <c r="Y948" s="1364"/>
      <c r="Z948" s="1365"/>
      <c r="AA948" s="1369">
        <f>200000+167537+3500000+3330275</f>
        <v>7197812</v>
      </c>
      <c r="AB948" s="1370"/>
      <c r="AC948" s="1370"/>
      <c r="AD948" s="1370"/>
      <c r="AE948" s="1370"/>
      <c r="AF948" s="1371"/>
      <c r="AV948" s="2"/>
      <c r="AW948" s="2"/>
      <c r="AX948" s="2"/>
      <c r="AY948" s="2"/>
      <c r="AZ948" s="3"/>
      <c r="BA948" s="3"/>
      <c r="BB948" s="3"/>
      <c r="BC948" s="3"/>
    </row>
    <row r="949" spans="1:55" ht="12.95" customHeight="1">
      <c r="F949" s="39" t="s">
        <v>233</v>
      </c>
      <c r="G949" s="40"/>
      <c r="H949" s="40"/>
      <c r="I949" s="1488" t="s">
        <v>1317</v>
      </c>
      <c r="J949" s="1489"/>
      <c r="K949" s="1489"/>
      <c r="L949" s="1489"/>
      <c r="M949" s="1489"/>
      <c r="N949" s="1489"/>
      <c r="O949" s="1489"/>
      <c r="P949" s="1489"/>
      <c r="Q949" s="1489"/>
      <c r="R949" s="1489"/>
      <c r="S949" s="1489"/>
      <c r="T949" s="1490"/>
      <c r="U949" s="1363" t="s">
        <v>811</v>
      </c>
      <c r="V949" s="1364"/>
      <c r="W949" s="1364"/>
      <c r="X949" s="1364"/>
      <c r="Y949" s="1364"/>
      <c r="Z949" s="1365"/>
      <c r="AA949" s="1369"/>
      <c r="AB949" s="1370"/>
      <c r="AC949" s="1370"/>
      <c r="AD949" s="1370"/>
      <c r="AE949" s="1370"/>
      <c r="AF949" s="1371"/>
      <c r="AU949" s="2"/>
      <c r="AZ949" s="3"/>
      <c r="BA949" s="3"/>
      <c r="BB949" s="3"/>
      <c r="BC949" s="3"/>
    </row>
    <row r="950" spans="1:55" ht="12.95" customHeight="1">
      <c r="F950" s="39" t="s">
        <v>233</v>
      </c>
      <c r="G950" s="40"/>
      <c r="H950" s="40"/>
      <c r="I950" s="1488" t="s">
        <v>1317</v>
      </c>
      <c r="J950" s="1489"/>
      <c r="K950" s="1489"/>
      <c r="L950" s="1489"/>
      <c r="M950" s="1489"/>
      <c r="N950" s="1489"/>
      <c r="O950" s="1489"/>
      <c r="P950" s="1489"/>
      <c r="Q950" s="1489"/>
      <c r="R950" s="1489"/>
      <c r="S950" s="1489"/>
      <c r="T950" s="1490"/>
      <c r="U950" s="1363" t="s">
        <v>811</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912</v>
      </c>
      <c r="C952" s="2" t="s">
        <v>247</v>
      </c>
      <c r="AZ952" s="3"/>
      <c r="BA952" s="3"/>
      <c r="BB952" s="3"/>
      <c r="BC952" s="3"/>
    </row>
    <row r="953" spans="1:55" ht="12.95" customHeight="1">
      <c r="B953" s="2"/>
      <c r="C953" s="19" t="s">
        <v>1616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1617</v>
      </c>
      <c r="D955" s="5"/>
      <c r="E955" s="5"/>
      <c r="F955" s="5"/>
      <c r="G955" s="5"/>
      <c r="H955" s="5"/>
      <c r="I955" s="5"/>
      <c r="J955" s="5"/>
      <c r="K955" s="5"/>
      <c r="L955" s="38"/>
      <c r="M955" s="1485">
        <v>45882</v>
      </c>
      <c r="N955" s="1486"/>
      <c r="O955" s="1486"/>
      <c r="P955" s="1486"/>
      <c r="Q955" s="1486"/>
      <c r="R955" s="1486"/>
      <c r="S955" s="1487"/>
      <c r="U955" s="87" t="s">
        <v>1617</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1618</v>
      </c>
      <c r="D956" s="5"/>
      <c r="E956" s="5"/>
      <c r="F956" s="5"/>
      <c r="G956" s="5"/>
      <c r="H956" s="5"/>
      <c r="I956" s="5"/>
      <c r="J956" s="5"/>
      <c r="K956" s="5"/>
      <c r="L956" s="38"/>
      <c r="M956" s="1497" t="s">
        <v>1619</v>
      </c>
      <c r="N956" s="1395"/>
      <c r="O956" s="1395"/>
      <c r="P956" s="1395"/>
      <c r="Q956" s="1395"/>
      <c r="R956" s="1395"/>
      <c r="S956" s="1498"/>
      <c r="U956" s="87" t="s">
        <v>1618</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2.95" customHeight="1">
      <c r="C957" s="87" t="s">
        <v>1620</v>
      </c>
      <c r="D957" s="5"/>
      <c r="E957" s="5"/>
      <c r="J957" s="1504" t="s">
        <v>1621</v>
      </c>
      <c r="K957" s="1505"/>
      <c r="L957" s="1505"/>
      <c r="M957" s="1505"/>
      <c r="N957" s="1505"/>
      <c r="O957" s="1505"/>
      <c r="P957" s="1505"/>
      <c r="Q957" s="1505"/>
      <c r="R957" s="1505"/>
      <c r="S957" s="1506"/>
      <c r="U957" s="87" t="s">
        <v>1620</v>
      </c>
      <c r="V957" s="5"/>
      <c r="W957" s="5"/>
      <c r="AB957" s="1504" t="s">
        <v>392</v>
      </c>
      <c r="AC957" s="1505"/>
      <c r="AD957" s="1505"/>
      <c r="AE957" s="1505"/>
      <c r="AF957" s="1505"/>
      <c r="AG957" s="1505"/>
      <c r="AH957" s="1505"/>
      <c r="AI957" s="1505"/>
      <c r="AJ957" s="1505"/>
      <c r="AK957" s="1506"/>
      <c r="AZ957" s="3"/>
      <c r="BA957" s="3"/>
      <c r="BB957" s="3"/>
      <c r="BC957" s="3"/>
    </row>
    <row r="958" spans="1:55" ht="12.95" customHeight="1">
      <c r="C958" s="87" t="s">
        <v>1622</v>
      </c>
      <c r="D958" s="5"/>
      <c r="E958" s="5"/>
      <c r="F958" s="5"/>
      <c r="G958" s="5"/>
      <c r="H958" s="5"/>
      <c r="I958" s="5"/>
      <c r="J958" s="5"/>
      <c r="K958" s="5"/>
      <c r="L958" s="38"/>
      <c r="M958" s="1583">
        <v>1</v>
      </c>
      <c r="N958" s="1543"/>
      <c r="O958" s="1543"/>
      <c r="P958" s="1543"/>
      <c r="Q958" s="1543"/>
      <c r="R958" s="1543"/>
      <c r="S958" s="1544"/>
      <c r="U958" s="87" t="s">
        <v>1622</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1623</v>
      </c>
      <c r="D959" s="5"/>
      <c r="E959" s="5"/>
      <c r="F959" s="5"/>
      <c r="G959" s="5"/>
      <c r="H959" s="5"/>
      <c r="I959" s="5"/>
      <c r="J959" s="5"/>
      <c r="K959" s="5"/>
      <c r="L959" s="38"/>
      <c r="M959" s="1511">
        <v>35</v>
      </c>
      <c r="N959" s="1512"/>
      <c r="O959" s="1512"/>
      <c r="P959" s="1512"/>
      <c r="Q959" s="1512"/>
      <c r="R959" s="1512"/>
      <c r="S959" s="1513"/>
      <c r="U959" s="87" t="s">
        <v>1623</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1624</v>
      </c>
      <c r="D960" s="5"/>
      <c r="E960" s="5"/>
      <c r="F960" s="5"/>
      <c r="G960" s="5"/>
      <c r="H960" s="5"/>
      <c r="I960" s="5"/>
      <c r="J960" s="5"/>
      <c r="K960" s="5"/>
      <c r="L960" s="38"/>
      <c r="M960" s="1369">
        <v>209844</v>
      </c>
      <c r="N960" s="1370"/>
      <c r="O960" s="1370"/>
      <c r="P960" s="1370"/>
      <c r="Q960" s="1370"/>
      <c r="R960" s="1370"/>
      <c r="S960" s="1371"/>
      <c r="U960" s="87" t="s">
        <v>1624</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1625</v>
      </c>
      <c r="D961" s="5"/>
      <c r="E961" s="5"/>
      <c r="F961" s="5"/>
      <c r="G961" s="5"/>
      <c r="H961" s="5"/>
      <c r="I961" s="5"/>
      <c r="J961" s="5"/>
      <c r="K961" s="5"/>
      <c r="L961" s="38"/>
      <c r="M961" s="1369">
        <v>5360393</v>
      </c>
      <c r="N961" s="1370"/>
      <c r="O961" s="1370"/>
      <c r="P961" s="1370"/>
      <c r="Q961" s="1370"/>
      <c r="R961" s="1370"/>
      <c r="S961" s="1371"/>
      <c r="U961" s="87" t="s">
        <v>1625</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1220</v>
      </c>
      <c r="D962" s="5"/>
      <c r="E962" s="5"/>
      <c r="F962" s="5"/>
      <c r="G962" s="5"/>
      <c r="H962" s="5"/>
      <c r="I962" s="5"/>
      <c r="J962" s="5"/>
      <c r="K962" s="5"/>
      <c r="L962" s="38"/>
      <c r="M962" s="1366">
        <v>20</v>
      </c>
      <c r="N962" s="1367"/>
      <c r="O962" s="1367"/>
      <c r="P962" s="1367"/>
      <c r="Q962" s="1367"/>
      <c r="R962" s="1367"/>
      <c r="S962" s="1368"/>
      <c r="U962" s="87" t="s">
        <v>1220</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991</v>
      </c>
      <c r="C964" s="2" t="s">
        <v>1626</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1627</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1628</v>
      </c>
      <c r="G967" s="5"/>
      <c r="H967" s="5"/>
      <c r="I967" s="5"/>
      <c r="J967" s="5"/>
      <c r="K967" s="5"/>
      <c r="L967" s="38"/>
      <c r="M967" s="1482"/>
      <c r="N967" s="1483"/>
      <c r="O967" s="1483"/>
      <c r="P967" s="1483"/>
      <c r="Q967" s="1483"/>
      <c r="R967" s="1483"/>
      <c r="S967" s="1484"/>
      <c r="T967" s="87" t="s">
        <v>1629</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1630</v>
      </c>
      <c r="G968" s="5"/>
      <c r="H968" s="5"/>
      <c r="I968" s="5"/>
      <c r="J968" s="5"/>
      <c r="K968" s="5"/>
      <c r="L968" s="38"/>
      <c r="M968" s="1482"/>
      <c r="N968" s="1483"/>
      <c r="O968" s="1483"/>
      <c r="P968" s="1483"/>
      <c r="Q968" s="1483"/>
      <c r="R968" s="1483"/>
      <c r="S968" s="1484"/>
      <c r="T968" s="87" t="s">
        <v>1631</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1632</v>
      </c>
      <c r="G969" s="5"/>
      <c r="H969" s="5"/>
      <c r="I969" s="5"/>
      <c r="J969" s="5"/>
      <c r="K969" s="5"/>
      <c r="L969" s="38"/>
      <c r="M969" s="1588" t="s">
        <v>811</v>
      </c>
      <c r="N969" s="1589"/>
      <c r="O969" s="1589"/>
      <c r="P969" s="1589"/>
      <c r="Q969" s="1589"/>
      <c r="R969" s="1589"/>
      <c r="S969" s="1590"/>
      <c r="T969" s="37" t="s">
        <v>1633</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1634</v>
      </c>
      <c r="G970" s="5"/>
      <c r="H970" s="5"/>
      <c r="I970" s="5"/>
      <c r="J970" s="5"/>
      <c r="K970" s="5"/>
      <c r="L970" s="38"/>
      <c r="M970" s="1482"/>
      <c r="N970" s="1483"/>
      <c r="O970" s="1483"/>
      <c r="P970" s="1483"/>
      <c r="Q970" s="1483"/>
      <c r="R970" s="1483"/>
      <c r="S970" s="1484"/>
      <c r="T970" s="37" t="s">
        <v>1635</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1636</v>
      </c>
      <c r="G971" s="5"/>
      <c r="H971" s="5"/>
      <c r="I971" s="5"/>
      <c r="J971" s="5"/>
      <c r="K971" s="5"/>
      <c r="L971" s="38"/>
      <c r="M971" s="1482"/>
      <c r="N971" s="1483"/>
      <c r="O971" s="1483"/>
      <c r="P971" s="1483"/>
      <c r="Q971" s="1483"/>
      <c r="R971" s="1483"/>
      <c r="S971" s="1484"/>
      <c r="T971" s="37" t="s">
        <v>1637</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1620</v>
      </c>
      <c r="G972" s="34"/>
      <c r="H972" s="34"/>
      <c r="I972" s="34"/>
      <c r="J972" s="34"/>
      <c r="K972" s="34"/>
      <c r="L972" s="50"/>
      <c r="M972" s="1504" t="s">
        <v>392</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1638</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1639</v>
      </c>
      <c r="G974" s="34"/>
      <c r="H974" s="34"/>
      <c r="I974" s="34"/>
      <c r="J974" s="34"/>
      <c r="K974" s="34"/>
      <c r="L974" s="34"/>
      <c r="M974" s="34"/>
      <c r="N974" s="34"/>
      <c r="O974" s="1526" t="s">
        <v>694</v>
      </c>
      <c r="P974" s="1527"/>
      <c r="Q974" s="67"/>
      <c r="R974" s="67"/>
      <c r="S974" s="68"/>
      <c r="T974" s="33" t="s">
        <v>233</v>
      </c>
      <c r="U974" s="34"/>
      <c r="V974" s="34"/>
      <c r="W974" s="1514" t="s">
        <v>1317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2.95" customHeight="1">
      <c r="F975" s="1499" t="s">
        <v>1640</v>
      </c>
      <c r="G975" s="1320"/>
      <c r="H975" s="1320"/>
      <c r="I975" s="1320"/>
      <c r="J975" s="1320"/>
      <c r="K975" s="1320"/>
      <c r="L975" s="1320"/>
      <c r="M975" s="1482"/>
      <c r="N975" s="1483"/>
      <c r="O975" s="1483"/>
      <c r="P975" s="1483"/>
      <c r="Q975" s="1483"/>
      <c r="R975" s="1483"/>
      <c r="S975" s="1484"/>
      <c r="T975" s="39"/>
      <c r="U975" s="40"/>
      <c r="V975" s="40"/>
      <c r="W975" s="40"/>
      <c r="X975" s="40"/>
      <c r="Y975" s="40"/>
      <c r="Z975" s="90" t="s">
        <v>1641</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1642</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871</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0" t="s">
        <v>1643</v>
      </c>
      <c r="E985" s="1501"/>
      <c r="F985" s="1501"/>
      <c r="G985" s="1501"/>
      <c r="H985" s="1501"/>
      <c r="I985" s="1501"/>
      <c r="J985" s="1501"/>
      <c r="K985" s="1501"/>
      <c r="L985" s="1501"/>
      <c r="M985" s="1501"/>
      <c r="N985" s="1501"/>
      <c r="O985" s="1501"/>
      <c r="P985" s="1501"/>
      <c r="Q985" s="1502"/>
      <c r="R985" s="1500" t="s">
        <v>1644</v>
      </c>
      <c r="S985" s="1501"/>
      <c r="T985" s="1501"/>
      <c r="U985" s="1501"/>
      <c r="V985" s="1501"/>
      <c r="W985" s="1501"/>
      <c r="X985" s="1501"/>
      <c r="Y985" s="1501"/>
      <c r="Z985" s="1501"/>
      <c r="AA985" s="1502"/>
      <c r="AB985" s="1500" t="s">
        <v>1645</v>
      </c>
      <c r="AC985" s="1501"/>
      <c r="AD985" s="1501"/>
      <c r="AE985" s="1501"/>
      <c r="AF985" s="1501"/>
      <c r="AG985" s="1501"/>
      <c r="AH985" s="1501"/>
      <c r="AI985" s="1502"/>
      <c r="AJ985" s="1500" t="s">
        <v>1646</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2.95" customHeight="1">
      <c r="A986" s="13"/>
      <c r="B986" s="58"/>
      <c r="C986" s="823"/>
      <c r="D986" s="1348" t="s">
        <v>837</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307732</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2.95" customHeight="1">
      <c r="A987" s="13"/>
      <c r="B987" s="58"/>
      <c r="C987" s="62"/>
      <c r="D987" s="1348" t="s">
        <v>832</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354812</v>
      </c>
      <c r="S987" s="1503"/>
      <c r="T987" s="1503"/>
      <c r="U987" s="1503"/>
      <c r="V987" s="1503"/>
      <c r="W987" s="1503"/>
      <c r="X987" s="1503"/>
      <c r="Y987" s="1503"/>
      <c r="Z987" s="1503"/>
      <c r="AA987" s="1503"/>
      <c r="AB987" s="1351">
        <f>CU802</f>
        <v>35</v>
      </c>
      <c r="AC987" s="1352"/>
      <c r="AD987" s="1352"/>
      <c r="AE987" s="1352"/>
      <c r="AF987" s="1352"/>
      <c r="AG987" s="1352"/>
      <c r="AH987" s="1352"/>
      <c r="AI987" s="1353"/>
      <c r="AJ987" s="1440">
        <f>IF(ISERROR((R987*AB987)),0,(R987*AB987))</f>
        <v>12418420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2.95" customHeight="1">
      <c r="A988" s="13"/>
      <c r="B988" s="58"/>
      <c r="C988" s="62"/>
      <c r="D988" s="1348" t="s">
        <v>833</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428000</v>
      </c>
      <c r="S988" s="1503"/>
      <c r="T988" s="1503"/>
      <c r="U988" s="1503"/>
      <c r="V988" s="1503"/>
      <c r="W988" s="1503"/>
      <c r="X988" s="1503"/>
      <c r="Y988" s="1503"/>
      <c r="Z988" s="1503"/>
      <c r="AA988" s="1503"/>
      <c r="AB988" s="1351">
        <f>CZ802</f>
        <v>1</v>
      </c>
      <c r="AC988" s="1352"/>
      <c r="AD988" s="1352"/>
      <c r="AE988" s="1352"/>
      <c r="AF988" s="1352"/>
      <c r="AG988" s="1352"/>
      <c r="AH988" s="1352"/>
      <c r="AI988" s="1353"/>
      <c r="AJ988" s="1440">
        <f>IF(ISERROR((R988*AB988)),0,(R988*AB988))</f>
        <v>428000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2.95" customHeight="1">
      <c r="A989" s="13"/>
      <c r="B989" s="58"/>
      <c r="C989" s="62"/>
      <c r="D989" s="1348" t="s">
        <v>834</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547840</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2.95" customHeight="1">
      <c r="A990" s="13"/>
      <c r="B990" s="39"/>
      <c r="C990" s="60"/>
      <c r="D990" s="1348" t="s">
        <v>838</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610328</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2.95" customHeight="1">
      <c r="A991" s="13"/>
      <c r="B991" s="1553" t="s">
        <v>1647</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36</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2.95" customHeight="1">
      <c r="A992" s="13"/>
      <c r="B992" s="1523" t="s">
        <v>1648</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12846420</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1649</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2.95" customHeight="1">
      <c r="A994" s="13"/>
      <c r="B994" s="58"/>
      <c r="C994" s="1182" t="s">
        <v>1650</v>
      </c>
      <c r="D994" s="1456" t="s">
        <v>1651</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846</v>
      </c>
      <c r="AH994" s="1453"/>
      <c r="AI994" s="64"/>
      <c r="AJ994" s="1354">
        <f>ROUND(IF(AND(AG994="yes",D1000&gt;0),AJ992*0.2,0),0)</f>
        <v>2569284</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1" t="s">
        <v>1652</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4" t="s">
        <v>1653</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6" t="s">
        <v>2743</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6" t="s">
        <v>1654</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694</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1" t="s">
        <v>1655</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35</v>
      </c>
      <c r="AZ1003" s="3"/>
      <c r="BB1003" s="3"/>
    </row>
    <row r="1004" spans="1:55" ht="12.9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0.2</v>
      </c>
      <c r="AZ1005" s="3"/>
      <c r="BB1005" s="3"/>
    </row>
    <row r="1006" spans="1:55" ht="12.9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0.48</v>
      </c>
      <c r="AZ1006" s="3"/>
      <c r="BB1006" s="3"/>
    </row>
    <row r="1007" spans="1:55" ht="12.95" customHeight="1">
      <c r="A1007" s="13"/>
      <c r="B1007" s="1185"/>
      <c r="C1007" s="242" t="s">
        <v>1656</v>
      </c>
      <c r="D1007" s="1446" t="s">
        <v>1657</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694</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59" t="s">
        <v>1658</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1659</v>
      </c>
      <c r="D1011" s="1446" t="s">
        <v>1660</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694</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1661</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1662</v>
      </c>
      <c r="AZ1012" s="3" t="s">
        <v>1663</v>
      </c>
    </row>
    <row r="1013" spans="1:52" ht="12.95" customHeight="1">
      <c r="A1013" s="13"/>
      <c r="B1013" s="61"/>
      <c r="C1013" s="242" t="s">
        <v>1664</v>
      </c>
      <c r="D1013" s="1446" t="s">
        <v>1665</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694</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59" t="s">
        <v>1666</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2.95" customHeight="1">
      <c r="A1016" s="13"/>
      <c r="B1016" s="61"/>
      <c r="C1016" s="242" t="s">
        <v>1667</v>
      </c>
      <c r="D1016" s="1456" t="s">
        <v>1668</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694</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2.95" customHeight="1">
      <c r="A1017" s="13"/>
      <c r="B1017" s="58"/>
      <c r="C1017" s="1190"/>
      <c r="D1017" s="1459" t="s">
        <v>1669</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2.9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2.9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2.95" customHeight="1">
      <c r="A1020" s="13"/>
      <c r="B1020" s="61"/>
      <c r="C1020" s="242" t="s">
        <v>1670</v>
      </c>
      <c r="D1020" s="1473" t="s">
        <v>1671</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694</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2.95" customHeight="1">
      <c r="A1022" s="13"/>
      <c r="B1022" s="1193"/>
      <c r="C1022" s="1194"/>
      <c r="D1022" s="1459" t="s">
        <v>1672</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1673</v>
      </c>
      <c r="E1024" s="66"/>
      <c r="F1024" s="66"/>
      <c r="G1024" s="792"/>
      <c r="H1024" s="792"/>
      <c r="I1024" s="41"/>
      <c r="J1024" s="1437" t="s">
        <v>811</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1674</v>
      </c>
      <c r="AY1024" s="1195">
        <f>IF(SUM(AY1013:AY1023)&lt;=0.2,SUM(AY1013:AY1023),0.2)</f>
        <v>0</v>
      </c>
    </row>
    <row r="1025" spans="1:57" ht="12.95" customHeight="1">
      <c r="A1025" s="13"/>
      <c r="B1025" s="61"/>
      <c r="C1025" s="242" t="s">
        <v>1675</v>
      </c>
      <c r="D1025" s="1446" t="s">
        <v>1676</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694</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59" t="s">
        <v>1677</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1678</v>
      </c>
      <c r="D1029" s="1456" t="s">
        <v>1679</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694</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59" t="s">
        <v>1680</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6" t="s">
        <v>1681</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694</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68" t="s">
        <v>1682</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6" t="s">
        <v>1683</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694</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68" t="s">
        <v>1684</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1685</v>
      </c>
      <c r="BC1038" s="1072"/>
      <c r="BD1038" s="1072"/>
      <c r="BE1038" s="1072"/>
    </row>
    <row r="1039" spans="1:57" ht="12.9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0.68571428571428572</v>
      </c>
      <c r="BB1039" s="3" t="s">
        <v>1686</v>
      </c>
    </row>
    <row r="1040" spans="1:57" ht="12.9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1687</v>
      </c>
    </row>
    <row r="1041" spans="1:56" ht="12.95" customHeight="1">
      <c r="A1041" s="13"/>
      <c r="B1041" s="61"/>
      <c r="C1041" s="96" t="s">
        <v>1688</v>
      </c>
      <c r="D1041" s="1446" t="s">
        <v>1689</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694</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1690</v>
      </c>
    </row>
    <row r="1042" spans="1:56" ht="12.95" customHeight="1">
      <c r="A1042" s="13"/>
      <c r="B1042" s="58"/>
      <c r="C1042" s="1190"/>
      <c r="D1042" s="1459" t="s">
        <v>1691</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1692</v>
      </c>
    </row>
    <row r="1043" spans="1:56" ht="12.9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1693</v>
      </c>
      <c r="D1045" s="1456" t="s">
        <v>1694</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2569284</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1695</v>
      </c>
      <c r="BB1045" s="3"/>
      <c r="BC1045" s="3"/>
      <c r="BD1045" s="3"/>
    </row>
    <row r="1046" spans="1:56" ht="12.95" customHeight="1">
      <c r="A1046" s="13"/>
      <c r="B1046" s="58"/>
      <c r="C1046" s="345"/>
      <c r="D1046" s="1459" t="s">
        <v>1696</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2464758.9</v>
      </c>
      <c r="BA1046" s="1071">
        <f>IF(BA1040,20%,15%)</f>
        <v>0.15</v>
      </c>
      <c r="BB1046" s="3" t="s">
        <v>1697</v>
      </c>
      <c r="BC1046" s="3" t="s">
        <v>1698</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1697</v>
      </c>
      <c r="BC1047" s="3" t="s">
        <v>1699</v>
      </c>
      <c r="BD1047" s="3"/>
    </row>
    <row r="1048" spans="1:56" ht="12.95" customHeight="1">
      <c r="A1048" s="13"/>
      <c r="B1048" s="59"/>
      <c r="C1048" s="60"/>
      <c r="D1048" s="97" t="s">
        <v>1700</v>
      </c>
      <c r="E1048" s="6"/>
      <c r="F1048" s="6"/>
      <c r="G1048" s="6"/>
      <c r="H1048" s="6"/>
      <c r="I1048" s="1521">
        <f>AY1003</f>
        <v>35</v>
      </c>
      <c r="J1048" s="1522"/>
      <c r="K1048" s="6"/>
      <c r="L1048" s="6"/>
      <c r="M1048" s="6"/>
      <c r="N1048" s="6"/>
      <c r="O1048" s="6"/>
      <c r="P1048" s="6"/>
      <c r="Q1048" s="6"/>
      <c r="R1048" s="6"/>
      <c r="S1048" s="6"/>
      <c r="T1048" s="6"/>
      <c r="U1048" s="6"/>
      <c r="V1048" s="98" t="s">
        <v>1701</v>
      </c>
      <c r="W1048" s="40"/>
      <c r="X1048" s="1519">
        <f>CI753</f>
        <v>7</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1697</v>
      </c>
      <c r="BC1048" s="3" t="s">
        <v>1702</v>
      </c>
      <c r="BD1048" s="3"/>
    </row>
    <row r="1049" spans="1:56" ht="12.95" customHeight="1">
      <c r="A1049" s="13"/>
      <c r="B1049" s="61"/>
      <c r="C1049" s="96" t="s">
        <v>1703</v>
      </c>
      <c r="D1049" s="1446" t="s">
        <v>1704</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12332563.199999999</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1697</v>
      </c>
      <c r="BC1049" s="3" t="s">
        <v>1705</v>
      </c>
      <c r="BD1049" s="3"/>
    </row>
    <row r="1050" spans="1:56" ht="12.95" customHeight="1">
      <c r="A1050" s="13"/>
      <c r="B1050" s="58"/>
      <c r="C1050" s="345"/>
      <c r="D1050" s="1459" t="s">
        <v>1706</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2464758</v>
      </c>
      <c r="BA1051" s="3" t="s">
        <v>1707</v>
      </c>
      <c r="BB1051" s="3"/>
      <c r="BC1051" s="3"/>
      <c r="BD1051" s="3" cm="1">
        <f t="array" ref="BD1051">_xlfn.IFS(BA1040,3000000,AND(BA1041&gt;=25%,BA1042&gt;=15),2800000,TRUE,2500000)</f>
        <v>2500000</v>
      </c>
    </row>
    <row r="1052" spans="1:56" ht="12.95" customHeight="1">
      <c r="A1052" s="13"/>
      <c r="B1052" s="59"/>
      <c r="C1052" s="60"/>
      <c r="D1052" s="97" t="s">
        <v>1700</v>
      </c>
      <c r="E1052" s="6"/>
      <c r="F1052" s="6"/>
      <c r="G1052" s="6"/>
      <c r="H1052" s="6"/>
      <c r="I1052" s="1521">
        <f>AY1003</f>
        <v>35</v>
      </c>
      <c r="J1052" s="1522"/>
      <c r="K1052" s="13"/>
      <c r="L1052" s="6"/>
      <c r="M1052" s="6"/>
      <c r="N1052" s="6"/>
      <c r="O1052" s="6"/>
      <c r="P1052" s="6"/>
      <c r="Q1052" s="6"/>
      <c r="R1052" s="6"/>
      <c r="S1052" s="6"/>
      <c r="T1052" s="6"/>
      <c r="U1052" s="6"/>
      <c r="V1052" s="98" t="s">
        <v>1708</v>
      </c>
      <c r="X1052" s="1519">
        <f>CM753</f>
        <v>17</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1709</v>
      </c>
      <c r="BC1052" s="3"/>
      <c r="BD1052" s="3">
        <v>6666667</v>
      </c>
    </row>
    <row r="1053" spans="1:56" ht="12.95" customHeight="1">
      <c r="A1053" s="13"/>
      <c r="B1053" s="77"/>
      <c r="C1053" s="1197"/>
      <c r="D1053" s="1517" t="s">
        <v>1710</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30317551.199999999</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1711</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1712</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2464758</v>
      </c>
      <c r="BB1055" s="3" t="s">
        <v>1713</v>
      </c>
      <c r="BC1055" s="3"/>
      <c r="BD1055" s="3"/>
    </row>
    <row r="1056" spans="1:56" ht="12.95" customHeight="1">
      <c r="A1056" s="13"/>
      <c r="B1056" s="1179"/>
      <c r="C1056" s="1179"/>
      <c r="D1056" s="1179"/>
      <c r="E1056" s="1179"/>
      <c r="F1056" s="1179"/>
      <c r="G1056" s="1065" t="s">
        <v>1714</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18896485</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2464758.9</v>
      </c>
      <c r="BB1056" s="3" t="s">
        <v>1715</v>
      </c>
      <c r="BC1056" s="3"/>
      <c r="BD1056" s="3"/>
    </row>
    <row r="1057" spans="1:54" ht="12.95" customHeight="1">
      <c r="A1057" s="13"/>
      <c r="B1057" s="1179"/>
      <c r="C1057" s="1179"/>
      <c r="D1057" s="1179"/>
      <c r="E1057" s="1179"/>
      <c r="F1057" s="1179"/>
      <c r="G1057" s="1065"/>
      <c r="H1057" s="1065" t="s">
        <v>1716</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1.2257944236604439</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2464759</v>
      </c>
      <c r="BB1058" s="3" t="s">
        <v>1717</v>
      </c>
    </row>
    <row r="1059" spans="1:54" ht="12.9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1</v>
      </c>
      <c r="BB1059" s="3" t="s">
        <v>1718</v>
      </c>
    </row>
    <row r="1060" spans="1:54" ht="12.9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2.95" customHeight="1">
      <c r="A1061" s="1334" t="s">
        <v>1719</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1720</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1721</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811</v>
      </c>
      <c r="B1065" s="1294"/>
      <c r="C1065" s="1295">
        <v>1</v>
      </c>
      <c r="D1065" s="1295"/>
      <c r="E1065" s="13" t="s">
        <v>1722</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811</v>
      </c>
      <c r="B1067" s="1294"/>
      <c r="C1067" s="1295">
        <v>2</v>
      </c>
      <c r="D1067" s="1295"/>
      <c r="E1067" s="1298" t="s">
        <v>1723</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811</v>
      </c>
      <c r="B1070" s="1294"/>
      <c r="C1070" s="1297">
        <v>3</v>
      </c>
      <c r="D1070" s="1297"/>
      <c r="E1070" s="1254" t="s">
        <v>1724</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811</v>
      </c>
      <c r="B1075" s="1294"/>
      <c r="C1075" s="1297">
        <v>4</v>
      </c>
      <c r="D1075" s="1297"/>
      <c r="E1075" s="1254" t="s">
        <v>1725</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811</v>
      </c>
      <c r="B1081" s="1294"/>
      <c r="C1081" s="1297">
        <v>5</v>
      </c>
      <c r="D1081" s="1297"/>
      <c r="E1081" s="1254" t="s">
        <v>1726</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811</v>
      </c>
      <c r="B1085" s="1294"/>
      <c r="C1085" s="1297">
        <v>6</v>
      </c>
      <c r="D1085" s="1297"/>
      <c r="E1085" s="1254" t="s">
        <v>1727</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811</v>
      </c>
      <c r="B1089" s="1294"/>
      <c r="C1089" s="1297">
        <v>7</v>
      </c>
      <c r="D1089" s="1297"/>
      <c r="E1089" s="1254" t="s">
        <v>1728</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811</v>
      </c>
      <c r="B1094" s="1294"/>
      <c r="C1094" s="1297">
        <v>8</v>
      </c>
      <c r="D1094" s="1297"/>
      <c r="E1094" s="1254" t="s">
        <v>1729</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811</v>
      </c>
      <c r="B1097" s="1294"/>
      <c r="C1097" s="1295">
        <v>9</v>
      </c>
      <c r="D1097" s="1295"/>
      <c r="E1097" s="1254" t="s">
        <v>1730</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811</v>
      </c>
      <c r="B1100" s="1294"/>
      <c r="C1100" s="1295">
        <v>10</v>
      </c>
      <c r="D1100" s="1295"/>
      <c r="E1100" s="1296" t="s">
        <v>1731</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811</v>
      </c>
      <c r="B1103" s="1294"/>
      <c r="C1103" s="1295">
        <v>11</v>
      </c>
      <c r="D1103" s="1295"/>
      <c r="E1103" s="1296" t="s">
        <v>1732</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1733</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workbookViewId="0">
      <selection activeCell="B112" sqref="B112"/>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1734</v>
      </c>
      <c r="B1" s="91"/>
      <c r="C1" s="91"/>
      <c r="D1" s="91"/>
      <c r="E1" s="92"/>
      <c r="F1" s="1791" t="s">
        <v>1735</v>
      </c>
      <c r="G1" s="1792"/>
      <c r="H1" s="1792"/>
      <c r="I1" s="1792"/>
      <c r="J1" s="1792"/>
      <c r="K1" s="1792"/>
      <c r="L1" s="1792"/>
      <c r="M1" s="1792"/>
      <c r="N1" s="1792"/>
      <c r="O1" s="1792"/>
      <c r="P1" s="1792"/>
      <c r="Q1" s="1792"/>
      <c r="R1" s="1793"/>
      <c r="S1" s="80"/>
      <c r="T1" s="79"/>
      <c r="U1" s="81"/>
    </row>
    <row r="2" spans="1:21" s="101" customFormat="1" ht="71.25" customHeight="1">
      <c r="A2" s="100"/>
      <c r="B2" s="101" t="s">
        <v>1736</v>
      </c>
      <c r="C2" s="101" t="s">
        <v>1737</v>
      </c>
      <c r="D2" s="101" t="s">
        <v>1738</v>
      </c>
      <c r="E2" s="101" t="s">
        <v>1739</v>
      </c>
      <c r="F2" s="102" t="str">
        <f>Application!B627&amp;Application!C627</f>
        <v>1)Banc of California</v>
      </c>
      <c r="G2" s="102" t="str">
        <f>Application!B628&amp;Application!C628</f>
        <v>2)City of Bakersfield  AHTF 25-26</v>
      </c>
      <c r="H2" s="102" t="str">
        <f>Application!B629&amp;Application!C629</f>
        <v>3)City of Bakersfield AHTF 22-23</v>
      </c>
      <c r="I2" s="102" t="str">
        <f>Application!B630&amp;Application!C630</f>
        <v>4)City of Bakersfeild - REAP 2022</v>
      </c>
      <c r="J2" s="102" t="str">
        <f>Application!B631&amp;Application!C631</f>
        <v>5)City of Bakersfield - TCC</v>
      </c>
      <c r="K2" s="102" t="str">
        <f>Application!B632&amp;Application!C632</f>
        <v>6)Deferred Developer Fee</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1740</v>
      </c>
      <c r="S2" s="101" t="s">
        <v>1741</v>
      </c>
      <c r="T2" s="101" t="s">
        <v>1742</v>
      </c>
      <c r="U2" s="103"/>
    </row>
    <row r="3" spans="1:21" s="105" customFormat="1">
      <c r="A3" s="104" t="s">
        <v>1743</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1744</v>
      </c>
      <c r="B4" s="245">
        <f>SUM(C4+D4)</f>
        <v>0</v>
      </c>
      <c r="C4" s="873"/>
      <c r="D4" s="873"/>
      <c r="E4" s="873"/>
      <c r="F4" s="873"/>
      <c r="G4" s="873"/>
      <c r="H4" s="873"/>
      <c r="I4" s="873"/>
      <c r="J4" s="873"/>
      <c r="K4" s="873"/>
      <c r="L4" s="873"/>
      <c r="M4" s="873"/>
      <c r="N4" s="873"/>
      <c r="O4" s="873"/>
      <c r="P4" s="873"/>
      <c r="Q4" s="873"/>
      <c r="R4" s="416">
        <f>SUM(E4:Q4)</f>
        <v>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1745</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1746</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1747</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6"/>
      <c r="T8" s="1206"/>
      <c r="U8" s="1205"/>
    </row>
    <row r="9" spans="1:21" s="105" customFormat="1">
      <c r="A9" s="195" t="s">
        <v>1748</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1749</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1750</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1751</v>
      </c>
      <c r="B12" s="245">
        <f t="shared" ref="B12:Q12" si="2">SUM(B8+B11)</f>
        <v>0</v>
      </c>
      <c r="C12" s="245">
        <f t="shared" si="2"/>
        <v>0</v>
      </c>
      <c r="D12" s="245">
        <f t="shared" si="2"/>
        <v>0</v>
      </c>
      <c r="E12" s="245">
        <f t="shared" si="2"/>
        <v>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0</v>
      </c>
      <c r="S12" s="1206"/>
      <c r="T12" s="1206"/>
      <c r="U12" s="1205"/>
    </row>
    <row r="13" spans="1:21" s="105" customFormat="1">
      <c r="A13" s="197" t="s">
        <v>1752</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4">
      <c r="A14" s="198" t="s">
        <v>1753</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1754</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1755</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1756</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1757</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1758</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1759</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1760</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1761</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1762</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1763</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1764</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1765</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1766</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1767</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1756</v>
      </c>
      <c r="B29" s="245">
        <f t="shared" ref="B29:B38" si="6">SUM(C29+D29)</f>
        <v>1312500</v>
      </c>
      <c r="C29" s="873">
        <v>1312500</v>
      </c>
      <c r="D29" s="873"/>
      <c r="E29" s="873">
        <f>SUM(C29+D29-(F29+G29+H29+I29))</f>
        <v>1312500</v>
      </c>
      <c r="F29" s="873"/>
      <c r="G29" s="873"/>
      <c r="H29" s="873"/>
      <c r="I29" s="873"/>
      <c r="J29" s="873"/>
      <c r="K29" s="873"/>
      <c r="L29" s="873"/>
      <c r="M29" s="873"/>
      <c r="N29" s="873"/>
      <c r="O29" s="873"/>
      <c r="P29" s="873"/>
      <c r="Q29" s="873"/>
      <c r="R29" s="416">
        <f t="shared" ref="R29:R37" si="7">SUM(E29:Q29)</f>
        <v>1312500</v>
      </c>
      <c r="S29" s="873">
        <f>R29</f>
        <v>1312500</v>
      </c>
      <c r="T29" s="873"/>
      <c r="U29" s="1205"/>
    </row>
    <row r="30" spans="1:21" s="105" customFormat="1">
      <c r="A30" s="195" t="s">
        <v>1757</v>
      </c>
      <c r="B30" s="245">
        <f t="shared" si="6"/>
        <v>11309625</v>
      </c>
      <c r="C30" s="873">
        <v>11309625</v>
      </c>
      <c r="D30" s="873"/>
      <c r="E30" s="873">
        <f>SUM(C30+D30-(F30+G30+H30+I30+J30))</f>
        <v>2542088</v>
      </c>
      <c r="F30" s="873">
        <v>2100000</v>
      </c>
      <c r="G30" s="873">
        <v>3500000</v>
      </c>
      <c r="H30" s="873">
        <v>2000000</v>
      </c>
      <c r="I30" s="873">
        <v>167537</v>
      </c>
      <c r="J30" s="873">
        <v>1000000</v>
      </c>
      <c r="K30" s="873"/>
      <c r="L30" s="873"/>
      <c r="M30" s="873"/>
      <c r="N30" s="873"/>
      <c r="O30" s="873"/>
      <c r="P30" s="873"/>
      <c r="Q30" s="873"/>
      <c r="R30" s="416">
        <f t="shared" si="7"/>
        <v>11309625</v>
      </c>
      <c r="S30" s="873">
        <f t="shared" ref="S30:S36" si="8">R30</f>
        <v>11309625</v>
      </c>
      <c r="T30" s="873"/>
      <c r="U30" s="1205"/>
    </row>
    <row r="31" spans="1:21" s="105" customFormat="1">
      <c r="A31" s="195" t="s">
        <v>1758</v>
      </c>
      <c r="B31" s="245">
        <f t="shared" si="6"/>
        <v>614350</v>
      </c>
      <c r="C31" s="873">
        <v>614350</v>
      </c>
      <c r="D31" s="873"/>
      <c r="E31" s="873">
        <f t="shared" ref="E31:E37" si="9">SUM(C31+D31-(F31+G31+H31+I31))</f>
        <v>614350</v>
      </c>
      <c r="F31" s="873"/>
      <c r="G31" s="873"/>
      <c r="H31" s="873"/>
      <c r="I31" s="873"/>
      <c r="J31" s="873"/>
      <c r="K31" s="873"/>
      <c r="L31" s="873"/>
      <c r="M31" s="873"/>
      <c r="N31" s="873"/>
      <c r="O31" s="873"/>
      <c r="P31" s="873"/>
      <c r="Q31" s="873"/>
      <c r="R31" s="416">
        <f t="shared" si="7"/>
        <v>614350</v>
      </c>
      <c r="S31" s="873">
        <f t="shared" si="8"/>
        <v>614350</v>
      </c>
      <c r="T31" s="873"/>
      <c r="U31" s="1205"/>
    </row>
    <row r="32" spans="1:21" s="105" customFormat="1">
      <c r="A32" s="195" t="s">
        <v>1759</v>
      </c>
      <c r="B32" s="245">
        <f t="shared" si="6"/>
        <v>307175</v>
      </c>
      <c r="C32" s="873">
        <v>307175</v>
      </c>
      <c r="D32" s="873"/>
      <c r="E32" s="873">
        <f t="shared" si="9"/>
        <v>307175</v>
      </c>
      <c r="F32" s="873"/>
      <c r="G32" s="873"/>
      <c r="H32" s="873"/>
      <c r="I32" s="873"/>
      <c r="J32" s="873"/>
      <c r="K32" s="873"/>
      <c r="L32" s="873"/>
      <c r="M32" s="873"/>
      <c r="N32" s="873"/>
      <c r="O32" s="873"/>
      <c r="P32" s="873"/>
      <c r="Q32" s="873"/>
      <c r="R32" s="416">
        <f t="shared" si="7"/>
        <v>307175</v>
      </c>
      <c r="S32" s="873">
        <f t="shared" si="8"/>
        <v>307175</v>
      </c>
      <c r="T32" s="873"/>
      <c r="U32" s="1205"/>
    </row>
    <row r="33" spans="1:21" s="105" customFormat="1">
      <c r="A33" s="195" t="s">
        <v>1760</v>
      </c>
      <c r="B33" s="245">
        <f t="shared" si="6"/>
        <v>307175</v>
      </c>
      <c r="C33" s="873">
        <v>307175</v>
      </c>
      <c r="D33" s="873"/>
      <c r="E33" s="873">
        <f t="shared" si="9"/>
        <v>307175</v>
      </c>
      <c r="F33" s="873"/>
      <c r="G33" s="873"/>
      <c r="H33" s="873"/>
      <c r="I33" s="873"/>
      <c r="J33" s="873"/>
      <c r="K33" s="873"/>
      <c r="L33" s="873"/>
      <c r="M33" s="873"/>
      <c r="N33" s="873"/>
      <c r="O33" s="873"/>
      <c r="P33" s="873"/>
      <c r="Q33" s="873"/>
      <c r="R33" s="416">
        <f t="shared" si="7"/>
        <v>307175</v>
      </c>
      <c r="S33" s="873">
        <f t="shared" si="8"/>
        <v>307175</v>
      </c>
      <c r="T33" s="873"/>
      <c r="U33" s="1205"/>
    </row>
    <row r="34" spans="1:21" s="105" customFormat="1">
      <c r="A34" s="195" t="s">
        <v>1761</v>
      </c>
      <c r="B34" s="245">
        <f t="shared" si="6"/>
        <v>0</v>
      </c>
      <c r="C34" s="873"/>
      <c r="D34" s="873"/>
      <c r="E34" s="873">
        <f t="shared" si="9"/>
        <v>0</v>
      </c>
      <c r="F34" s="873"/>
      <c r="G34" s="873"/>
      <c r="H34" s="873"/>
      <c r="I34" s="873"/>
      <c r="J34" s="873"/>
      <c r="K34" s="873"/>
      <c r="L34" s="873"/>
      <c r="M34" s="873"/>
      <c r="N34" s="873"/>
      <c r="O34" s="873"/>
      <c r="P34" s="873"/>
      <c r="Q34" s="873"/>
      <c r="R34" s="416">
        <f t="shared" si="7"/>
        <v>0</v>
      </c>
      <c r="S34" s="873">
        <f t="shared" si="8"/>
        <v>0</v>
      </c>
      <c r="T34" s="873"/>
      <c r="U34" s="1205"/>
    </row>
    <row r="35" spans="1:21" s="105" customFormat="1">
      <c r="A35" s="195" t="s">
        <v>1762</v>
      </c>
      <c r="B35" s="245">
        <f t="shared" si="6"/>
        <v>226193</v>
      </c>
      <c r="C35" s="873">
        <v>226193</v>
      </c>
      <c r="D35" s="873"/>
      <c r="E35" s="873">
        <f t="shared" si="9"/>
        <v>226193</v>
      </c>
      <c r="F35" s="873"/>
      <c r="G35" s="873"/>
      <c r="H35" s="873"/>
      <c r="I35" s="873"/>
      <c r="J35" s="873"/>
      <c r="K35" s="873"/>
      <c r="L35" s="873"/>
      <c r="M35" s="873"/>
      <c r="N35" s="873"/>
      <c r="O35" s="873"/>
      <c r="P35" s="873"/>
      <c r="Q35" s="873"/>
      <c r="R35" s="416">
        <f t="shared" si="7"/>
        <v>226193</v>
      </c>
      <c r="S35" s="873">
        <f t="shared" si="8"/>
        <v>226193</v>
      </c>
      <c r="T35" s="873"/>
      <c r="U35" s="1205"/>
    </row>
    <row r="36" spans="1:21" s="105" customFormat="1">
      <c r="A36" s="195" t="s">
        <v>1763</v>
      </c>
      <c r="B36" s="245">
        <f t="shared" si="6"/>
        <v>0</v>
      </c>
      <c r="C36" s="873"/>
      <c r="D36" s="873"/>
      <c r="E36" s="873">
        <f t="shared" si="9"/>
        <v>0</v>
      </c>
      <c r="F36" s="873"/>
      <c r="G36" s="873"/>
      <c r="H36" s="873"/>
      <c r="I36" s="873"/>
      <c r="J36" s="873"/>
      <c r="K36" s="873"/>
      <c r="L36" s="873"/>
      <c r="M36" s="873"/>
      <c r="N36" s="873"/>
      <c r="O36" s="873"/>
      <c r="P36" s="873"/>
      <c r="Q36" s="873"/>
      <c r="R36" s="416">
        <f t="shared" si="7"/>
        <v>0</v>
      </c>
      <c r="S36" s="873">
        <f t="shared" si="8"/>
        <v>0</v>
      </c>
      <c r="T36" s="873"/>
      <c r="U36" s="1205"/>
    </row>
    <row r="37" spans="1:21" s="105" customFormat="1">
      <c r="A37" s="1038" t="s">
        <v>1764</v>
      </c>
      <c r="B37" s="245">
        <f t="shared" si="6"/>
        <v>0</v>
      </c>
      <c r="C37" s="873"/>
      <c r="D37" s="873"/>
      <c r="E37" s="873">
        <f t="shared" si="9"/>
        <v>0</v>
      </c>
      <c r="F37" s="873"/>
      <c r="G37" s="873"/>
      <c r="H37" s="873"/>
      <c r="I37" s="873"/>
      <c r="J37" s="873"/>
      <c r="K37" s="873"/>
      <c r="L37" s="873"/>
      <c r="M37" s="873"/>
      <c r="N37" s="873"/>
      <c r="O37" s="873"/>
      <c r="P37" s="873"/>
      <c r="Q37" s="873"/>
      <c r="R37" s="416">
        <f t="shared" si="7"/>
        <v>0</v>
      </c>
      <c r="S37" s="873"/>
      <c r="T37" s="873"/>
      <c r="U37" s="1205"/>
    </row>
    <row r="38" spans="1:21" s="105" customFormat="1">
      <c r="A38" s="106" t="s">
        <v>1768</v>
      </c>
      <c r="B38" s="245">
        <f t="shared" si="6"/>
        <v>14077018</v>
      </c>
      <c r="C38" s="245">
        <f>SUM(C29:C37)</f>
        <v>14077018</v>
      </c>
      <c r="D38" s="245">
        <f t="shared" ref="D38:Q38" si="10">SUM(D29:D37)</f>
        <v>0</v>
      </c>
      <c r="E38" s="245">
        <f t="shared" si="10"/>
        <v>5309481</v>
      </c>
      <c r="F38" s="245">
        <f t="shared" si="10"/>
        <v>2100000</v>
      </c>
      <c r="G38" s="245">
        <f t="shared" si="10"/>
        <v>3500000</v>
      </c>
      <c r="H38" s="245">
        <f t="shared" si="10"/>
        <v>2000000</v>
      </c>
      <c r="I38" s="245">
        <f t="shared" si="10"/>
        <v>167537</v>
      </c>
      <c r="J38" s="245">
        <f t="shared" si="10"/>
        <v>1000000</v>
      </c>
      <c r="K38" s="245">
        <f t="shared" si="10"/>
        <v>0</v>
      </c>
      <c r="L38" s="245">
        <f t="shared" si="10"/>
        <v>0</v>
      </c>
      <c r="M38" s="245">
        <f t="shared" si="10"/>
        <v>0</v>
      </c>
      <c r="N38" s="245">
        <f t="shared" si="10"/>
        <v>0</v>
      </c>
      <c r="O38" s="245">
        <f t="shared" si="10"/>
        <v>0</v>
      </c>
      <c r="P38" s="245">
        <f t="shared" si="10"/>
        <v>0</v>
      </c>
      <c r="Q38" s="245">
        <f t="shared" si="10"/>
        <v>0</v>
      </c>
      <c r="R38" s="245">
        <f>SUM(R29:R37)</f>
        <v>14077018</v>
      </c>
      <c r="S38" s="107">
        <f>SUM(S29:S37)</f>
        <v>14077018</v>
      </c>
      <c r="T38" s="107">
        <f>SUM(T29:T37)</f>
        <v>0</v>
      </c>
      <c r="U38" s="1205"/>
    </row>
    <row r="39" spans="1:21" s="105" customFormat="1">
      <c r="A39" s="104" t="s">
        <v>1769</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1770</v>
      </c>
      <c r="B40" s="245">
        <f>SUM(C40+D40)</f>
        <v>474725</v>
      </c>
      <c r="C40" s="873">
        <v>474725</v>
      </c>
      <c r="D40" s="873"/>
      <c r="E40" s="873">
        <v>474725</v>
      </c>
      <c r="F40" s="873"/>
      <c r="G40" s="873"/>
      <c r="H40" s="873"/>
      <c r="I40" s="873"/>
      <c r="J40" s="873"/>
      <c r="K40" s="873"/>
      <c r="L40" s="873"/>
      <c r="M40" s="873"/>
      <c r="N40" s="873"/>
      <c r="O40" s="873"/>
      <c r="P40" s="873"/>
      <c r="Q40" s="873"/>
      <c r="R40" s="416">
        <f>SUM(E40:Q40)</f>
        <v>474725</v>
      </c>
      <c r="S40" s="873">
        <f>R40</f>
        <v>474725</v>
      </c>
      <c r="T40" s="873"/>
      <c r="U40" s="1205"/>
    </row>
    <row r="41" spans="1:21" s="105" customFormat="1">
      <c r="A41" s="195" t="s">
        <v>1771</v>
      </c>
      <c r="B41" s="245">
        <f>SUM(C41+D41)</f>
        <v>27925</v>
      </c>
      <c r="C41" s="873">
        <v>27925</v>
      </c>
      <c r="D41" s="873"/>
      <c r="E41" s="873">
        <v>27925</v>
      </c>
      <c r="F41" s="873"/>
      <c r="G41" s="873"/>
      <c r="H41" s="873"/>
      <c r="I41" s="873"/>
      <c r="J41" s="873"/>
      <c r="K41" s="873"/>
      <c r="L41" s="873"/>
      <c r="M41" s="873"/>
      <c r="N41" s="873"/>
      <c r="O41" s="873"/>
      <c r="P41" s="873"/>
      <c r="Q41" s="873"/>
      <c r="R41" s="416">
        <f>SUM(E41:Q41)</f>
        <v>27925</v>
      </c>
      <c r="S41" s="873">
        <f>R41</f>
        <v>27925</v>
      </c>
      <c r="T41" s="873"/>
      <c r="U41" s="1205"/>
    </row>
    <row r="42" spans="1:21" s="105" customFormat="1">
      <c r="A42" s="106" t="s">
        <v>1772</v>
      </c>
      <c r="B42" s="245">
        <f>SUM(C42:D42)</f>
        <v>502650</v>
      </c>
      <c r="C42" s="245">
        <f>SUM(C39:C41)</f>
        <v>502650</v>
      </c>
      <c r="D42" s="245">
        <f>SUM(D39:D41)</f>
        <v>0</v>
      </c>
      <c r="E42" s="245">
        <f t="shared" ref="E42:T42" si="11">SUM(E40:E41)</f>
        <v>502650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502650</v>
      </c>
      <c r="S42" s="107">
        <f t="shared" si="11"/>
        <v>502650</v>
      </c>
      <c r="T42" s="107">
        <f t="shared" si="11"/>
        <v>0</v>
      </c>
      <c r="U42" s="1205"/>
    </row>
    <row r="43" spans="1:21" s="105" customFormat="1">
      <c r="A43" s="106" t="s">
        <v>1773</v>
      </c>
      <c r="B43" s="245">
        <f>SUM(C43:D43)</f>
        <v>55850</v>
      </c>
      <c r="C43" s="873">
        <v>55850</v>
      </c>
      <c r="D43" s="873"/>
      <c r="E43" s="873">
        <f t="shared" ref="E43" si="12">SUM(C43+D43-(F43+G43+H43+I43))</f>
        <v>55850</v>
      </c>
      <c r="F43" s="873"/>
      <c r="G43" s="873"/>
      <c r="H43" s="873"/>
      <c r="I43" s="873"/>
      <c r="J43" s="873"/>
      <c r="K43" s="873"/>
      <c r="L43" s="873"/>
      <c r="M43" s="873"/>
      <c r="N43" s="873"/>
      <c r="O43" s="873"/>
      <c r="P43" s="873"/>
      <c r="Q43" s="873"/>
      <c r="R43" s="416">
        <f>SUM(E43:Q43)</f>
        <v>55850</v>
      </c>
      <c r="S43" s="873">
        <f>R43</f>
        <v>55850</v>
      </c>
      <c r="T43" s="873"/>
      <c r="U43" s="1205"/>
    </row>
    <row r="44" spans="1:21" s="105" customFormat="1">
      <c r="A44" s="104" t="s">
        <v>1774</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1775</v>
      </c>
      <c r="B45" s="245">
        <f t="shared" ref="B45:B53" si="13">SUM(C45+D45)</f>
        <v>532000</v>
      </c>
      <c r="C45" s="873">
        <v>532000</v>
      </c>
      <c r="D45" s="873"/>
      <c r="E45" s="873"/>
      <c r="F45" s="873"/>
      <c r="G45" s="873"/>
      <c r="H45" s="873"/>
      <c r="I45" s="873"/>
      <c r="J45" s="873">
        <v>532000</v>
      </c>
      <c r="K45" s="873"/>
      <c r="L45" s="873"/>
      <c r="M45" s="873"/>
      <c r="N45" s="873"/>
      <c r="O45" s="873"/>
      <c r="P45" s="873"/>
      <c r="Q45" s="873"/>
      <c r="R45" s="416">
        <f t="shared" ref="R45:R53" si="14">SUM(E45:Q45)</f>
        <v>532000</v>
      </c>
      <c r="S45" s="873">
        <v>319200</v>
      </c>
      <c r="T45" s="873"/>
      <c r="U45" s="1205"/>
    </row>
    <row r="46" spans="1:21" s="105" customFormat="1">
      <c r="A46" s="195" t="s">
        <v>1776</v>
      </c>
      <c r="B46" s="245">
        <f t="shared" si="13"/>
        <v>57000</v>
      </c>
      <c r="C46" s="873">
        <v>57000</v>
      </c>
      <c r="D46" s="873"/>
      <c r="E46" s="873"/>
      <c r="F46" s="873"/>
      <c r="G46" s="873"/>
      <c r="H46" s="873"/>
      <c r="I46" s="873"/>
      <c r="J46" s="873">
        <v>57000</v>
      </c>
      <c r="K46" s="873"/>
      <c r="L46" s="873"/>
      <c r="M46" s="873"/>
      <c r="N46" s="873"/>
      <c r="O46" s="873"/>
      <c r="P46" s="873"/>
      <c r="Q46" s="873"/>
      <c r="R46" s="416">
        <f t="shared" si="14"/>
        <v>57000</v>
      </c>
      <c r="S46" s="873">
        <v>34200</v>
      </c>
      <c r="T46" s="873"/>
      <c r="U46" s="1205"/>
    </row>
    <row r="47" spans="1:21" s="105" customFormat="1">
      <c r="A47" s="1207" t="s">
        <v>1777</v>
      </c>
      <c r="B47" s="245">
        <f t="shared" si="13"/>
        <v>0</v>
      </c>
      <c r="C47" s="873"/>
      <c r="D47" s="873"/>
      <c r="E47" s="873"/>
      <c r="F47" s="873"/>
      <c r="G47" s="873"/>
      <c r="H47" s="873"/>
      <c r="I47" s="873"/>
      <c r="J47" s="873"/>
      <c r="K47" s="873"/>
      <c r="L47" s="873"/>
      <c r="M47" s="873"/>
      <c r="N47" s="873"/>
      <c r="O47" s="873"/>
      <c r="P47" s="873"/>
      <c r="Q47" s="873"/>
      <c r="R47" s="416">
        <f t="shared" si="14"/>
        <v>0</v>
      </c>
      <c r="S47" s="873"/>
      <c r="T47" s="873"/>
      <c r="U47" s="1205"/>
    </row>
    <row r="48" spans="1:21" s="105" customFormat="1">
      <c r="A48" s="195" t="s">
        <v>1778</v>
      </c>
      <c r="B48" s="245">
        <f t="shared" si="13"/>
        <v>0</v>
      </c>
      <c r="C48" s="873"/>
      <c r="D48" s="873"/>
      <c r="E48" s="873"/>
      <c r="F48" s="873"/>
      <c r="G48" s="873"/>
      <c r="H48" s="873"/>
      <c r="I48" s="873"/>
      <c r="J48" s="873"/>
      <c r="K48" s="873"/>
      <c r="L48" s="873"/>
      <c r="M48" s="873"/>
      <c r="N48" s="873"/>
      <c r="O48" s="873"/>
      <c r="P48" s="873"/>
      <c r="Q48" s="873"/>
      <c r="R48" s="416">
        <f t="shared" si="14"/>
        <v>0</v>
      </c>
      <c r="S48" s="873"/>
      <c r="T48" s="873"/>
      <c r="U48" s="1205"/>
    </row>
    <row r="49" spans="1:21" s="105" customFormat="1">
      <c r="A49" s="195" t="s">
        <v>1779</v>
      </c>
      <c r="B49" s="245">
        <f t="shared" si="13"/>
        <v>0</v>
      </c>
      <c r="C49" s="873"/>
      <c r="D49" s="873"/>
      <c r="E49" s="873"/>
      <c r="F49" s="873"/>
      <c r="G49" s="873"/>
      <c r="H49" s="873"/>
      <c r="I49" s="873"/>
      <c r="J49" s="873"/>
      <c r="K49" s="873"/>
      <c r="L49" s="873"/>
      <c r="M49" s="873"/>
      <c r="N49" s="873"/>
      <c r="O49" s="873"/>
      <c r="P49" s="873"/>
      <c r="Q49" s="873"/>
      <c r="R49" s="416">
        <f t="shared" si="14"/>
        <v>0</v>
      </c>
      <c r="S49" s="873"/>
      <c r="T49" s="873"/>
      <c r="U49" s="1205"/>
    </row>
    <row r="50" spans="1:21" s="105" customFormat="1">
      <c r="A50" s="195" t="s">
        <v>1780</v>
      </c>
      <c r="B50" s="245">
        <f t="shared" si="13"/>
        <v>27925</v>
      </c>
      <c r="C50" s="873">
        <v>27925</v>
      </c>
      <c r="D50" s="873"/>
      <c r="E50" s="873"/>
      <c r="F50" s="873"/>
      <c r="G50" s="873"/>
      <c r="H50" s="873"/>
      <c r="I50" s="873"/>
      <c r="J50" s="873">
        <v>27925</v>
      </c>
      <c r="K50" s="873"/>
      <c r="L50" s="873"/>
      <c r="M50" s="873"/>
      <c r="N50" s="873"/>
      <c r="O50" s="873"/>
      <c r="P50" s="873"/>
      <c r="Q50" s="873"/>
      <c r="R50" s="416">
        <f t="shared" si="14"/>
        <v>27925</v>
      </c>
      <c r="S50" s="873">
        <f>R50</f>
        <v>27925</v>
      </c>
      <c r="T50" s="873"/>
      <c r="U50" s="1205"/>
    </row>
    <row r="51" spans="1:21" s="105" customFormat="1">
      <c r="A51" s="195" t="s">
        <v>1781</v>
      </c>
      <c r="B51" s="245">
        <f t="shared" si="13"/>
        <v>1955</v>
      </c>
      <c r="C51" s="873">
        <v>1955</v>
      </c>
      <c r="D51" s="873"/>
      <c r="E51" s="873"/>
      <c r="F51" s="873"/>
      <c r="G51" s="873"/>
      <c r="H51" s="873"/>
      <c r="I51" s="873"/>
      <c r="J51" s="873">
        <v>1955</v>
      </c>
      <c r="K51" s="873"/>
      <c r="L51" s="873"/>
      <c r="M51" s="873"/>
      <c r="N51" s="873"/>
      <c r="O51" s="873"/>
      <c r="P51" s="873"/>
      <c r="Q51" s="873"/>
      <c r="R51" s="416">
        <f t="shared" si="14"/>
        <v>1955</v>
      </c>
      <c r="S51" s="873">
        <f t="shared" ref="S51:S53" si="15">R51</f>
        <v>1955</v>
      </c>
      <c r="T51" s="873"/>
      <c r="U51" s="1205"/>
    </row>
    <row r="52" spans="1:21" s="105" customFormat="1">
      <c r="A52" s="195" t="s">
        <v>1782</v>
      </c>
      <c r="B52" s="245">
        <f t="shared" si="13"/>
        <v>5585</v>
      </c>
      <c r="C52" s="873">
        <v>5585</v>
      </c>
      <c r="D52" s="873"/>
      <c r="E52" s="873"/>
      <c r="F52" s="873"/>
      <c r="G52" s="873"/>
      <c r="H52" s="873"/>
      <c r="I52" s="873"/>
      <c r="J52" s="873">
        <v>5585</v>
      </c>
      <c r="K52" s="873"/>
      <c r="L52" s="873"/>
      <c r="M52" s="873"/>
      <c r="N52" s="873"/>
      <c r="O52" s="873"/>
      <c r="P52" s="873"/>
      <c r="Q52" s="873"/>
      <c r="R52" s="416">
        <f t="shared" si="14"/>
        <v>5585</v>
      </c>
      <c r="S52" s="873">
        <f t="shared" si="15"/>
        <v>5585</v>
      </c>
      <c r="T52" s="873"/>
      <c r="U52" s="1205"/>
    </row>
    <row r="53" spans="1:21" s="105" customFormat="1">
      <c r="A53" s="1038" t="s">
        <v>1783</v>
      </c>
      <c r="B53" s="245">
        <f t="shared" si="13"/>
        <v>20900</v>
      </c>
      <c r="C53" s="873">
        <f>15200+5700</f>
        <v>20900</v>
      </c>
      <c r="D53" s="873"/>
      <c r="E53" s="873"/>
      <c r="F53" s="873"/>
      <c r="G53" s="873"/>
      <c r="H53" s="873"/>
      <c r="I53" s="873"/>
      <c r="J53" s="873">
        <v>20900</v>
      </c>
      <c r="K53" s="873"/>
      <c r="L53" s="873"/>
      <c r="M53" s="873"/>
      <c r="N53" s="873"/>
      <c r="O53" s="873"/>
      <c r="P53" s="873"/>
      <c r="Q53" s="873"/>
      <c r="R53" s="416">
        <f t="shared" si="14"/>
        <v>20900</v>
      </c>
      <c r="S53" s="873">
        <f t="shared" si="15"/>
        <v>20900</v>
      </c>
      <c r="T53" s="873"/>
      <c r="U53" s="1205"/>
    </row>
    <row r="54" spans="1:21" s="109" customFormat="1">
      <c r="A54" s="106" t="s">
        <v>1784</v>
      </c>
      <c r="B54" s="107">
        <f>SUM(C54:D54)</f>
        <v>645365</v>
      </c>
      <c r="C54" s="107">
        <f t="shared" ref="C54:T54" si="16">SUM(C45:C53)</f>
        <v>645365</v>
      </c>
      <c r="D54" s="107">
        <f t="shared" si="16"/>
        <v>0</v>
      </c>
      <c r="E54" s="107">
        <f t="shared" si="16"/>
        <v>0</v>
      </c>
      <c r="F54" s="107">
        <f t="shared" si="16"/>
        <v>0</v>
      </c>
      <c r="G54" s="107">
        <f t="shared" si="16"/>
        <v>0</v>
      </c>
      <c r="H54" s="107">
        <f t="shared" si="16"/>
        <v>0</v>
      </c>
      <c r="I54" s="107">
        <f t="shared" si="16"/>
        <v>0</v>
      </c>
      <c r="J54" s="107">
        <f t="shared" si="16"/>
        <v>645365</v>
      </c>
      <c r="K54" s="107">
        <f t="shared" si="16"/>
        <v>0</v>
      </c>
      <c r="L54" s="107">
        <f t="shared" si="16"/>
        <v>0</v>
      </c>
      <c r="M54" s="107">
        <f t="shared" si="16"/>
        <v>0</v>
      </c>
      <c r="N54" s="107">
        <f t="shared" si="16"/>
        <v>0</v>
      </c>
      <c r="O54" s="107">
        <f t="shared" si="16"/>
        <v>0</v>
      </c>
      <c r="P54" s="107">
        <f t="shared" si="16"/>
        <v>0</v>
      </c>
      <c r="Q54" s="107">
        <f t="shared" si="16"/>
        <v>0</v>
      </c>
      <c r="R54" s="245">
        <f t="shared" si="16"/>
        <v>645365</v>
      </c>
      <c r="S54" s="107">
        <f t="shared" si="16"/>
        <v>409765</v>
      </c>
      <c r="T54" s="107">
        <f t="shared" si="16"/>
        <v>0</v>
      </c>
      <c r="U54" s="108"/>
    </row>
    <row r="55" spans="1:21" s="105" customFormat="1">
      <c r="A55" s="104" t="s">
        <v>1330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1785</v>
      </c>
      <c r="B56" s="245">
        <f t="shared" ref="B56:B61" si="17">SUM(C56+D56)</f>
        <v>0</v>
      </c>
      <c r="C56" s="873"/>
      <c r="D56" s="873"/>
      <c r="E56" s="873"/>
      <c r="F56" s="873"/>
      <c r="G56" s="873"/>
      <c r="H56" s="873"/>
      <c r="I56" s="873"/>
      <c r="J56" s="873"/>
      <c r="K56" s="873"/>
      <c r="L56" s="873"/>
      <c r="M56" s="873"/>
      <c r="N56" s="873"/>
      <c r="O56" s="873"/>
      <c r="P56" s="873"/>
      <c r="Q56" s="873"/>
      <c r="R56" s="416">
        <f t="shared" ref="R56:R61" si="18">SUM(E56:Q56)</f>
        <v>0</v>
      </c>
      <c r="S56" s="1206"/>
      <c r="T56" s="1206"/>
      <c r="U56" s="1205"/>
    </row>
    <row r="57" spans="1:21" s="130" customFormat="1">
      <c r="A57" s="1207" t="s">
        <v>1777</v>
      </c>
      <c r="B57" s="1208">
        <f t="shared" si="17"/>
        <v>0</v>
      </c>
      <c r="C57" s="1209"/>
      <c r="D57" s="1209"/>
      <c r="E57" s="1209"/>
      <c r="F57" s="1209"/>
      <c r="G57" s="1209"/>
      <c r="H57" s="1209"/>
      <c r="I57" s="1209"/>
      <c r="J57" s="1209"/>
      <c r="K57" s="1209"/>
      <c r="L57" s="1209"/>
      <c r="M57" s="1209"/>
      <c r="N57" s="1209"/>
      <c r="O57" s="1209"/>
      <c r="P57" s="1209"/>
      <c r="Q57" s="1209"/>
      <c r="R57" s="416">
        <f t="shared" si="18"/>
        <v>0</v>
      </c>
      <c r="S57" s="1210"/>
      <c r="T57" s="1210"/>
      <c r="U57" s="1211"/>
    </row>
    <row r="58" spans="1:21" s="105" customFormat="1">
      <c r="A58" s="195" t="s">
        <v>1780</v>
      </c>
      <c r="B58" s="245">
        <f t="shared" si="17"/>
        <v>10000</v>
      </c>
      <c r="C58" s="873">
        <v>10000</v>
      </c>
      <c r="D58" s="873"/>
      <c r="E58" s="873"/>
      <c r="F58" s="873"/>
      <c r="G58" s="873"/>
      <c r="H58" s="873"/>
      <c r="I58" s="873"/>
      <c r="J58" s="873">
        <v>10000</v>
      </c>
      <c r="K58" s="873"/>
      <c r="L58" s="873"/>
      <c r="M58" s="873"/>
      <c r="N58" s="873"/>
      <c r="O58" s="873"/>
      <c r="P58" s="873"/>
      <c r="Q58" s="873"/>
      <c r="R58" s="416">
        <f t="shared" si="18"/>
        <v>10000</v>
      </c>
      <c r="S58" s="1206"/>
      <c r="T58" s="1206"/>
      <c r="U58" s="1205"/>
    </row>
    <row r="59" spans="1:21" s="105" customFormat="1">
      <c r="A59" s="195" t="s">
        <v>1781</v>
      </c>
      <c r="B59" s="245">
        <f t="shared" si="17"/>
        <v>0</v>
      </c>
      <c r="C59" s="873"/>
      <c r="D59" s="873"/>
      <c r="E59" s="873"/>
      <c r="F59" s="873"/>
      <c r="G59" s="873"/>
      <c r="H59" s="873"/>
      <c r="I59" s="873"/>
      <c r="J59" s="873"/>
      <c r="K59" s="873"/>
      <c r="L59" s="873"/>
      <c r="M59" s="873"/>
      <c r="N59" s="873"/>
      <c r="O59" s="873"/>
      <c r="P59" s="873"/>
      <c r="Q59" s="873"/>
      <c r="R59" s="416">
        <f t="shared" si="18"/>
        <v>0</v>
      </c>
      <c r="S59" s="1206"/>
      <c r="T59" s="1206"/>
      <c r="U59" s="1205"/>
    </row>
    <row r="60" spans="1:21" s="105" customFormat="1">
      <c r="A60" s="195" t="s">
        <v>1782</v>
      </c>
      <c r="B60" s="245">
        <f t="shared" si="17"/>
        <v>0</v>
      </c>
      <c r="C60" s="873"/>
      <c r="D60" s="873"/>
      <c r="E60" s="873"/>
      <c r="F60" s="873"/>
      <c r="G60" s="873"/>
      <c r="H60" s="873"/>
      <c r="I60" s="873"/>
      <c r="J60" s="873"/>
      <c r="K60" s="873"/>
      <c r="L60" s="873"/>
      <c r="M60" s="873"/>
      <c r="N60" s="873"/>
      <c r="O60" s="873"/>
      <c r="P60" s="873"/>
      <c r="Q60" s="873"/>
      <c r="R60" s="416">
        <f t="shared" si="18"/>
        <v>0</v>
      </c>
      <c r="S60" s="1206"/>
      <c r="T60" s="1206"/>
      <c r="U60" s="1205"/>
    </row>
    <row r="61" spans="1:21" s="105" customFormat="1">
      <c r="A61" s="1038" t="s">
        <v>1764</v>
      </c>
      <c r="B61" s="245">
        <f t="shared" si="17"/>
        <v>0</v>
      </c>
      <c r="C61" s="873"/>
      <c r="D61" s="873"/>
      <c r="E61" s="873"/>
      <c r="F61" s="873"/>
      <c r="G61" s="873"/>
      <c r="H61" s="873"/>
      <c r="I61" s="873"/>
      <c r="J61" s="873"/>
      <c r="K61" s="873"/>
      <c r="L61" s="873"/>
      <c r="M61" s="873"/>
      <c r="N61" s="873"/>
      <c r="O61" s="873"/>
      <c r="P61" s="873"/>
      <c r="Q61" s="873"/>
      <c r="R61" s="416">
        <f t="shared" si="18"/>
        <v>0</v>
      </c>
      <c r="S61" s="1206"/>
      <c r="T61" s="1206"/>
      <c r="U61" s="1205"/>
    </row>
    <row r="62" spans="1:21" s="105" customFormat="1" ht="13.7" customHeight="1">
      <c r="A62" s="106" t="s">
        <v>1786</v>
      </c>
      <c r="B62" s="245">
        <f>SUM(C62:D62)</f>
        <v>10000</v>
      </c>
      <c r="C62" s="245">
        <f t="shared" ref="C62:R62" si="19">SUM(C56:C61)</f>
        <v>10000</v>
      </c>
      <c r="D62" s="245">
        <f t="shared" si="19"/>
        <v>0</v>
      </c>
      <c r="E62" s="245">
        <f t="shared" si="19"/>
        <v>0</v>
      </c>
      <c r="F62" s="245">
        <f t="shared" si="19"/>
        <v>0</v>
      </c>
      <c r="G62" s="245">
        <f t="shared" si="19"/>
        <v>0</v>
      </c>
      <c r="H62" s="245">
        <f t="shared" si="19"/>
        <v>0</v>
      </c>
      <c r="I62" s="245">
        <f t="shared" si="19"/>
        <v>0</v>
      </c>
      <c r="J62" s="245">
        <f t="shared" si="19"/>
        <v>10000</v>
      </c>
      <c r="K62" s="245">
        <f t="shared" si="19"/>
        <v>0</v>
      </c>
      <c r="L62" s="245">
        <f t="shared" si="19"/>
        <v>0</v>
      </c>
      <c r="M62" s="245">
        <f t="shared" si="19"/>
        <v>0</v>
      </c>
      <c r="N62" s="245">
        <f t="shared" si="19"/>
        <v>0</v>
      </c>
      <c r="O62" s="245">
        <f t="shared" si="19"/>
        <v>0</v>
      </c>
      <c r="P62" s="245">
        <f t="shared" si="19"/>
        <v>0</v>
      </c>
      <c r="Q62" s="245">
        <f t="shared" si="19"/>
        <v>0</v>
      </c>
      <c r="R62" s="245">
        <f t="shared" si="19"/>
        <v>10000</v>
      </c>
      <c r="S62" s="1206"/>
      <c r="T62" s="1206"/>
      <c r="U62" s="1205"/>
    </row>
    <row r="63" spans="1:21" s="105" customFormat="1">
      <c r="A63" s="110" t="s">
        <v>1787</v>
      </c>
      <c r="B63" s="245">
        <f t="shared" ref="B63:R63" si="20">SUM(B8+B11+B13+B14+B15+B26+B27+B38+B42+B43+B54+B62)</f>
        <v>15290883</v>
      </c>
      <c r="C63" s="245">
        <f t="shared" si="20"/>
        <v>15290883</v>
      </c>
      <c r="D63" s="245">
        <f t="shared" si="20"/>
        <v>0</v>
      </c>
      <c r="E63" s="245">
        <f t="shared" si="20"/>
        <v>5867981</v>
      </c>
      <c r="F63" s="245">
        <f t="shared" si="20"/>
        <v>2100000</v>
      </c>
      <c r="G63" s="245">
        <f t="shared" si="20"/>
        <v>3500000</v>
      </c>
      <c r="H63" s="245">
        <f t="shared" si="20"/>
        <v>2000000</v>
      </c>
      <c r="I63" s="245">
        <f t="shared" si="20"/>
        <v>167537</v>
      </c>
      <c r="J63" s="245">
        <f t="shared" si="20"/>
        <v>1655365</v>
      </c>
      <c r="K63" s="245">
        <f t="shared" si="20"/>
        <v>0</v>
      </c>
      <c r="L63" s="245">
        <f t="shared" si="20"/>
        <v>0</v>
      </c>
      <c r="M63" s="245">
        <f t="shared" si="20"/>
        <v>0</v>
      </c>
      <c r="N63" s="245">
        <f t="shared" si="20"/>
        <v>0</v>
      </c>
      <c r="O63" s="245">
        <f t="shared" si="20"/>
        <v>0</v>
      </c>
      <c r="P63" s="245">
        <f t="shared" si="20"/>
        <v>0</v>
      </c>
      <c r="Q63" s="245">
        <f t="shared" si="20"/>
        <v>0</v>
      </c>
      <c r="R63" s="245">
        <f t="shared" si="20"/>
        <v>15290883</v>
      </c>
      <c r="S63" s="245">
        <f>SUM(S10+S13+S14+S15+S26+S27+S38+S42+S43+S54)</f>
        <v>15045283</v>
      </c>
      <c r="T63" s="245">
        <f>SUM(T11+T13+T14+T15+T26+T27+T38+T42+T43+T54)</f>
        <v>0</v>
      </c>
      <c r="U63" s="1205"/>
    </row>
    <row r="64" spans="1:21" s="105" customFormat="1" ht="24">
      <c r="A64" s="104" t="s">
        <v>1788</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1789</v>
      </c>
      <c r="B65" s="245">
        <f>SUM(C65+D65)</f>
        <v>50000</v>
      </c>
      <c r="C65" s="873">
        <v>50000</v>
      </c>
      <c r="D65" s="873"/>
      <c r="E65" s="873"/>
      <c r="F65" s="873"/>
      <c r="G65" s="873"/>
      <c r="H65" s="873"/>
      <c r="I65" s="873"/>
      <c r="J65" s="873">
        <v>50000</v>
      </c>
      <c r="K65" s="873"/>
      <c r="L65" s="873"/>
      <c r="M65" s="873"/>
      <c r="N65" s="873"/>
      <c r="O65" s="873"/>
      <c r="P65" s="873"/>
      <c r="Q65" s="873"/>
      <c r="R65" s="416">
        <f>SUM(E65:Q65)</f>
        <v>50000</v>
      </c>
      <c r="S65" s="873">
        <f>R65</f>
        <v>50000</v>
      </c>
      <c r="T65" s="873"/>
      <c r="U65" s="1205"/>
    </row>
    <row r="66" spans="1:21" s="105" customFormat="1" ht="24" customHeight="1">
      <c r="A66" s="195" t="s">
        <v>1790</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1791</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1792</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1793</v>
      </c>
      <c r="B69" s="245">
        <f>SUM(C69+D69)</f>
        <v>150000</v>
      </c>
      <c r="C69" s="873">
        <v>150000</v>
      </c>
      <c r="D69" s="873"/>
      <c r="E69" s="873"/>
      <c r="F69" s="873"/>
      <c r="G69" s="873"/>
      <c r="H69" s="873"/>
      <c r="I69" s="873"/>
      <c r="J69" s="873">
        <v>150000</v>
      </c>
      <c r="K69" s="873"/>
      <c r="L69" s="873"/>
      <c r="M69" s="873"/>
      <c r="N69" s="873"/>
      <c r="O69" s="873"/>
      <c r="P69" s="873"/>
      <c r="Q69" s="873"/>
      <c r="R69" s="416">
        <f>SUM(E69:Q69)</f>
        <v>150000</v>
      </c>
      <c r="S69" s="873">
        <v>80000</v>
      </c>
      <c r="T69" s="873"/>
      <c r="U69" s="1205"/>
    </row>
    <row r="70" spans="1:21" s="105" customFormat="1">
      <c r="A70" s="106" t="s">
        <v>1794</v>
      </c>
      <c r="B70" s="245">
        <f>SUM(C70:D70)</f>
        <v>200000</v>
      </c>
      <c r="C70" s="245">
        <f>SUM(C65:C69)</f>
        <v>200000</v>
      </c>
      <c r="D70" s="245">
        <f>SUM(D65:D69)</f>
        <v>0</v>
      </c>
      <c r="E70" s="245">
        <f t="shared" ref="E70:T70" si="21">SUM(E65:E69)</f>
        <v>0</v>
      </c>
      <c r="F70" s="245">
        <f t="shared" si="21"/>
        <v>0</v>
      </c>
      <c r="G70" s="245">
        <f t="shared" si="21"/>
        <v>0</v>
      </c>
      <c r="H70" s="245">
        <f t="shared" si="21"/>
        <v>0</v>
      </c>
      <c r="I70" s="245">
        <f t="shared" si="21"/>
        <v>0</v>
      </c>
      <c r="J70" s="245">
        <f t="shared" si="21"/>
        <v>200000</v>
      </c>
      <c r="K70" s="245">
        <f t="shared" si="21"/>
        <v>0</v>
      </c>
      <c r="L70" s="245">
        <f t="shared" si="21"/>
        <v>0</v>
      </c>
      <c r="M70" s="245">
        <f t="shared" si="21"/>
        <v>0</v>
      </c>
      <c r="N70" s="245">
        <f t="shared" si="21"/>
        <v>0</v>
      </c>
      <c r="O70" s="245">
        <f t="shared" si="21"/>
        <v>0</v>
      </c>
      <c r="P70" s="245">
        <f t="shared" si="21"/>
        <v>0</v>
      </c>
      <c r="Q70" s="245">
        <f t="shared" si="21"/>
        <v>0</v>
      </c>
      <c r="R70" s="245">
        <f t="shared" si="21"/>
        <v>200000</v>
      </c>
      <c r="S70" s="107">
        <f t="shared" si="21"/>
        <v>130000</v>
      </c>
      <c r="T70" s="107">
        <f t="shared" si="21"/>
        <v>0</v>
      </c>
      <c r="U70" s="1205"/>
    </row>
    <row r="71" spans="1:21" s="105" customFormat="1">
      <c r="A71" s="104" t="s">
        <v>1795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1796</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1797</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1798</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1799</v>
      </c>
      <c r="B75" s="245">
        <f>SUM(C75+D75)</f>
        <v>100000</v>
      </c>
      <c r="C75" s="873">
        <v>100000</v>
      </c>
      <c r="D75" s="873"/>
      <c r="E75" s="873"/>
      <c r="F75" s="873"/>
      <c r="G75" s="873"/>
      <c r="H75" s="873"/>
      <c r="I75" s="873"/>
      <c r="J75" s="873">
        <v>100000</v>
      </c>
      <c r="K75" s="873"/>
      <c r="L75" s="873"/>
      <c r="M75" s="873"/>
      <c r="N75" s="873"/>
      <c r="O75" s="873"/>
      <c r="P75" s="873"/>
      <c r="Q75" s="873"/>
      <c r="R75" s="416">
        <f>SUM(E75:Q75)</f>
        <v>100000</v>
      </c>
      <c r="S75" s="1206"/>
      <c r="T75" s="1206"/>
      <c r="U75" s="1205"/>
    </row>
    <row r="76" spans="1:21" s="105" customFormat="1">
      <c r="A76" s="1038"/>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1800</v>
      </c>
      <c r="B77" s="245">
        <f>SUM(C77:D77)</f>
        <v>100000</v>
      </c>
      <c r="C77" s="245">
        <f>SUM(C72:C76)</f>
        <v>100000</v>
      </c>
      <c r="D77" s="245">
        <f>SUM(D72:D76)</f>
        <v>0</v>
      </c>
      <c r="E77" s="245">
        <f t="shared" ref="E77:Q77" si="22">SUM(E72:E76)</f>
        <v>0</v>
      </c>
      <c r="F77" s="245">
        <f t="shared" si="22"/>
        <v>0</v>
      </c>
      <c r="G77" s="245">
        <f t="shared" si="22"/>
        <v>0</v>
      </c>
      <c r="H77" s="245">
        <f t="shared" si="22"/>
        <v>0</v>
      </c>
      <c r="I77" s="245">
        <f t="shared" si="22"/>
        <v>0</v>
      </c>
      <c r="J77" s="245">
        <f t="shared" si="22"/>
        <v>100000</v>
      </c>
      <c r="K77" s="245">
        <f t="shared" si="22"/>
        <v>0</v>
      </c>
      <c r="L77" s="245">
        <f t="shared" si="22"/>
        <v>0</v>
      </c>
      <c r="M77" s="245">
        <f t="shared" si="22"/>
        <v>0</v>
      </c>
      <c r="N77" s="245">
        <f t="shared" si="22"/>
        <v>0</v>
      </c>
      <c r="O77" s="245">
        <f t="shared" si="22"/>
        <v>0</v>
      </c>
      <c r="P77" s="245">
        <f t="shared" si="22"/>
        <v>0</v>
      </c>
      <c r="Q77" s="245">
        <f t="shared" si="22"/>
        <v>0</v>
      </c>
      <c r="R77" s="245">
        <f>SUM(R72:R76)</f>
        <v>100000</v>
      </c>
      <c r="S77" s="1206"/>
      <c r="T77" s="1206"/>
      <c r="U77" s="1205"/>
    </row>
    <row r="78" spans="1:21" s="105" customFormat="1">
      <c r="A78" s="104" t="s">
        <v>1801</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1802</v>
      </c>
      <c r="B79" s="245">
        <f>SUM(C79:D79)</f>
        <v>687095</v>
      </c>
      <c r="C79" s="873">
        <v>687095</v>
      </c>
      <c r="D79" s="873"/>
      <c r="E79" s="873"/>
      <c r="F79" s="873"/>
      <c r="G79" s="873"/>
      <c r="H79" s="873"/>
      <c r="I79" s="873"/>
      <c r="J79" s="873">
        <v>687095</v>
      </c>
      <c r="K79" s="873"/>
      <c r="L79" s="873"/>
      <c r="M79" s="873"/>
      <c r="N79" s="873"/>
      <c r="O79" s="873"/>
      <c r="P79" s="873"/>
      <c r="Q79" s="873"/>
      <c r="R79" s="416">
        <f>SUM(E79:Q79)</f>
        <v>687095</v>
      </c>
      <c r="S79" s="873">
        <f>R79</f>
        <v>687095</v>
      </c>
      <c r="T79" s="873"/>
      <c r="U79" s="1205"/>
    </row>
    <row r="80" spans="1:21" s="105" customFormat="1">
      <c r="A80" s="195" t="s">
        <v>1803</v>
      </c>
      <c r="B80" s="245">
        <f>SUM(C80:D80)</f>
        <v>41888</v>
      </c>
      <c r="C80" s="873">
        <v>41888</v>
      </c>
      <c r="D80" s="873"/>
      <c r="E80" s="873"/>
      <c r="F80" s="873"/>
      <c r="G80" s="873"/>
      <c r="H80" s="873"/>
      <c r="I80" s="873"/>
      <c r="J80" s="873">
        <v>41888</v>
      </c>
      <c r="K80" s="873"/>
      <c r="L80" s="873"/>
      <c r="M80" s="873"/>
      <c r="N80" s="873"/>
      <c r="O80" s="873"/>
      <c r="P80" s="873"/>
      <c r="Q80" s="873"/>
      <c r="R80" s="416">
        <f>SUM(E80:Q80)</f>
        <v>41888</v>
      </c>
      <c r="S80" s="873">
        <f>R80</f>
        <v>41888</v>
      </c>
      <c r="T80" s="873"/>
      <c r="U80" s="1205"/>
    </row>
    <row r="81" spans="1:21" s="105" customFormat="1">
      <c r="A81" s="106" t="s">
        <v>1804</v>
      </c>
      <c r="B81" s="245">
        <f>SUM(C81:D81)</f>
        <v>728983</v>
      </c>
      <c r="C81" s="1212">
        <f>SUM(C79:C80)</f>
        <v>728983</v>
      </c>
      <c r="D81" s="1212">
        <f t="shared" ref="D81:T81" si="23">SUM(D79:D80)</f>
        <v>0</v>
      </c>
      <c r="E81" s="1212">
        <f t="shared" si="23"/>
        <v>0</v>
      </c>
      <c r="F81" s="1212">
        <f t="shared" si="23"/>
        <v>0</v>
      </c>
      <c r="G81" s="1212">
        <f t="shared" si="23"/>
        <v>0</v>
      </c>
      <c r="H81" s="1212">
        <f t="shared" si="23"/>
        <v>0</v>
      </c>
      <c r="I81" s="1212">
        <f t="shared" si="23"/>
        <v>0</v>
      </c>
      <c r="J81" s="1212">
        <f t="shared" si="23"/>
        <v>728983</v>
      </c>
      <c r="K81" s="1212">
        <f t="shared" si="23"/>
        <v>0</v>
      </c>
      <c r="L81" s="1212">
        <f t="shared" si="23"/>
        <v>0</v>
      </c>
      <c r="M81" s="1212">
        <f t="shared" si="23"/>
        <v>0</v>
      </c>
      <c r="N81" s="1212">
        <f t="shared" si="23"/>
        <v>0</v>
      </c>
      <c r="O81" s="1212">
        <f t="shared" si="23"/>
        <v>0</v>
      </c>
      <c r="P81" s="1212">
        <f t="shared" si="23"/>
        <v>0</v>
      </c>
      <c r="Q81" s="1212">
        <f t="shared" si="23"/>
        <v>0</v>
      </c>
      <c r="R81" s="1212">
        <f t="shared" si="23"/>
        <v>728983</v>
      </c>
      <c r="S81" s="1212">
        <f t="shared" si="23"/>
        <v>728983</v>
      </c>
      <c r="T81" s="1212">
        <f t="shared" si="23"/>
        <v>0</v>
      </c>
      <c r="U81" s="1205"/>
    </row>
    <row r="82" spans="1:21" s="105" customFormat="1">
      <c r="A82" s="104" t="s">
        <v>1805</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1806</v>
      </c>
      <c r="B83" s="245">
        <f t="shared" ref="B83:B95" si="24">SUM(C83+D83)</f>
        <v>26226</v>
      </c>
      <c r="C83" s="873">
        <v>26226</v>
      </c>
      <c r="D83" s="873"/>
      <c r="E83" s="873">
        <f>C83</f>
        <v>26226</v>
      </c>
      <c r="F83" s="873"/>
      <c r="G83" s="873"/>
      <c r="H83" s="873"/>
      <c r="I83" s="873"/>
      <c r="J83" s="873"/>
      <c r="K83" s="873"/>
      <c r="L83" s="873"/>
      <c r="M83" s="873"/>
      <c r="N83" s="873"/>
      <c r="O83" s="873"/>
      <c r="P83" s="873"/>
      <c r="Q83" s="873"/>
      <c r="R83" s="416">
        <f t="shared" ref="R83:R95" si="25">SUM(E83:Q83)</f>
        <v>26226</v>
      </c>
      <c r="S83" s="1206"/>
      <c r="T83" s="1206"/>
      <c r="U83" s="1205"/>
    </row>
    <row r="84" spans="1:21" s="105" customFormat="1">
      <c r="A84" s="195" t="s">
        <v>1807</v>
      </c>
      <c r="B84" s="245">
        <f t="shared" si="24"/>
        <v>2793</v>
      </c>
      <c r="C84" s="873">
        <v>2793</v>
      </c>
      <c r="D84" s="873"/>
      <c r="E84" s="873">
        <v>2793</v>
      </c>
      <c r="F84" s="873"/>
      <c r="G84" s="873"/>
      <c r="H84" s="873"/>
      <c r="I84" s="873"/>
      <c r="J84" s="873"/>
      <c r="K84" s="873"/>
      <c r="L84" s="873"/>
      <c r="M84" s="873"/>
      <c r="N84" s="873"/>
      <c r="O84" s="873"/>
      <c r="P84" s="873"/>
      <c r="Q84" s="873"/>
      <c r="R84" s="416">
        <f t="shared" si="25"/>
        <v>2793</v>
      </c>
      <c r="S84" s="873">
        <f>R84</f>
        <v>2793</v>
      </c>
      <c r="T84" s="873"/>
      <c r="U84" s="1205"/>
    </row>
    <row r="85" spans="1:21" s="105" customFormat="1">
      <c r="A85" s="195" t="s">
        <v>1808</v>
      </c>
      <c r="B85" s="245">
        <f t="shared" si="24"/>
        <v>356000</v>
      </c>
      <c r="C85" s="873">
        <v>356000</v>
      </c>
      <c r="D85" s="873"/>
      <c r="E85" s="873">
        <v>356000</v>
      </c>
      <c r="F85" s="873"/>
      <c r="G85" s="873"/>
      <c r="H85" s="873"/>
      <c r="I85" s="873"/>
      <c r="J85" s="873"/>
      <c r="K85" s="873"/>
      <c r="L85" s="873"/>
      <c r="M85" s="873"/>
      <c r="N85" s="873"/>
      <c r="O85" s="873"/>
      <c r="P85" s="873"/>
      <c r="Q85" s="873"/>
      <c r="R85" s="416">
        <f t="shared" si="25"/>
        <v>356000</v>
      </c>
      <c r="S85" s="873">
        <f t="shared" ref="S85:S87" si="26">R85</f>
        <v>356000</v>
      </c>
      <c r="T85" s="873"/>
      <c r="U85" s="1205"/>
    </row>
    <row r="86" spans="1:21" s="105" customFormat="1">
      <c r="A86" s="195" t="s">
        <v>1809</v>
      </c>
      <c r="B86" s="245">
        <f t="shared" si="24"/>
        <v>137419</v>
      </c>
      <c r="C86" s="873">
        <v>137419</v>
      </c>
      <c r="D86" s="873"/>
      <c r="E86" s="873">
        <v>137419</v>
      </c>
      <c r="F86" s="873"/>
      <c r="G86" s="873"/>
      <c r="H86" s="873"/>
      <c r="I86" s="873"/>
      <c r="J86" s="873"/>
      <c r="K86" s="873"/>
      <c r="L86" s="873"/>
      <c r="M86" s="873"/>
      <c r="N86" s="873"/>
      <c r="O86" s="873"/>
      <c r="P86" s="873"/>
      <c r="Q86" s="873"/>
      <c r="R86" s="416">
        <f t="shared" si="25"/>
        <v>137419</v>
      </c>
      <c r="S86" s="873">
        <f t="shared" si="26"/>
        <v>137419</v>
      </c>
      <c r="T86" s="873"/>
      <c r="U86" s="1205"/>
    </row>
    <row r="87" spans="1:21" s="105" customFormat="1">
      <c r="A87" s="195" t="s">
        <v>1810</v>
      </c>
      <c r="B87" s="245">
        <f t="shared" si="24"/>
        <v>0</v>
      </c>
      <c r="C87" s="873"/>
      <c r="D87" s="873"/>
      <c r="E87" s="873"/>
      <c r="F87" s="873"/>
      <c r="G87" s="873"/>
      <c r="H87" s="873"/>
      <c r="I87" s="873"/>
      <c r="J87" s="873"/>
      <c r="K87" s="873"/>
      <c r="L87" s="873"/>
      <c r="M87" s="873"/>
      <c r="N87" s="873"/>
      <c r="O87" s="873"/>
      <c r="P87" s="873"/>
      <c r="Q87" s="873"/>
      <c r="R87" s="416">
        <f t="shared" si="25"/>
        <v>0</v>
      </c>
      <c r="S87" s="873">
        <f t="shared" si="26"/>
        <v>0</v>
      </c>
      <c r="T87" s="873"/>
      <c r="U87" s="1205"/>
    </row>
    <row r="88" spans="1:21" s="105" customFormat="1">
      <c r="A88" s="195" t="s">
        <v>1811</v>
      </c>
      <c r="B88" s="245">
        <f t="shared" si="24"/>
        <v>5000</v>
      </c>
      <c r="C88" s="873">
        <v>5000</v>
      </c>
      <c r="D88" s="873"/>
      <c r="E88" s="873">
        <v>5000</v>
      </c>
      <c r="F88" s="873"/>
      <c r="G88" s="873"/>
      <c r="H88" s="873"/>
      <c r="I88" s="873"/>
      <c r="J88" s="873"/>
      <c r="K88" s="873"/>
      <c r="L88" s="873"/>
      <c r="M88" s="873"/>
      <c r="N88" s="873"/>
      <c r="O88" s="873"/>
      <c r="P88" s="873"/>
      <c r="Q88" s="873"/>
      <c r="R88" s="416">
        <f t="shared" si="25"/>
        <v>5000</v>
      </c>
      <c r="S88" s="1206"/>
      <c r="T88" s="1206"/>
      <c r="U88" s="1205"/>
    </row>
    <row r="89" spans="1:21" s="105" customFormat="1">
      <c r="A89" s="195" t="s">
        <v>1812</v>
      </c>
      <c r="B89" s="245">
        <f t="shared" si="24"/>
        <v>21498</v>
      </c>
      <c r="C89" s="873">
        <v>21498</v>
      </c>
      <c r="D89" s="873"/>
      <c r="E89" s="873">
        <v>21498</v>
      </c>
      <c r="F89" s="873"/>
      <c r="G89" s="873"/>
      <c r="H89" s="873"/>
      <c r="I89" s="873"/>
      <c r="J89" s="873"/>
      <c r="K89" s="873"/>
      <c r="L89" s="873"/>
      <c r="M89" s="873"/>
      <c r="N89" s="873"/>
      <c r="O89" s="873"/>
      <c r="P89" s="873"/>
      <c r="Q89" s="873"/>
      <c r="R89" s="416">
        <f t="shared" si="25"/>
        <v>21498</v>
      </c>
      <c r="S89" s="873">
        <f>R89</f>
        <v>21498</v>
      </c>
      <c r="T89" s="873"/>
      <c r="U89" s="1205"/>
    </row>
    <row r="90" spans="1:21" s="105" customFormat="1">
      <c r="A90" s="195" t="s">
        <v>1813</v>
      </c>
      <c r="B90" s="245">
        <f t="shared" si="24"/>
        <v>6500</v>
      </c>
      <c r="C90" s="873">
        <v>6500</v>
      </c>
      <c r="D90" s="873"/>
      <c r="E90" s="873">
        <v>6500</v>
      </c>
      <c r="F90" s="873"/>
      <c r="G90" s="873"/>
      <c r="H90" s="873"/>
      <c r="I90" s="873"/>
      <c r="J90" s="873"/>
      <c r="K90" s="873"/>
      <c r="L90" s="873"/>
      <c r="M90" s="873"/>
      <c r="N90" s="873"/>
      <c r="O90" s="873"/>
      <c r="P90" s="873"/>
      <c r="Q90" s="873"/>
      <c r="R90" s="416">
        <f t="shared" si="25"/>
        <v>6500</v>
      </c>
      <c r="S90" s="873">
        <v>3250</v>
      </c>
      <c r="T90" s="873"/>
      <c r="U90" s="1205"/>
    </row>
    <row r="91" spans="1:21" s="105" customFormat="1">
      <c r="A91" s="195" t="s">
        <v>1814</v>
      </c>
      <c r="B91" s="245">
        <f t="shared" si="24"/>
        <v>0</v>
      </c>
      <c r="C91" s="873"/>
      <c r="D91" s="873"/>
      <c r="E91" s="873"/>
      <c r="F91" s="873"/>
      <c r="G91" s="873"/>
      <c r="H91" s="873"/>
      <c r="I91" s="873"/>
      <c r="J91" s="873"/>
      <c r="K91" s="873"/>
      <c r="L91" s="873"/>
      <c r="M91" s="873"/>
      <c r="N91" s="873"/>
      <c r="O91" s="873"/>
      <c r="P91" s="873"/>
      <c r="Q91" s="873"/>
      <c r="R91" s="416">
        <f t="shared" si="25"/>
        <v>0</v>
      </c>
      <c r="S91" s="873"/>
      <c r="T91" s="873"/>
      <c r="U91" s="1205"/>
    </row>
    <row r="92" spans="1:21" s="105" customFormat="1">
      <c r="A92" s="195" t="s">
        <v>1815</v>
      </c>
      <c r="B92" s="245">
        <f t="shared" si="24"/>
        <v>6500</v>
      </c>
      <c r="C92" s="873">
        <v>6500</v>
      </c>
      <c r="D92" s="873"/>
      <c r="E92" s="873">
        <v>6500</v>
      </c>
      <c r="F92" s="873"/>
      <c r="G92" s="873"/>
      <c r="H92" s="873"/>
      <c r="I92" s="873"/>
      <c r="J92" s="873"/>
      <c r="K92" s="873"/>
      <c r="L92" s="873"/>
      <c r="M92" s="873"/>
      <c r="N92" s="873"/>
      <c r="O92" s="873"/>
      <c r="P92" s="873"/>
      <c r="Q92" s="873"/>
      <c r="R92" s="416">
        <f t="shared" si="25"/>
        <v>6500</v>
      </c>
      <c r="S92" s="873">
        <f t="shared" ref="S92:S95" si="27">R92</f>
        <v>6500</v>
      </c>
      <c r="T92" s="873"/>
      <c r="U92" s="1205"/>
    </row>
    <row r="93" spans="1:21" s="105" customFormat="1">
      <c r="A93" s="1038" t="s">
        <v>1816</v>
      </c>
      <c r="B93" s="245">
        <f t="shared" si="24"/>
        <v>10000</v>
      </c>
      <c r="C93" s="873">
        <v>10000</v>
      </c>
      <c r="D93" s="873"/>
      <c r="E93" s="873">
        <v>10000</v>
      </c>
      <c r="F93" s="873"/>
      <c r="G93" s="873"/>
      <c r="H93" s="873"/>
      <c r="I93" s="873"/>
      <c r="J93" s="873"/>
      <c r="K93" s="873"/>
      <c r="L93" s="873"/>
      <c r="M93" s="873"/>
      <c r="N93" s="873"/>
      <c r="O93" s="873"/>
      <c r="P93" s="873"/>
      <c r="Q93" s="873"/>
      <c r="R93" s="416">
        <f t="shared" si="25"/>
        <v>10000</v>
      </c>
      <c r="S93" s="873"/>
      <c r="T93" s="873"/>
      <c r="U93" s="1205"/>
    </row>
    <row r="94" spans="1:21" s="105" customFormat="1">
      <c r="A94" s="1038" t="s">
        <v>1764</v>
      </c>
      <c r="B94" s="245">
        <f t="shared" si="24"/>
        <v>0</v>
      </c>
      <c r="C94" s="873"/>
      <c r="D94" s="873"/>
      <c r="E94" s="873"/>
      <c r="F94" s="873"/>
      <c r="G94" s="873"/>
      <c r="H94" s="873"/>
      <c r="I94" s="873"/>
      <c r="J94" s="873"/>
      <c r="K94" s="873"/>
      <c r="L94" s="873"/>
      <c r="M94" s="873"/>
      <c r="N94" s="873"/>
      <c r="O94" s="873"/>
      <c r="P94" s="873"/>
      <c r="Q94" s="873"/>
      <c r="R94" s="416">
        <f t="shared" si="25"/>
        <v>0</v>
      </c>
      <c r="S94" s="873">
        <f t="shared" si="27"/>
        <v>0</v>
      </c>
      <c r="T94" s="873"/>
      <c r="U94" s="1205"/>
    </row>
    <row r="95" spans="1:21" s="105" customFormat="1">
      <c r="A95" s="1038" t="s">
        <v>1764</v>
      </c>
      <c r="B95" s="245">
        <f t="shared" si="24"/>
        <v>0</v>
      </c>
      <c r="C95" s="873"/>
      <c r="D95" s="873"/>
      <c r="E95" s="873"/>
      <c r="F95" s="873"/>
      <c r="G95" s="873"/>
      <c r="H95" s="873"/>
      <c r="I95" s="873"/>
      <c r="J95" s="873"/>
      <c r="K95" s="873"/>
      <c r="L95" s="873"/>
      <c r="M95" s="873"/>
      <c r="N95" s="873"/>
      <c r="O95" s="873"/>
      <c r="P95" s="873"/>
      <c r="Q95" s="873"/>
      <c r="R95" s="416">
        <f t="shared" si="25"/>
        <v>0</v>
      </c>
      <c r="S95" s="873">
        <f t="shared" si="27"/>
        <v>0</v>
      </c>
      <c r="T95" s="873"/>
      <c r="U95" s="1205"/>
    </row>
    <row r="96" spans="1:21" s="105" customFormat="1">
      <c r="A96" s="106" t="s">
        <v>1817</v>
      </c>
      <c r="B96" s="245">
        <f>SUM(C96:D96)</f>
        <v>571936</v>
      </c>
      <c r="C96" s="245">
        <f t="shared" ref="C96:R96" si="28">SUM(C83:C95)</f>
        <v>571936</v>
      </c>
      <c r="D96" s="245">
        <f t="shared" si="28"/>
        <v>0</v>
      </c>
      <c r="E96" s="245">
        <f t="shared" si="28"/>
        <v>571936</v>
      </c>
      <c r="F96" s="245">
        <f t="shared" si="28"/>
        <v>0</v>
      </c>
      <c r="G96" s="245">
        <f t="shared" si="28"/>
        <v>0</v>
      </c>
      <c r="H96" s="245">
        <f t="shared" si="28"/>
        <v>0</v>
      </c>
      <c r="I96" s="245">
        <f t="shared" si="28"/>
        <v>0</v>
      </c>
      <c r="J96" s="245">
        <f t="shared" si="28"/>
        <v>0</v>
      </c>
      <c r="K96" s="245">
        <f t="shared" si="28"/>
        <v>0</v>
      </c>
      <c r="L96" s="245">
        <f t="shared" si="28"/>
        <v>0</v>
      </c>
      <c r="M96" s="245">
        <f t="shared" si="28"/>
        <v>0</v>
      </c>
      <c r="N96" s="245">
        <f t="shared" si="28"/>
        <v>0</v>
      </c>
      <c r="O96" s="245">
        <f t="shared" si="28"/>
        <v>0</v>
      </c>
      <c r="P96" s="245">
        <f t="shared" si="28"/>
        <v>0</v>
      </c>
      <c r="Q96" s="245">
        <f t="shared" si="28"/>
        <v>0</v>
      </c>
      <c r="R96" s="245">
        <f t="shared" si="28"/>
        <v>571936</v>
      </c>
      <c r="S96" s="107">
        <f>SUM(S84:S87,S89:S95)</f>
        <v>527460</v>
      </c>
      <c r="T96" s="245">
        <f>SUM(T84:T87,T89:T95)</f>
        <v>0</v>
      </c>
      <c r="U96" s="1205"/>
    </row>
    <row r="97" spans="1:21" s="105" customFormat="1">
      <c r="A97" s="106" t="s">
        <v>1818</v>
      </c>
      <c r="B97" s="245">
        <f>SUM(C97:D97)</f>
        <v>16891802</v>
      </c>
      <c r="C97" s="245">
        <f t="shared" ref="C97:R97" si="29">SUM(C63+C70+C77+C81+C96)</f>
        <v>16891802</v>
      </c>
      <c r="D97" s="245">
        <f t="shared" si="29"/>
        <v>0</v>
      </c>
      <c r="E97" s="245">
        <f t="shared" si="29"/>
        <v>6439917</v>
      </c>
      <c r="F97" s="245">
        <f t="shared" si="29"/>
        <v>2100000</v>
      </c>
      <c r="G97" s="245">
        <f t="shared" si="29"/>
        <v>3500000</v>
      </c>
      <c r="H97" s="245">
        <f t="shared" si="29"/>
        <v>2000000</v>
      </c>
      <c r="I97" s="245">
        <f t="shared" si="29"/>
        <v>167537</v>
      </c>
      <c r="J97" s="245">
        <f t="shared" si="29"/>
        <v>2684348</v>
      </c>
      <c r="K97" s="245">
        <f t="shared" si="29"/>
        <v>0</v>
      </c>
      <c r="L97" s="245">
        <f t="shared" si="29"/>
        <v>0</v>
      </c>
      <c r="M97" s="245">
        <f t="shared" si="29"/>
        <v>0</v>
      </c>
      <c r="N97" s="245">
        <f t="shared" si="29"/>
        <v>0</v>
      </c>
      <c r="O97" s="245">
        <f t="shared" si="29"/>
        <v>0</v>
      </c>
      <c r="P97" s="245">
        <f t="shared" si="29"/>
        <v>0</v>
      </c>
      <c r="Q97" s="245">
        <f t="shared" si="29"/>
        <v>0</v>
      </c>
      <c r="R97" s="245">
        <f t="shared" si="29"/>
        <v>16891802</v>
      </c>
      <c r="S97" s="245">
        <f>SUM(S63+S70+S81+S96)</f>
        <v>16431726</v>
      </c>
      <c r="T97" s="245">
        <f>SUM(T63+T70+T81+T96)</f>
        <v>0</v>
      </c>
      <c r="U97" s="1205"/>
    </row>
    <row r="98" spans="1:21" s="105" customFormat="1">
      <c r="A98" s="104" t="s">
        <v>1819</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1820</v>
      </c>
      <c r="B99" s="245">
        <f>SUM(C99+D99)</f>
        <v>2464759</v>
      </c>
      <c r="C99" s="873">
        <v>2464759</v>
      </c>
      <c r="D99" s="873"/>
      <c r="E99" s="873">
        <f>SUM(C99+D99-(F99+G99+H99+I99+J99+K99))</f>
        <v>1814066</v>
      </c>
      <c r="F99" s="873"/>
      <c r="G99" s="873"/>
      <c r="H99" s="873"/>
      <c r="I99" s="873"/>
      <c r="J99" s="873">
        <v>645927</v>
      </c>
      <c r="K99" s="873">
        <v>4766</v>
      </c>
      <c r="L99" s="873"/>
      <c r="M99" s="873"/>
      <c r="N99" s="873"/>
      <c r="O99" s="873"/>
      <c r="P99" s="873"/>
      <c r="Q99" s="873"/>
      <c r="R99" s="416">
        <f>SUM(E99:Q99)</f>
        <v>2464759</v>
      </c>
      <c r="S99" s="873">
        <f>R99</f>
        <v>2464759</v>
      </c>
      <c r="T99" s="873"/>
      <c r="U99" s="1205"/>
    </row>
    <row r="100" spans="1:21" s="105" customFormat="1">
      <c r="A100" s="195" t="s">
        <v>1821</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1822</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1823</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1764</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1824</v>
      </c>
      <c r="B104" s="245">
        <f>SUM(C104:D104)</f>
        <v>2464759</v>
      </c>
      <c r="C104" s="245">
        <f>SUM(C99:C103)</f>
        <v>2464759</v>
      </c>
      <c r="D104" s="245">
        <f t="shared" ref="D104:T104" si="30">SUM(D99:D103)</f>
        <v>0</v>
      </c>
      <c r="E104" s="245">
        <f t="shared" si="30"/>
        <v>1814066</v>
      </c>
      <c r="F104" s="245">
        <f t="shared" si="30"/>
        <v>0</v>
      </c>
      <c r="G104" s="245">
        <f t="shared" si="30"/>
        <v>0</v>
      </c>
      <c r="H104" s="245">
        <f t="shared" si="30"/>
        <v>0</v>
      </c>
      <c r="I104" s="245">
        <f t="shared" si="30"/>
        <v>0</v>
      </c>
      <c r="J104" s="245">
        <f t="shared" si="30"/>
        <v>645927</v>
      </c>
      <c r="K104" s="245">
        <f t="shared" si="30"/>
        <v>4766</v>
      </c>
      <c r="L104" s="245">
        <f t="shared" si="30"/>
        <v>0</v>
      </c>
      <c r="M104" s="245">
        <f t="shared" si="30"/>
        <v>0</v>
      </c>
      <c r="N104" s="245">
        <f t="shared" si="30"/>
        <v>0</v>
      </c>
      <c r="O104" s="245">
        <f t="shared" si="30"/>
        <v>0</v>
      </c>
      <c r="P104" s="245">
        <f t="shared" si="30"/>
        <v>0</v>
      </c>
      <c r="Q104" s="245">
        <f t="shared" si="30"/>
        <v>0</v>
      </c>
      <c r="R104" s="245">
        <f t="shared" si="30"/>
        <v>2464759</v>
      </c>
      <c r="S104" s="107">
        <f t="shared" si="30"/>
        <v>2464759</v>
      </c>
      <c r="T104" s="107">
        <f t="shared" si="30"/>
        <v>0</v>
      </c>
      <c r="U104" s="1205"/>
    </row>
    <row r="105" spans="1:21" s="105" customFormat="1">
      <c r="A105" s="106" t="s">
        <v>1825</v>
      </c>
      <c r="B105" s="107">
        <f>SUM(C105:D105)</f>
        <v>19356561</v>
      </c>
      <c r="C105" s="107">
        <f t="shared" ref="C105:R105" si="31">SUM(C97+C104)</f>
        <v>19356561</v>
      </c>
      <c r="D105" s="107">
        <f t="shared" si="31"/>
        <v>0</v>
      </c>
      <c r="E105" s="107">
        <f t="shared" si="31"/>
        <v>8253983</v>
      </c>
      <c r="F105" s="107">
        <f t="shared" si="31"/>
        <v>2100000</v>
      </c>
      <c r="G105" s="107">
        <f t="shared" si="31"/>
        <v>3500000</v>
      </c>
      <c r="H105" s="107">
        <f t="shared" si="31"/>
        <v>2000000</v>
      </c>
      <c r="I105" s="107">
        <f t="shared" si="31"/>
        <v>167537</v>
      </c>
      <c r="J105" s="107">
        <f t="shared" si="31"/>
        <v>3330275</v>
      </c>
      <c r="K105" s="107">
        <f t="shared" si="31"/>
        <v>4766</v>
      </c>
      <c r="L105" s="107">
        <f t="shared" si="31"/>
        <v>0</v>
      </c>
      <c r="M105" s="107">
        <f t="shared" si="31"/>
        <v>0</v>
      </c>
      <c r="N105" s="107">
        <f t="shared" si="31"/>
        <v>0</v>
      </c>
      <c r="O105" s="107">
        <f t="shared" si="31"/>
        <v>0</v>
      </c>
      <c r="P105" s="107">
        <f t="shared" si="31"/>
        <v>0</v>
      </c>
      <c r="Q105" s="107">
        <f t="shared" si="31"/>
        <v>0</v>
      </c>
      <c r="R105" s="245">
        <f t="shared" si="31"/>
        <v>19356561</v>
      </c>
      <c r="S105" s="107">
        <f>S97+S104</f>
        <v>18896485</v>
      </c>
      <c r="T105" s="107">
        <f>T97+T104</f>
        <v>0</v>
      </c>
      <c r="U105" s="1205"/>
    </row>
    <row r="106" spans="1:21">
      <c r="A106" s="414" t="s">
        <v>1826</v>
      </c>
      <c r="B106" s="1213"/>
      <c r="C106" s="1213"/>
      <c r="D106" s="1213"/>
      <c r="E106" s="229"/>
      <c r="F106" s="229"/>
      <c r="G106" s="229"/>
      <c r="H106" s="230" t="s">
        <v>1827</v>
      </c>
      <c r="I106" s="230"/>
      <c r="J106" s="230"/>
      <c r="K106" s="229"/>
      <c r="L106" s="229"/>
      <c r="M106" s="229"/>
      <c r="N106" s="229"/>
      <c r="O106" s="229"/>
      <c r="P106" s="229"/>
      <c r="Q106" s="229"/>
      <c r="R106" s="113" t="s">
        <v>1828</v>
      </c>
      <c r="S106" s="873"/>
      <c r="T106" s="873"/>
      <c r="U106" s="231"/>
    </row>
    <row r="107" spans="1:21">
      <c r="A107" s="1213" t="s">
        <v>1829</v>
      </c>
      <c r="B107" s="229"/>
      <c r="C107" s="1213"/>
      <c r="D107" s="1213"/>
      <c r="E107" s="229"/>
      <c r="F107" s="229"/>
      <c r="G107" s="229"/>
      <c r="H107" s="229"/>
      <c r="I107" s="115" t="s">
        <v>1830</v>
      </c>
      <c r="J107" s="115"/>
      <c r="K107" s="229"/>
      <c r="L107" s="229"/>
      <c r="M107" s="229"/>
      <c r="N107" s="229"/>
      <c r="O107" s="229"/>
      <c r="P107" s="229"/>
      <c r="Q107" s="229"/>
      <c r="R107" s="113" t="s">
        <v>1831</v>
      </c>
      <c r="S107" s="107">
        <f>S105+S106</f>
        <v>18896485</v>
      </c>
      <c r="T107" s="107">
        <f>T105+T106</f>
        <v>0</v>
      </c>
      <c r="U107" s="231"/>
    </row>
    <row r="108" spans="1:21" s="129" customFormat="1">
      <c r="A108" s="115" t="s">
        <v>1832</v>
      </c>
      <c r="B108" s="1213"/>
      <c r="C108" s="1213"/>
      <c r="D108" s="1213"/>
      <c r="E108" s="1214">
        <f>Application!AO640</f>
        <v>8253983</v>
      </c>
      <c r="F108" s="1214">
        <f>Application!AO627</f>
        <v>2100000</v>
      </c>
      <c r="G108" s="1214">
        <f>Application!AO628</f>
        <v>3500000</v>
      </c>
      <c r="H108" s="1214">
        <f>Application!AO629</f>
        <v>2000000</v>
      </c>
      <c r="I108" s="1214">
        <f>Application!AO630</f>
        <v>167537</v>
      </c>
      <c r="J108" s="1214">
        <f>Application!AO631</f>
        <v>3330275</v>
      </c>
      <c r="K108" s="1214">
        <f>Application!AO632</f>
        <v>4766</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1833</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1834</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1835</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1836</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1837</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1838</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1839</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1840</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1841</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1842</v>
      </c>
      <c r="B122" s="229"/>
      <c r="C122" s="229"/>
      <c r="D122" s="1797" t="s">
        <v>1843</v>
      </c>
      <c r="E122" s="1797"/>
      <c r="F122" s="1797"/>
      <c r="G122" s="229"/>
      <c r="H122" s="229"/>
      <c r="I122" s="229"/>
      <c r="J122" s="229"/>
      <c r="K122" s="229"/>
      <c r="L122" s="229"/>
      <c r="M122" s="229"/>
      <c r="N122" s="229"/>
      <c r="O122" s="229"/>
      <c r="P122" s="229"/>
      <c r="Q122" s="229"/>
      <c r="R122" s="229"/>
      <c r="S122" s="229"/>
      <c r="T122" s="229"/>
      <c r="U122" s="231"/>
    </row>
    <row r="123" spans="1:21">
      <c r="A123" s="229" t="s">
        <v>1844</v>
      </c>
      <c r="B123" s="238"/>
      <c r="C123" s="229"/>
      <c r="D123" s="1799" t="s">
        <v>1845</v>
      </c>
      <c r="E123" s="1726"/>
      <c r="F123" s="1726"/>
      <c r="G123" s="1726"/>
      <c r="H123" s="1726"/>
      <c r="I123" s="1726"/>
      <c r="J123" s="1726"/>
      <c r="K123" s="1726"/>
      <c r="L123" s="1726"/>
      <c r="M123" s="1726"/>
      <c r="N123" s="1726"/>
      <c r="O123" s="1726"/>
      <c r="P123" s="1726"/>
      <c r="Q123" s="1726"/>
      <c r="R123" s="1726"/>
      <c r="S123" s="1726"/>
      <c r="T123" s="229"/>
      <c r="U123" s="231"/>
    </row>
    <row r="124" spans="1:21" ht="12.75">
      <c r="A124" s="357" t="s">
        <v>1846</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75">
      <c r="A125" s="357" t="s">
        <v>1847</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75">
      <c r="A126" s="357" t="s">
        <v>1848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1849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1850</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1053</v>
      </c>
      <c r="B129" s="238"/>
      <c r="C129" s="357"/>
      <c r="D129" s="1796" t="s">
        <v>1851</v>
      </c>
      <c r="E129" s="1796"/>
      <c r="F129" s="1796"/>
      <c r="G129" s="1796"/>
      <c r="H129" s="1796"/>
      <c r="I129" s="357"/>
      <c r="J129" s="357" t="s">
        <v>1852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1853</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1854</v>
      </c>
      <c r="E132" s="1254"/>
      <c r="F132" s="1254"/>
      <c r="G132" s="1254"/>
      <c r="H132" s="1254"/>
      <c r="I132" s="357"/>
      <c r="J132" s="1254" t="s">
        <v>1855</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1856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1857</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1858</v>
      </c>
      <c r="B139" s="1798"/>
      <c r="C139" s="1798"/>
      <c r="D139" s="233"/>
      <c r="E139" s="357" t="s">
        <v>1852</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17"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9"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1859</v>
      </c>
      <c r="B1" s="1804"/>
      <c r="C1" s="1804"/>
      <c r="D1" s="1804"/>
      <c r="E1" s="1804"/>
      <c r="F1" s="1804"/>
      <c r="G1" s="1804"/>
      <c r="H1" s="1804"/>
      <c r="I1" s="1804"/>
      <c r="J1" s="1805"/>
      <c r="K1" s="258"/>
    </row>
    <row r="2" spans="1:11" s="304" customFormat="1" ht="72">
      <c r="A2" s="301"/>
      <c r="B2" s="302" t="s">
        <v>1860</v>
      </c>
      <c r="C2" s="302" t="s">
        <v>1861</v>
      </c>
      <c r="D2" s="302" t="s">
        <v>1862</v>
      </c>
      <c r="E2" s="302" t="s">
        <v>1863</v>
      </c>
      <c r="F2" s="302" t="s">
        <v>1864</v>
      </c>
      <c r="G2" s="302" t="s">
        <v>1865</v>
      </c>
      <c r="H2" s="302" t="s">
        <v>1866</v>
      </c>
      <c r="I2" s="302" t="s">
        <v>1867</v>
      </c>
      <c r="J2" s="302" t="s">
        <v>1868</v>
      </c>
      <c r="K2" s="303"/>
    </row>
    <row r="3" spans="1:11" s="263" customFormat="1">
      <c r="A3" s="260" t="s">
        <v>1743</v>
      </c>
      <c r="B3" s="261"/>
      <c r="C3" s="261"/>
      <c r="D3" s="261"/>
      <c r="E3" s="261"/>
      <c r="F3" s="261"/>
      <c r="G3" s="261"/>
      <c r="H3" s="261"/>
      <c r="I3" s="261"/>
      <c r="J3" s="261"/>
      <c r="K3" s="262"/>
    </row>
    <row r="4" spans="1:11" s="263" customFormat="1">
      <c r="A4" s="267" t="s">
        <v>1744</v>
      </c>
      <c r="B4" s="264">
        <f>'Sources and Uses Budget'!C4</f>
        <v>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1745</v>
      </c>
      <c r="B6" s="264">
        <f>'Sources and Uses Budget'!C6</f>
        <v>0</v>
      </c>
      <c r="C6" s="265"/>
      <c r="D6" s="265"/>
      <c r="E6" s="266"/>
      <c r="F6" s="266"/>
      <c r="G6" s="266"/>
      <c r="H6" s="266"/>
      <c r="I6" s="266"/>
      <c r="J6" s="266"/>
      <c r="K6" s="262"/>
    </row>
    <row r="7" spans="1:11" s="263" customFormat="1">
      <c r="A7" s="267" t="s">
        <v>1746</v>
      </c>
      <c r="B7" s="264">
        <f>'Sources and Uses Budget'!C7</f>
        <v>0</v>
      </c>
      <c r="C7" s="265"/>
      <c r="D7" s="265"/>
      <c r="E7" s="266"/>
      <c r="F7" s="266"/>
      <c r="G7" s="266"/>
      <c r="H7" s="266"/>
      <c r="I7" s="266"/>
      <c r="J7" s="266"/>
      <c r="K7" s="262"/>
    </row>
    <row r="8" spans="1:11" s="263" customFormat="1">
      <c r="A8" s="268" t="s">
        <v>1747</v>
      </c>
      <c r="B8" s="264">
        <f>'Sources and Uses Budget'!C8</f>
        <v>0</v>
      </c>
      <c r="C8" s="264">
        <f>SUM(C4:C7)</f>
        <v>0</v>
      </c>
      <c r="D8" s="264">
        <f>SUM(D4:D7)</f>
        <v>0</v>
      </c>
      <c r="E8" s="266"/>
      <c r="F8" s="266"/>
      <c r="G8" s="266"/>
      <c r="H8" s="266"/>
      <c r="I8" s="266"/>
      <c r="J8" s="266"/>
      <c r="K8" s="262"/>
    </row>
    <row r="9" spans="1:11" s="263" customFormat="1">
      <c r="A9" s="267" t="s">
        <v>1748</v>
      </c>
      <c r="B9" s="264">
        <f>'Sources and Uses Budget'!C9</f>
        <v>0</v>
      </c>
      <c r="C9" s="265"/>
      <c r="D9" s="265"/>
      <c r="E9" s="266"/>
      <c r="F9" s="266"/>
      <c r="G9" s="266"/>
      <c r="H9" s="264">
        <f>'Sources and Uses Budget'!T9</f>
        <v>0</v>
      </c>
      <c r="I9" s="265"/>
      <c r="J9" s="265"/>
      <c r="K9" s="262"/>
    </row>
    <row r="10" spans="1:11" s="263" customFormat="1">
      <c r="A10" s="267" t="s">
        <v>1749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1750</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1751</v>
      </c>
      <c r="B12" s="264">
        <f>'Sources and Uses Budget'!C12</f>
        <v>0</v>
      </c>
      <c r="C12" s="264">
        <f>SUM(C8+C11)</f>
        <v>0</v>
      </c>
      <c r="D12" s="264">
        <f>SUM(D8+D11)</f>
        <v>0</v>
      </c>
      <c r="E12" s="266"/>
      <c r="F12" s="266"/>
      <c r="G12" s="266"/>
      <c r="H12" s="266"/>
      <c r="I12" s="266"/>
      <c r="J12" s="266"/>
      <c r="K12" s="262"/>
    </row>
    <row r="13" spans="1:11" s="263" customFormat="1">
      <c r="A13" s="269" t="s">
        <v>1752</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1869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1754</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1755</v>
      </c>
      <c r="B16" s="261"/>
      <c r="C16" s="261"/>
      <c r="D16" s="261"/>
      <c r="E16" s="261"/>
      <c r="F16" s="261"/>
      <c r="G16" s="261"/>
      <c r="H16" s="261"/>
      <c r="I16" s="261"/>
      <c r="J16" s="261"/>
      <c r="K16" s="262"/>
    </row>
    <row r="17" spans="1:11" s="263" customFormat="1">
      <c r="A17" s="267" t="s">
        <v>1756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1757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1758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1759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1760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1761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1762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1763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1765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1766</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1767</v>
      </c>
      <c r="B28" s="261"/>
      <c r="C28" s="261"/>
      <c r="D28" s="261"/>
      <c r="E28" s="261"/>
      <c r="F28" s="261"/>
      <c r="G28" s="261"/>
      <c r="H28" s="261"/>
      <c r="I28" s="261"/>
      <c r="J28" s="261"/>
      <c r="K28" s="262"/>
    </row>
    <row r="29" spans="1:11" s="263" customFormat="1">
      <c r="A29" s="195" t="s">
        <v>1756</v>
      </c>
      <c r="B29" s="264">
        <f>'Sources and Uses Budget'!C29</f>
        <v>1312500</v>
      </c>
      <c r="C29" s="265"/>
      <c r="D29" s="265"/>
      <c r="E29" s="264">
        <f>'Sources and Uses Budget'!S29</f>
        <v>1312500</v>
      </c>
      <c r="F29" s="265"/>
      <c r="G29" s="265"/>
      <c r="H29" s="264">
        <f>'Sources and Uses Budget'!T29</f>
        <v>0</v>
      </c>
      <c r="I29" s="265"/>
      <c r="J29" s="265"/>
      <c r="K29" s="262"/>
    </row>
    <row r="30" spans="1:11" s="263" customFormat="1">
      <c r="A30" s="195" t="s">
        <v>1757</v>
      </c>
      <c r="B30" s="264">
        <f>'Sources and Uses Budget'!C30</f>
        <v>11309625</v>
      </c>
      <c r="C30" s="265"/>
      <c r="D30" s="265"/>
      <c r="E30" s="264">
        <f>'Sources and Uses Budget'!S30</f>
        <v>11309625</v>
      </c>
      <c r="F30" s="265"/>
      <c r="G30" s="265"/>
      <c r="H30" s="264">
        <f>'Sources and Uses Budget'!T30</f>
        <v>0</v>
      </c>
      <c r="I30" s="265"/>
      <c r="J30" s="265"/>
      <c r="K30" s="262"/>
    </row>
    <row r="31" spans="1:11" s="263" customFormat="1">
      <c r="A31" s="195" t="s">
        <v>1758</v>
      </c>
      <c r="B31" s="264">
        <f>'Sources and Uses Budget'!C31</f>
        <v>614350</v>
      </c>
      <c r="C31" s="265"/>
      <c r="D31" s="265"/>
      <c r="E31" s="264">
        <f>'Sources and Uses Budget'!S31</f>
        <v>614350</v>
      </c>
      <c r="F31" s="265"/>
      <c r="G31" s="265"/>
      <c r="H31" s="264">
        <f>'Sources and Uses Budget'!T31</f>
        <v>0</v>
      </c>
      <c r="I31" s="265"/>
      <c r="J31" s="265"/>
      <c r="K31" s="262"/>
    </row>
    <row r="32" spans="1:11" s="263" customFormat="1">
      <c r="A32" s="195" t="s">
        <v>1759</v>
      </c>
      <c r="B32" s="264">
        <f>'Sources and Uses Budget'!C32</f>
        <v>307175</v>
      </c>
      <c r="C32" s="265"/>
      <c r="D32" s="265"/>
      <c r="E32" s="264">
        <f>'Sources and Uses Budget'!S32</f>
        <v>307175</v>
      </c>
      <c r="F32" s="265"/>
      <c r="G32" s="265"/>
      <c r="H32" s="264">
        <f>'Sources and Uses Budget'!T32</f>
        <v>0</v>
      </c>
      <c r="I32" s="265"/>
      <c r="J32" s="265"/>
      <c r="K32" s="262"/>
    </row>
    <row r="33" spans="1:11" s="263" customFormat="1">
      <c r="A33" s="195" t="s">
        <v>1760</v>
      </c>
      <c r="B33" s="264">
        <f>'Sources and Uses Budget'!C33</f>
        <v>307175</v>
      </c>
      <c r="C33" s="265"/>
      <c r="D33" s="265"/>
      <c r="E33" s="264">
        <f>'Sources and Uses Budget'!S33</f>
        <v>307175</v>
      </c>
      <c r="F33" s="265"/>
      <c r="G33" s="265"/>
      <c r="H33" s="264">
        <f>'Sources and Uses Budget'!T33</f>
        <v>0</v>
      </c>
      <c r="I33" s="265"/>
      <c r="J33" s="265"/>
      <c r="K33" s="262"/>
    </row>
    <row r="34" spans="1:11" s="263" customFormat="1">
      <c r="A34" s="195" t="s">
        <v>1761</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1762</v>
      </c>
      <c r="B35" s="264">
        <f>'Sources and Uses Budget'!C35</f>
        <v>226193</v>
      </c>
      <c r="C35" s="265"/>
      <c r="D35" s="265"/>
      <c r="E35" s="264">
        <f>'Sources and Uses Budget'!S35</f>
        <v>226193</v>
      </c>
      <c r="F35" s="265"/>
      <c r="G35" s="265"/>
      <c r="H35" s="264">
        <f>'Sources and Uses Budget'!T35</f>
        <v>0</v>
      </c>
      <c r="I35" s="265"/>
      <c r="J35" s="265"/>
      <c r="K35" s="262"/>
    </row>
    <row r="36" spans="1:11" s="263" customFormat="1">
      <c r="A36" s="409" t="s">
        <v>1763</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1768</v>
      </c>
      <c r="B38" s="264">
        <f>'Sources and Uses Budget'!C38</f>
        <v>14077018</v>
      </c>
      <c r="C38" s="264">
        <f>SUM(C29:C37)</f>
        <v>0</v>
      </c>
      <c r="D38" s="264">
        <f>SUM(D29:D37)</f>
        <v>0</v>
      </c>
      <c r="E38" s="264">
        <f>'Sources and Uses Budget'!S38</f>
        <v>14077018</v>
      </c>
      <c r="F38" s="270">
        <f>SUM(F29:F37)</f>
        <v>0</v>
      </c>
      <c r="G38" s="270">
        <f>SUM(G29:G37)</f>
        <v>0</v>
      </c>
      <c r="H38" s="264">
        <f>'Sources and Uses Budget'!T38</f>
        <v>0</v>
      </c>
      <c r="I38" s="270">
        <f>SUM(I29:I37)</f>
        <v>0</v>
      </c>
      <c r="J38" s="270">
        <f>SUM(J29:J37)</f>
        <v>0</v>
      </c>
      <c r="K38" s="262"/>
    </row>
    <row r="39" spans="1:11" s="263" customFormat="1">
      <c r="A39" s="260" t="s">
        <v>1769</v>
      </c>
      <c r="B39" s="261"/>
      <c r="C39" s="261"/>
      <c r="D39" s="261"/>
      <c r="E39" s="261"/>
      <c r="F39" s="261"/>
      <c r="G39" s="261"/>
      <c r="H39" s="261"/>
      <c r="I39" s="261"/>
      <c r="J39" s="261"/>
      <c r="K39" s="262"/>
    </row>
    <row r="40" spans="1:11" s="263" customFormat="1">
      <c r="A40" s="267" t="s">
        <v>1770</v>
      </c>
      <c r="B40" s="264">
        <f>'Sources and Uses Budget'!C40</f>
        <v>474725</v>
      </c>
      <c r="C40" s="265"/>
      <c r="D40" s="265"/>
      <c r="E40" s="264">
        <f>'Sources and Uses Budget'!S40</f>
        <v>474725</v>
      </c>
      <c r="F40" s="265"/>
      <c r="G40" s="265"/>
      <c r="H40" s="264">
        <f>'Sources and Uses Budget'!T40</f>
        <v>0</v>
      </c>
      <c r="I40" s="265"/>
      <c r="J40" s="265"/>
      <c r="K40" s="262"/>
    </row>
    <row r="41" spans="1:11" s="263" customFormat="1">
      <c r="A41" s="267" t="s">
        <v>1771</v>
      </c>
      <c r="B41" s="264">
        <f>'Sources and Uses Budget'!C41</f>
        <v>27925</v>
      </c>
      <c r="C41" s="265"/>
      <c r="D41" s="265"/>
      <c r="E41" s="264">
        <f>'Sources and Uses Budget'!S41</f>
        <v>27925</v>
      </c>
      <c r="F41" s="265"/>
      <c r="G41" s="265"/>
      <c r="H41" s="264">
        <f>'Sources and Uses Budget'!T41</f>
        <v>0</v>
      </c>
      <c r="I41" s="265"/>
      <c r="J41" s="265"/>
      <c r="K41" s="262"/>
    </row>
    <row r="42" spans="1:11" s="263" customFormat="1">
      <c r="A42" s="268" t="s">
        <v>1772</v>
      </c>
      <c r="B42" s="264">
        <f>'Sources and Uses Budget'!C42</f>
        <v>502650</v>
      </c>
      <c r="C42" s="264">
        <f>SUM(C39:C41)</f>
        <v>0</v>
      </c>
      <c r="D42" s="264">
        <f>SUM(D39:D41)</f>
        <v>0</v>
      </c>
      <c r="E42" s="264">
        <f>'Sources and Uses Budget'!S42</f>
        <v>502650</v>
      </c>
      <c r="F42" s="270">
        <f>SUM(F40:F41)</f>
        <v>0</v>
      </c>
      <c r="G42" s="270">
        <f>SUM(G40:G41)</f>
        <v>0</v>
      </c>
      <c r="H42" s="264">
        <f>'Sources and Uses Budget'!T42</f>
        <v>0</v>
      </c>
      <c r="I42" s="270">
        <f>SUM(I40:I41)</f>
        <v>0</v>
      </c>
      <c r="J42" s="270">
        <f>SUM(J40:J41)</f>
        <v>0</v>
      </c>
      <c r="K42" s="262"/>
    </row>
    <row r="43" spans="1:11" s="263" customFormat="1">
      <c r="A43" s="268" t="s">
        <v>1773</v>
      </c>
      <c r="B43" s="264">
        <f>'Sources and Uses Budget'!C43</f>
        <v>55850</v>
      </c>
      <c r="C43" s="265"/>
      <c r="D43" s="265"/>
      <c r="E43" s="264">
        <f>'Sources and Uses Budget'!S43</f>
        <v>55850</v>
      </c>
      <c r="F43" s="265"/>
      <c r="G43" s="265"/>
      <c r="H43" s="264">
        <f>'Sources and Uses Budget'!T43</f>
        <v>0</v>
      </c>
      <c r="I43" s="265"/>
      <c r="J43" s="265"/>
      <c r="K43" s="262"/>
    </row>
    <row r="44" spans="1:11" s="263" customFormat="1">
      <c r="A44" s="260" t="s">
        <v>1774</v>
      </c>
      <c r="B44" s="261"/>
      <c r="C44" s="261"/>
      <c r="D44" s="261"/>
      <c r="E44" s="261"/>
      <c r="F44" s="261"/>
      <c r="G44" s="261"/>
      <c r="H44" s="261"/>
      <c r="I44" s="261"/>
      <c r="J44" s="261"/>
      <c r="K44" s="262"/>
    </row>
    <row r="45" spans="1:11" s="263" customFormat="1">
      <c r="A45" s="267" t="s">
        <v>1775</v>
      </c>
      <c r="B45" s="264">
        <f>'Sources and Uses Budget'!C45</f>
        <v>532000</v>
      </c>
      <c r="C45" s="265"/>
      <c r="D45" s="265"/>
      <c r="E45" s="264">
        <f>'Sources and Uses Budget'!S45</f>
        <v>319200</v>
      </c>
      <c r="F45" s="265"/>
      <c r="G45" s="265"/>
      <c r="H45" s="264">
        <f>'Sources and Uses Budget'!T45</f>
        <v>0</v>
      </c>
      <c r="I45" s="265"/>
      <c r="J45" s="265"/>
      <c r="K45" s="262"/>
    </row>
    <row r="46" spans="1:11" s="263" customFormat="1">
      <c r="A46" s="267" t="s">
        <v>1776</v>
      </c>
      <c r="B46" s="264">
        <f>'Sources and Uses Budget'!C46</f>
        <v>57000</v>
      </c>
      <c r="C46" s="265"/>
      <c r="D46" s="265"/>
      <c r="E46" s="264">
        <f>'Sources and Uses Budget'!S46</f>
        <v>34200</v>
      </c>
      <c r="F46" s="265"/>
      <c r="G46" s="265"/>
      <c r="H46" s="264">
        <f>'Sources and Uses Budget'!T46</f>
        <v>0</v>
      </c>
      <c r="I46" s="265"/>
      <c r="J46" s="265"/>
      <c r="K46" s="262"/>
    </row>
    <row r="47" spans="1:11" s="263" customFormat="1" ht="12" customHeight="1">
      <c r="A47" s="267" t="s">
        <v>1777</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1778</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1779</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1780</v>
      </c>
      <c r="B50" s="264">
        <f>'Sources and Uses Budget'!C50</f>
        <v>27925</v>
      </c>
      <c r="C50" s="265"/>
      <c r="D50" s="265"/>
      <c r="E50" s="264">
        <f>'Sources and Uses Budget'!S50</f>
        <v>27925</v>
      </c>
      <c r="F50" s="265"/>
      <c r="G50" s="265"/>
      <c r="H50" s="264">
        <f>'Sources and Uses Budget'!T50</f>
        <v>0</v>
      </c>
      <c r="I50" s="265"/>
      <c r="J50" s="265"/>
      <c r="K50" s="262"/>
    </row>
    <row r="51" spans="1:11" s="263" customFormat="1">
      <c r="A51" s="267" t="s">
        <v>1781</v>
      </c>
      <c r="B51" s="264">
        <f>'Sources and Uses Budget'!C51</f>
        <v>1955</v>
      </c>
      <c r="C51" s="265"/>
      <c r="D51" s="265"/>
      <c r="E51" s="264">
        <f>'Sources and Uses Budget'!S51</f>
        <v>1955</v>
      </c>
      <c r="F51" s="265"/>
      <c r="G51" s="265"/>
      <c r="H51" s="264">
        <f>'Sources and Uses Budget'!T51</f>
        <v>0</v>
      </c>
      <c r="I51" s="265"/>
      <c r="J51" s="265"/>
      <c r="K51" s="262"/>
    </row>
    <row r="52" spans="1:11" s="263" customFormat="1">
      <c r="A52" s="267" t="s">
        <v>1782</v>
      </c>
      <c r="B52" s="264">
        <f>'Sources and Uses Budget'!C52</f>
        <v>5585</v>
      </c>
      <c r="C52" s="265"/>
      <c r="D52" s="265"/>
      <c r="E52" s="264">
        <f>'Sources and Uses Budget'!S52</f>
        <v>5585</v>
      </c>
      <c r="F52" s="265"/>
      <c r="G52" s="265"/>
      <c r="H52" s="264">
        <f>'Sources and Uses Budget'!T52</f>
        <v>0</v>
      </c>
      <c r="I52" s="265"/>
      <c r="J52" s="265"/>
      <c r="K52" s="262"/>
    </row>
    <row r="53" spans="1:11" s="263" customFormat="1">
      <c r="A53" s="267" t="str">
        <f>'Sources and Uses Budget'!$A53</f>
        <v>Bank Insepection and Fees</v>
      </c>
      <c r="B53" s="264">
        <f>'Sources and Uses Budget'!C53</f>
        <v>20900</v>
      </c>
      <c r="C53" s="265"/>
      <c r="D53" s="265"/>
      <c r="E53" s="264">
        <f>'Sources and Uses Budget'!S53</f>
        <v>20900</v>
      </c>
      <c r="F53" s="265"/>
      <c r="G53" s="265"/>
      <c r="H53" s="264">
        <f>'Sources and Uses Budget'!T53</f>
        <v>0</v>
      </c>
      <c r="I53" s="265"/>
      <c r="J53" s="265"/>
      <c r="K53" s="262"/>
    </row>
    <row r="54" spans="1:11" s="272" customFormat="1">
      <c r="A54" s="268" t="s">
        <v>1784</v>
      </c>
      <c r="B54" s="264">
        <f>'Sources and Uses Budget'!C54</f>
        <v>645365</v>
      </c>
      <c r="C54" s="270">
        <f>SUM(C45:C53)</f>
        <v>0</v>
      </c>
      <c r="D54" s="270">
        <f>SUM(D45:D53)</f>
        <v>0</v>
      </c>
      <c r="E54" s="264">
        <f>'Sources and Uses Budget'!S54</f>
        <v>409765</v>
      </c>
      <c r="F54" s="270">
        <f>SUM(F45:F53)</f>
        <v>0</v>
      </c>
      <c r="G54" s="270">
        <f>SUM(G45:G53)</f>
        <v>0</v>
      </c>
      <c r="H54" s="264">
        <f>'Sources and Uses Budget'!T54</f>
        <v>0</v>
      </c>
      <c r="I54" s="270">
        <f>SUM(I45:I53)</f>
        <v>0</v>
      </c>
      <c r="J54" s="270">
        <f>SUM(J45:J53)</f>
        <v>0</v>
      </c>
      <c r="K54" s="271"/>
    </row>
    <row r="55" spans="1:11" s="263" customFormat="1">
      <c r="A55" s="260" t="s">
        <v>1330</v>
      </c>
      <c r="B55" s="261"/>
      <c r="C55" s="261"/>
      <c r="D55" s="261"/>
      <c r="E55" s="261"/>
      <c r="F55" s="261"/>
      <c r="G55" s="261"/>
      <c r="H55" s="261"/>
      <c r="I55" s="261"/>
      <c r="J55" s="261"/>
      <c r="K55" s="262"/>
    </row>
    <row r="56" spans="1:11" s="263" customFormat="1">
      <c r="A56" s="267" t="s">
        <v>1785</v>
      </c>
      <c r="B56" s="264">
        <f>'Sources and Uses Budget'!C56</f>
        <v>0</v>
      </c>
      <c r="C56" s="265"/>
      <c r="D56" s="265"/>
      <c r="E56" s="266"/>
      <c r="F56" s="266"/>
      <c r="G56" s="266"/>
      <c r="H56" s="266"/>
      <c r="I56" s="266"/>
      <c r="J56" s="266"/>
      <c r="K56" s="262"/>
    </row>
    <row r="57" spans="1:11" s="263" customFormat="1" ht="12" customHeight="1">
      <c r="A57" s="267" t="s">
        <v>1777</v>
      </c>
      <c r="B57" s="264">
        <f>'Sources and Uses Budget'!C57</f>
        <v>0</v>
      </c>
      <c r="C57" s="265"/>
      <c r="D57" s="265"/>
      <c r="E57" s="266"/>
      <c r="F57" s="266"/>
      <c r="G57" s="266"/>
      <c r="H57" s="266"/>
      <c r="I57" s="266"/>
      <c r="J57" s="266"/>
      <c r="K57" s="262"/>
    </row>
    <row r="58" spans="1:11" s="263" customFormat="1">
      <c r="A58" s="267" t="s">
        <v>1780</v>
      </c>
      <c r="B58" s="264">
        <f>'Sources and Uses Budget'!C58</f>
        <v>10000</v>
      </c>
      <c r="C58" s="265"/>
      <c r="D58" s="265"/>
      <c r="E58" s="266"/>
      <c r="F58" s="266"/>
      <c r="G58" s="266"/>
      <c r="H58" s="266"/>
      <c r="I58" s="266"/>
      <c r="J58" s="266"/>
      <c r="K58" s="262"/>
    </row>
    <row r="59" spans="1:11" s="263" customFormat="1">
      <c r="A59" s="267" t="s">
        <v>1781</v>
      </c>
      <c r="B59" s="264">
        <f>'Sources and Uses Budget'!C59</f>
        <v>0</v>
      </c>
      <c r="C59" s="265"/>
      <c r="D59" s="265"/>
      <c r="E59" s="266"/>
      <c r="F59" s="266"/>
      <c r="G59" s="266"/>
      <c r="H59" s="266"/>
      <c r="I59" s="266"/>
      <c r="J59" s="266"/>
      <c r="K59" s="262"/>
    </row>
    <row r="60" spans="1:11" s="263" customFormat="1">
      <c r="A60" s="267" t="s">
        <v>1782</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1786</v>
      </c>
      <c r="B62" s="264">
        <f>'Sources and Uses Budget'!C62</f>
        <v>10000</v>
      </c>
      <c r="C62" s="264">
        <f>SUM(C56:C61)</f>
        <v>0</v>
      </c>
      <c r="D62" s="264">
        <f>SUM(D56:D61)</f>
        <v>0</v>
      </c>
      <c r="E62" s="266"/>
      <c r="F62" s="266"/>
      <c r="G62" s="266"/>
      <c r="H62" s="266"/>
      <c r="I62" s="266"/>
      <c r="J62" s="266"/>
      <c r="K62" s="262"/>
    </row>
    <row r="63" spans="1:11" s="263" customFormat="1">
      <c r="A63" s="273" t="s">
        <v>1787</v>
      </c>
      <c r="B63" s="264">
        <f>'Sources and Uses Budget'!C63</f>
        <v>15290883</v>
      </c>
      <c r="C63" s="264">
        <f>SUM(C8+C11+C13+C14+C15+C26+C27+C38+C42+C43+C54+C62)</f>
        <v>0</v>
      </c>
      <c r="D63" s="264">
        <f>SUM(D8+D11+D13+D14+D15+D26+D27+D38+D42+D43+D54+D62)</f>
        <v>0</v>
      </c>
      <c r="E63" s="264">
        <f>'Sources and Uses Budget'!S63</f>
        <v>15045283</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1788</v>
      </c>
      <c r="B64" s="261"/>
      <c r="C64" s="261"/>
      <c r="D64" s="261"/>
      <c r="E64" s="261"/>
      <c r="F64" s="261"/>
      <c r="G64" s="261"/>
      <c r="H64" s="261"/>
      <c r="I64" s="261"/>
      <c r="J64" s="261"/>
      <c r="K64" s="262"/>
    </row>
    <row r="65" spans="1:11" s="263" customFormat="1">
      <c r="A65" s="195" t="s">
        <v>1789</v>
      </c>
      <c r="B65" s="264">
        <f>'Sources and Uses Budget'!C65</f>
        <v>50000</v>
      </c>
      <c r="C65" s="265"/>
      <c r="D65" s="265"/>
      <c r="E65" s="264">
        <f>'Sources and Uses Budget'!S65</f>
        <v>50000</v>
      </c>
      <c r="F65" s="265"/>
      <c r="G65" s="265"/>
      <c r="H65" s="264">
        <f>'Sources and Uses Budget'!T65</f>
        <v>0</v>
      </c>
      <c r="I65" s="265"/>
      <c r="J65" s="265"/>
      <c r="K65" s="262"/>
    </row>
    <row r="66" spans="1:11" s="263" customFormat="1" ht="24">
      <c r="A66" s="195" t="s">
        <v>1790</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1791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1792</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Bond  Counsel &amp; Legal Fees</v>
      </c>
      <c r="B69" s="264">
        <f>'Sources and Uses Budget'!C69</f>
        <v>150000</v>
      </c>
      <c r="C69" s="265"/>
      <c r="D69" s="265"/>
      <c r="E69" s="264">
        <f>'Sources and Uses Budget'!S69</f>
        <v>80000</v>
      </c>
      <c r="F69" s="265"/>
      <c r="G69" s="265"/>
      <c r="H69" s="264">
        <f>'Sources and Uses Budget'!T69</f>
        <v>0</v>
      </c>
      <c r="I69" s="265"/>
      <c r="J69" s="265"/>
      <c r="K69" s="262"/>
    </row>
    <row r="70" spans="1:11" s="263" customFormat="1">
      <c r="A70" s="268" t="s">
        <v>1870</v>
      </c>
      <c r="B70" s="264">
        <f>'Sources and Uses Budget'!C70</f>
        <v>200000</v>
      </c>
      <c r="C70" s="264">
        <f>SUM(C64:C69)</f>
        <v>0</v>
      </c>
      <c r="D70" s="264">
        <f>SUM(D64:D69)</f>
        <v>0</v>
      </c>
      <c r="E70" s="264">
        <f>'Sources and Uses Budget'!S70</f>
        <v>130000</v>
      </c>
      <c r="F70" s="270">
        <f>SUM(F65:F69)</f>
        <v>0</v>
      </c>
      <c r="G70" s="270">
        <f>SUM(G65:G69)</f>
        <v>0</v>
      </c>
      <c r="H70" s="264">
        <f>'Sources and Uses Budget'!T70</f>
        <v>0</v>
      </c>
      <c r="I70" s="270">
        <f>SUM(I65:I69)</f>
        <v>0</v>
      </c>
      <c r="J70" s="270">
        <f>SUM(J65:J69)</f>
        <v>0</v>
      </c>
      <c r="K70" s="262"/>
    </row>
    <row r="71" spans="1:11" s="263" customFormat="1">
      <c r="A71" s="260" t="s">
        <v>1795</v>
      </c>
      <c r="B71" s="261"/>
      <c r="C71" s="261"/>
      <c r="D71" s="261"/>
      <c r="E71" s="261"/>
      <c r="F71" s="261"/>
      <c r="G71" s="261"/>
      <c r="H71" s="261"/>
      <c r="I71" s="261"/>
      <c r="J71" s="261"/>
      <c r="K71" s="262"/>
    </row>
    <row r="72" spans="1:11" s="263" customFormat="1">
      <c r="A72" s="267" t="s">
        <v>1796</v>
      </c>
      <c r="B72" s="264">
        <f>'Sources and Uses Budget'!C72</f>
        <v>0</v>
      </c>
      <c r="C72" s="265"/>
      <c r="D72" s="265"/>
      <c r="E72" s="266"/>
      <c r="F72" s="266"/>
      <c r="G72" s="266"/>
      <c r="H72" s="266"/>
      <c r="I72" s="266"/>
      <c r="J72" s="266"/>
      <c r="K72" s="262"/>
    </row>
    <row r="73" spans="1:11" s="263" customFormat="1">
      <c r="A73" s="267" t="s">
        <v>1797</v>
      </c>
      <c r="B73" s="264">
        <f>'Sources and Uses Budget'!C73</f>
        <v>0</v>
      </c>
      <c r="C73" s="265"/>
      <c r="D73" s="265"/>
      <c r="E73" s="266"/>
      <c r="F73" s="266"/>
      <c r="G73" s="266"/>
      <c r="H73" s="266"/>
      <c r="I73" s="266"/>
      <c r="J73" s="266"/>
      <c r="K73" s="262"/>
    </row>
    <row r="74" spans="1:11" s="263" customFormat="1">
      <c r="A74" s="269" t="s">
        <v>1798</v>
      </c>
      <c r="B74" s="264">
        <f>'Sources and Uses Budget'!C74</f>
        <v>0</v>
      </c>
      <c r="C74" s="265"/>
      <c r="D74" s="265"/>
      <c r="E74" s="266"/>
      <c r="F74" s="266"/>
      <c r="G74" s="266"/>
      <c r="H74" s="266"/>
      <c r="I74" s="266"/>
      <c r="J74" s="266"/>
      <c r="K74" s="262"/>
    </row>
    <row r="75" spans="1:11" s="263" customFormat="1">
      <c r="A75" s="267" t="s">
        <v>1799</v>
      </c>
      <c r="B75" s="264">
        <f>'Sources and Uses Budget'!C75</f>
        <v>100000</v>
      </c>
      <c r="C75" s="265"/>
      <c r="D75" s="265"/>
      <c r="E75" s="266"/>
      <c r="F75" s="266"/>
      <c r="G75" s="266"/>
      <c r="H75" s="266"/>
      <c r="I75" s="266"/>
      <c r="J75" s="266"/>
      <c r="K75" s="262"/>
    </row>
    <row r="76" spans="1:11" s="263" customFormat="1">
      <c r="A76" s="267">
        <f>'Sources and Uses Budget'!$A76</f>
        <v>0</v>
      </c>
      <c r="B76" s="264">
        <f>'Sources and Uses Budget'!C76</f>
        <v>0</v>
      </c>
      <c r="C76" s="265"/>
      <c r="D76" s="265"/>
      <c r="E76" s="266"/>
      <c r="F76" s="266"/>
      <c r="G76" s="266"/>
      <c r="H76" s="266"/>
      <c r="I76" s="266"/>
      <c r="J76" s="266"/>
      <c r="K76" s="262"/>
    </row>
    <row r="77" spans="1:11" s="263" customFormat="1">
      <c r="A77" s="268" t="s">
        <v>1800</v>
      </c>
      <c r="B77" s="264">
        <f>'Sources and Uses Budget'!C77</f>
        <v>100000</v>
      </c>
      <c r="C77" s="264">
        <f>SUM(C72:C76)</f>
        <v>0</v>
      </c>
      <c r="D77" s="264">
        <f>SUM(D72:D76)</f>
        <v>0</v>
      </c>
      <c r="E77" s="266"/>
      <c r="F77" s="266"/>
      <c r="G77" s="266"/>
      <c r="H77" s="266"/>
      <c r="I77" s="266"/>
      <c r="J77" s="266"/>
      <c r="K77" s="262"/>
    </row>
    <row r="78" spans="1:11" s="263" customFormat="1">
      <c r="A78" s="260" t="s">
        <v>1801</v>
      </c>
      <c r="B78" s="261"/>
      <c r="C78" s="261"/>
      <c r="D78" s="261"/>
      <c r="E78" s="261"/>
      <c r="F78" s="261"/>
      <c r="G78" s="261"/>
      <c r="H78" s="261"/>
      <c r="I78" s="261"/>
      <c r="J78" s="261"/>
      <c r="K78" s="262"/>
    </row>
    <row r="79" spans="1:11" s="263" customFormat="1">
      <c r="A79" s="267" t="s">
        <v>1802</v>
      </c>
      <c r="B79" s="264">
        <f>'Sources and Uses Budget'!C79</f>
        <v>687095</v>
      </c>
      <c r="C79" s="265"/>
      <c r="D79" s="265"/>
      <c r="E79" s="264">
        <f>'Sources and Uses Budget'!S79</f>
        <v>687095</v>
      </c>
      <c r="F79" s="265"/>
      <c r="G79" s="265"/>
      <c r="H79" s="264">
        <f>'Sources and Uses Budget'!T79</f>
        <v>0</v>
      </c>
      <c r="I79" s="265"/>
      <c r="J79" s="265"/>
      <c r="K79" s="262"/>
    </row>
    <row r="80" spans="1:11" s="263" customFormat="1">
      <c r="A80" s="267" t="s">
        <v>1803</v>
      </c>
      <c r="B80" s="264">
        <f>'Sources and Uses Budget'!C80</f>
        <v>41888</v>
      </c>
      <c r="C80" s="265"/>
      <c r="D80" s="265"/>
      <c r="E80" s="264">
        <f>'Sources and Uses Budget'!S80</f>
        <v>41888</v>
      </c>
      <c r="F80" s="265"/>
      <c r="G80" s="265"/>
      <c r="H80" s="264">
        <f>'Sources and Uses Budget'!T80</f>
        <v>0</v>
      </c>
      <c r="I80" s="265"/>
      <c r="J80" s="265"/>
      <c r="K80" s="262"/>
    </row>
    <row r="81" spans="1:11" s="263" customFormat="1">
      <c r="A81" s="268" t="s">
        <v>1804</v>
      </c>
      <c r="B81" s="264">
        <f>'Sources and Uses Budget'!C81</f>
        <v>728983</v>
      </c>
      <c r="C81" s="264">
        <f>SUM(C79:C80)</f>
        <v>0</v>
      </c>
      <c r="D81" s="264">
        <f>SUM(D79:D80)</f>
        <v>0</v>
      </c>
      <c r="E81" s="264">
        <f>'Sources and Uses Budget'!S81</f>
        <v>728983</v>
      </c>
      <c r="F81" s="264">
        <f>SUM(F79:F80)</f>
        <v>0</v>
      </c>
      <c r="G81" s="264">
        <f>SUM(G79:G80)</f>
        <v>0</v>
      </c>
      <c r="H81" s="264">
        <f>'Sources and Uses Budget'!T81</f>
        <v>0</v>
      </c>
      <c r="I81" s="264">
        <f>SUM(I79:I80)</f>
        <v>0</v>
      </c>
      <c r="J81" s="264">
        <f>SUM(J79:J80)</f>
        <v>0</v>
      </c>
      <c r="K81" s="262"/>
    </row>
    <row r="82" spans="1:11" s="263" customFormat="1">
      <c r="A82" s="260" t="s">
        <v>1805</v>
      </c>
      <c r="B82" s="261"/>
      <c r="C82" s="261"/>
      <c r="D82" s="261"/>
      <c r="E82" s="261"/>
      <c r="F82" s="261"/>
      <c r="G82" s="261"/>
      <c r="H82" s="261"/>
      <c r="I82" s="261"/>
      <c r="J82" s="261"/>
      <c r="K82" s="262"/>
    </row>
    <row r="83" spans="1:11" s="263" customFormat="1" ht="13.7" customHeight="1">
      <c r="A83" s="195" t="s">
        <v>1806</v>
      </c>
      <c r="B83" s="264">
        <f>'Sources and Uses Budget'!C83</f>
        <v>26226</v>
      </c>
      <c r="C83" s="265"/>
      <c r="D83" s="265"/>
      <c r="E83" s="266"/>
      <c r="F83" s="266"/>
      <c r="G83" s="266"/>
      <c r="H83" s="266"/>
      <c r="I83" s="266"/>
      <c r="J83" s="266"/>
      <c r="K83" s="262"/>
    </row>
    <row r="84" spans="1:11" s="263" customFormat="1">
      <c r="A84" s="195" t="s">
        <v>1807</v>
      </c>
      <c r="B84" s="264">
        <f>'Sources and Uses Budget'!C84</f>
        <v>2793</v>
      </c>
      <c r="C84" s="265"/>
      <c r="D84" s="265"/>
      <c r="E84" s="264">
        <f>'Sources and Uses Budget'!S84</f>
        <v>2793</v>
      </c>
      <c r="F84" s="265"/>
      <c r="G84" s="265"/>
      <c r="H84" s="264">
        <f>'Sources and Uses Budget'!T84</f>
        <v>0</v>
      </c>
      <c r="I84" s="265"/>
      <c r="J84" s="265"/>
      <c r="K84" s="262"/>
    </row>
    <row r="85" spans="1:11" s="263" customFormat="1">
      <c r="A85" s="195" t="s">
        <v>1808</v>
      </c>
      <c r="B85" s="264">
        <f>'Sources and Uses Budget'!C85</f>
        <v>356000</v>
      </c>
      <c r="C85" s="265"/>
      <c r="D85" s="265"/>
      <c r="E85" s="264">
        <f>'Sources and Uses Budget'!S85</f>
        <v>356000</v>
      </c>
      <c r="F85" s="265"/>
      <c r="G85" s="265"/>
      <c r="H85" s="264">
        <f>'Sources and Uses Budget'!T85</f>
        <v>0</v>
      </c>
      <c r="I85" s="265"/>
      <c r="J85" s="265"/>
      <c r="K85" s="262"/>
    </row>
    <row r="86" spans="1:11" s="263" customFormat="1">
      <c r="A86" s="195" t="s">
        <v>1809</v>
      </c>
      <c r="B86" s="264">
        <f>'Sources and Uses Budget'!C86</f>
        <v>137419</v>
      </c>
      <c r="C86" s="265"/>
      <c r="D86" s="265"/>
      <c r="E86" s="264">
        <f>'Sources and Uses Budget'!S86</f>
        <v>137419</v>
      </c>
      <c r="F86" s="265"/>
      <c r="G86" s="265"/>
      <c r="H86" s="264">
        <f>'Sources and Uses Budget'!T86</f>
        <v>0</v>
      </c>
      <c r="I86" s="265"/>
      <c r="J86" s="265"/>
      <c r="K86" s="262"/>
    </row>
    <row r="87" spans="1:11" s="263" customFormat="1">
      <c r="A87" s="195" t="s">
        <v>1810</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1811</v>
      </c>
      <c r="B88" s="264">
        <f>'Sources and Uses Budget'!C88</f>
        <v>5000</v>
      </c>
      <c r="C88" s="265"/>
      <c r="D88" s="265"/>
      <c r="E88" s="266"/>
      <c r="F88" s="266"/>
      <c r="G88" s="266"/>
      <c r="H88" s="266"/>
      <c r="I88" s="266"/>
      <c r="J88" s="266"/>
      <c r="K88" s="262"/>
    </row>
    <row r="89" spans="1:11" s="263" customFormat="1">
      <c r="A89" s="195" t="s">
        <v>1812</v>
      </c>
      <c r="B89" s="264">
        <f>'Sources and Uses Budget'!C89</f>
        <v>21498</v>
      </c>
      <c r="C89" s="265"/>
      <c r="D89" s="265"/>
      <c r="E89" s="264">
        <f>'Sources and Uses Budget'!S89</f>
        <v>21498</v>
      </c>
      <c r="F89" s="265"/>
      <c r="G89" s="265"/>
      <c r="H89" s="264">
        <f>'Sources and Uses Budget'!T89</f>
        <v>0</v>
      </c>
      <c r="I89" s="265"/>
      <c r="J89" s="265"/>
      <c r="K89" s="262"/>
    </row>
    <row r="90" spans="1:11" s="263" customFormat="1">
      <c r="A90" s="195" t="s">
        <v>1813</v>
      </c>
      <c r="B90" s="264">
        <f>'Sources and Uses Budget'!C90</f>
        <v>6500</v>
      </c>
      <c r="C90" s="265"/>
      <c r="D90" s="265"/>
      <c r="E90" s="264">
        <f>'Sources and Uses Budget'!S90</f>
        <v>3250</v>
      </c>
      <c r="F90" s="265"/>
      <c r="G90" s="265"/>
      <c r="H90" s="264">
        <f>'Sources and Uses Budget'!T90</f>
        <v>0</v>
      </c>
      <c r="I90" s="265"/>
      <c r="J90" s="265"/>
      <c r="K90" s="262"/>
    </row>
    <row r="91" spans="1:11" s="263" customFormat="1">
      <c r="A91" s="409" t="s">
        <v>1814</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1815</v>
      </c>
      <c r="B92" s="264">
        <f>'Sources and Uses Budget'!C92</f>
        <v>6500</v>
      </c>
      <c r="C92" s="265"/>
      <c r="D92" s="265"/>
      <c r="E92" s="264">
        <f>'Sources and Uses Budget'!S92</f>
        <v>6500</v>
      </c>
      <c r="F92" s="265"/>
      <c r="G92" s="265"/>
      <c r="H92" s="264">
        <f>'Sources and Uses Budget'!T92</f>
        <v>0</v>
      </c>
      <c r="I92" s="265"/>
      <c r="J92" s="265"/>
      <c r="K92" s="262"/>
    </row>
    <row r="93" spans="1:11" s="263" customFormat="1">
      <c r="A93" s="267" t="str">
        <f>'Sources and Uses Budget'!$A93</f>
        <v>Audit</v>
      </c>
      <c r="B93" s="264">
        <f>'Sources and Uses Budget'!C93</f>
        <v>10000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1817</v>
      </c>
      <c r="B96" s="264">
        <f>'Sources and Uses Budget'!C96</f>
        <v>571936</v>
      </c>
      <c r="C96" s="264">
        <f>SUM(C83:C95)</f>
        <v>0</v>
      </c>
      <c r="D96" s="264">
        <f>SUM(D83:D95)</f>
        <v>0</v>
      </c>
      <c r="E96" s="264">
        <f>'Sources and Uses Budget'!S96</f>
        <v>527460</v>
      </c>
      <c r="F96" s="270">
        <f>SUM(F84:F87,F89:F95)</f>
        <v>0</v>
      </c>
      <c r="G96" s="270">
        <f>SUM(G84:G87,G89:G95)</f>
        <v>0</v>
      </c>
      <c r="H96" s="264">
        <f>'Sources and Uses Budget'!T96</f>
        <v>0</v>
      </c>
      <c r="I96" s="264">
        <f>SUM(I84:I87,I89:I95)</f>
        <v>0</v>
      </c>
      <c r="J96" s="264">
        <f>SUM(J84:J87,J89:J95)</f>
        <v>0</v>
      </c>
      <c r="K96" s="262"/>
    </row>
    <row r="97" spans="1:11" s="263" customFormat="1">
      <c r="A97" s="268" t="s">
        <v>1871</v>
      </c>
      <c r="B97" s="264">
        <f>'Sources and Uses Budget'!C97</f>
        <v>16891802</v>
      </c>
      <c r="C97" s="264">
        <f>SUM(C63+C70+C77+C81+C96)</f>
        <v>0</v>
      </c>
      <c r="D97" s="264">
        <f>SUM(D63+D70+D77+D81+D96)</f>
        <v>0</v>
      </c>
      <c r="E97" s="264">
        <f>'Sources and Uses Budget'!S97</f>
        <v>16431726</v>
      </c>
      <c r="F97" s="270">
        <f>SUM(+F63+F70+F81+F96)</f>
        <v>0</v>
      </c>
      <c r="G97" s="270">
        <f>SUM(+G63+G70+G81+G96)</f>
        <v>0</v>
      </c>
      <c r="H97" s="264">
        <f>'Sources and Uses Budget'!T97</f>
        <v>0</v>
      </c>
      <c r="I97" s="270">
        <f>SUM(I63+I70+I81+I96)</f>
        <v>0</v>
      </c>
      <c r="J97" s="270">
        <f>SUM(J63+J70+J81+J96)</f>
        <v>0</v>
      </c>
      <c r="K97" s="262"/>
    </row>
    <row r="98" spans="1:11" s="263" customFormat="1">
      <c r="A98" s="260" t="s">
        <v>1819</v>
      </c>
      <c r="B98" s="261"/>
      <c r="C98" s="261"/>
      <c r="D98" s="261"/>
      <c r="E98" s="261"/>
      <c r="F98" s="261"/>
      <c r="G98" s="261"/>
      <c r="H98" s="261"/>
      <c r="I98" s="261"/>
      <c r="J98" s="261"/>
      <c r="K98" s="262"/>
    </row>
    <row r="99" spans="1:11" s="263" customFormat="1">
      <c r="A99" s="195" t="s">
        <v>1820</v>
      </c>
      <c r="B99" s="264">
        <f>'Sources and Uses Budget'!C99</f>
        <v>2464759</v>
      </c>
      <c r="C99" s="265"/>
      <c r="D99" s="265"/>
      <c r="E99" s="264">
        <f>'Sources and Uses Budget'!S99</f>
        <v>2464759</v>
      </c>
      <c r="F99" s="265"/>
      <c r="G99" s="265"/>
      <c r="H99" s="264">
        <f>'Sources and Uses Budget'!T99</f>
        <v>0</v>
      </c>
      <c r="I99" s="265"/>
      <c r="J99" s="265"/>
      <c r="K99" s="262"/>
    </row>
    <row r="100" spans="1:11" s="263" customFormat="1">
      <c r="A100" s="195" t="s">
        <v>1821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1822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1824</v>
      </c>
      <c r="B104" s="264">
        <f>'Sources and Uses Budget'!C104</f>
        <v>2464759</v>
      </c>
      <c r="C104" s="264">
        <f>SUM(C99:C103)</f>
        <v>0</v>
      </c>
      <c r="D104" s="264">
        <f>SUM(D99:D103)</f>
        <v>0</v>
      </c>
      <c r="E104" s="264">
        <f>'Sources and Uses Budget'!S104</f>
        <v>2464759</v>
      </c>
      <c r="F104" s="270">
        <f>SUM(F99:F103)</f>
        <v>0</v>
      </c>
      <c r="G104" s="270">
        <f>SUM(G99:G103)</f>
        <v>0</v>
      </c>
      <c r="H104" s="264">
        <f>'Sources and Uses Budget'!T104</f>
        <v>0</v>
      </c>
      <c r="I104" s="270">
        <f>SUM(I99:I103)</f>
        <v>0</v>
      </c>
      <c r="J104" s="270">
        <f>SUM(J99:J103)</f>
        <v>0</v>
      </c>
      <c r="K104" s="262"/>
    </row>
    <row r="105" spans="1:11" s="263" customFormat="1">
      <c r="A105" s="268" t="s">
        <v>1872</v>
      </c>
      <c r="B105" s="264">
        <f>'Sources and Uses Budget'!C105</f>
        <v>19356561</v>
      </c>
      <c r="C105" s="270">
        <f>SUM(C97+C104)</f>
        <v>0</v>
      </c>
      <c r="D105" s="270">
        <f>SUM(D97+D104)</f>
        <v>0</v>
      </c>
      <c r="E105" s="264">
        <f>'Sources and Uses Budget'!S105</f>
        <v>18896485</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1873</v>
      </c>
      <c r="E107" s="264">
        <f>'Sources and Uses Budget'!S107</f>
        <v>18896485</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51" t="s">
        <v>1874</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1875</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 xml:space="preserve">Bakersfield Senior Affordable Housing </v>
      </c>
      <c r="M4" s="2244"/>
      <c r="N4" s="2244"/>
      <c r="O4" s="2244"/>
      <c r="P4" s="2244"/>
      <c r="Q4" s="2244"/>
      <c r="R4" s="2244"/>
      <c r="S4" s="2244"/>
      <c r="T4" s="2244"/>
      <c r="U4" s="2244"/>
      <c r="V4" s="2244"/>
      <c r="W4" s="2244"/>
      <c r="X4" s="2244"/>
      <c r="Y4" s="2244"/>
      <c r="Z4" s="2244"/>
      <c r="AA4" s="2244"/>
      <c r="AB4" s="2244"/>
      <c r="AC4" s="2245"/>
      <c r="AD4" s="1079"/>
      <c r="AE4" s="1079"/>
      <c r="AF4" s="2239" t="s">
        <v>1876</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1877</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1878</v>
      </c>
      <c r="C6" s="1079"/>
      <c r="D6" s="1079"/>
      <c r="E6" s="1079"/>
      <c r="F6" s="1079"/>
      <c r="G6" s="1079"/>
      <c r="H6" s="1079"/>
      <c r="I6" s="1079"/>
      <c r="J6" s="1079"/>
      <c r="K6" s="1079"/>
      <c r="L6" s="2243" t="str">
        <f>IF(Application!H16="","",Application!H16)</f>
        <v>Housing Authority of the County of Kern</v>
      </c>
      <c r="M6" s="2244"/>
      <c r="N6" s="2244"/>
      <c r="O6" s="2244"/>
      <c r="P6" s="2244"/>
      <c r="Q6" s="2244"/>
      <c r="R6" s="2244"/>
      <c r="S6" s="2244"/>
      <c r="T6" s="2244"/>
      <c r="U6" s="2244"/>
      <c r="V6" s="2244"/>
      <c r="W6" s="2244"/>
      <c r="X6" s="2244"/>
      <c r="Y6" s="2244"/>
      <c r="Z6" s="2244"/>
      <c r="AA6" s="2244"/>
      <c r="AB6" s="2244"/>
      <c r="AC6" s="2245"/>
      <c r="AD6" s="1079"/>
      <c r="AE6" s="1079"/>
      <c r="AF6" s="2246" t="s">
        <v>1879</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1880</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thickBot="1">
      <c r="A8" s="1078"/>
      <c r="B8" s="1081" t="s">
        <v>1881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1882</v>
      </c>
      <c r="AG8" s="2246"/>
      <c r="AH8" s="2246"/>
      <c r="AI8" s="2246"/>
      <c r="AJ8" s="2246"/>
      <c r="AK8" s="2246"/>
      <c r="AL8" s="2246"/>
      <c r="AM8" s="2246"/>
      <c r="AN8" s="2246"/>
      <c r="AO8" s="2246"/>
      <c r="AP8" s="2247" t="s">
        <v>686</v>
      </c>
      <c r="AQ8" s="2247"/>
      <c r="AR8" s="2247"/>
      <c r="AS8" s="2247"/>
      <c r="AT8" s="2247"/>
      <c r="AU8" s="2247"/>
      <c r="AV8" s="1079"/>
      <c r="AW8" s="1079"/>
      <c r="AX8" s="1079"/>
      <c r="AY8" s="1079"/>
      <c r="AZ8" s="1079"/>
      <c r="BA8" s="1079"/>
      <c r="BB8" s="1079"/>
      <c r="BC8" s="1079"/>
      <c r="BD8" s="1079"/>
      <c r="BE8" s="1080"/>
      <c r="BM8" s="1076" t="s">
        <v>1883</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1884</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1885</v>
      </c>
    </row>
    <row r="10" spans="1:65" ht="15">
      <c r="A10" s="1078"/>
      <c r="B10" s="1081" t="s">
        <v>1886</v>
      </c>
      <c r="C10" s="1081"/>
      <c r="D10" s="1081"/>
      <c r="E10" s="1081"/>
      <c r="F10" s="1081"/>
      <c r="G10" s="1081"/>
      <c r="H10" s="1081"/>
      <c r="I10" s="1081"/>
      <c r="J10" s="1081"/>
      <c r="K10" s="1081"/>
      <c r="L10" s="1081"/>
      <c r="M10" s="1079"/>
      <c r="N10" s="2242">
        <f>Application!AO627</f>
        <v>2100000</v>
      </c>
      <c r="O10" s="2242"/>
      <c r="P10" s="2242"/>
      <c r="Q10" s="2242"/>
      <c r="R10" s="2242"/>
      <c r="S10" s="2242"/>
      <c r="T10" s="2242"/>
      <c r="U10" s="1079"/>
      <c r="V10" s="1079"/>
      <c r="W10" s="1079"/>
      <c r="X10" s="1082"/>
      <c r="Y10" s="1082"/>
      <c r="Z10" s="1082"/>
      <c r="AA10" s="1082"/>
      <c r="AB10" s="1082"/>
      <c r="AC10" s="1082"/>
      <c r="AD10" s="1082"/>
      <c r="AE10" s="1082"/>
      <c r="AF10" s="2239" t="s">
        <v>1887</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1888</v>
      </c>
    </row>
    <row r="11" spans="1:65" ht="15">
      <c r="A11" s="1078"/>
      <c r="B11" s="1081" t="s">
        <v>1889</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1890</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1891</v>
      </c>
    </row>
    <row r="13" spans="1:65" thickBot="1">
      <c r="A13" s="1079"/>
      <c r="B13" s="2230" t="s">
        <v>1892</v>
      </c>
      <c r="C13" s="2231"/>
      <c r="D13" s="2231"/>
      <c r="E13" s="2231"/>
      <c r="F13" s="2231"/>
      <c r="G13" s="2231"/>
      <c r="H13" s="2231"/>
      <c r="I13" s="2231"/>
      <c r="J13" s="2231"/>
      <c r="K13" s="2231"/>
      <c r="L13" s="2231"/>
      <c r="M13" s="2231"/>
      <c r="N13" s="2231"/>
      <c r="O13" s="2231"/>
      <c r="P13" s="2232"/>
      <c r="Q13" s="2233" t="s">
        <v>694</v>
      </c>
      <c r="R13" s="2234"/>
      <c r="S13" s="2234"/>
      <c r="T13" s="2235"/>
      <c r="U13" s="1082"/>
      <c r="V13" s="1079"/>
      <c r="W13" s="1079"/>
      <c r="X13" s="1079"/>
      <c r="Y13" s="1079"/>
      <c r="Z13" s="1079"/>
      <c r="AA13" s="2220" t="s">
        <v>1893</v>
      </c>
      <c r="AB13" s="2220"/>
      <c r="AC13" s="2220"/>
      <c r="AD13" s="2220"/>
      <c r="AE13" s="2220"/>
      <c r="AF13" s="2220"/>
      <c r="AG13" s="2220"/>
      <c r="AH13" s="2220"/>
      <c r="AI13" s="2220"/>
      <c r="AJ13" s="2220"/>
      <c r="AK13" s="2220"/>
      <c r="AL13" s="2220"/>
      <c r="AM13" s="2220"/>
      <c r="AN13" s="2220"/>
      <c r="AO13" s="2236">
        <f>Application!W473</f>
        <v>19</v>
      </c>
      <c r="AP13" s="2237"/>
      <c r="AQ13" s="2237"/>
      <c r="AR13" s="2237"/>
      <c r="AS13" s="2237"/>
      <c r="AT13" s="1082"/>
      <c r="AU13" s="1082"/>
      <c r="AV13" s="1082"/>
      <c r="AW13" s="1082"/>
      <c r="AX13" s="1082"/>
      <c r="AY13" s="1082"/>
      <c r="AZ13" s="1082"/>
      <c r="BA13" s="1082"/>
      <c r="BB13" s="1082"/>
      <c r="BC13" s="1082"/>
      <c r="BD13" s="1082"/>
      <c r="BE13" s="1083"/>
      <c r="BM13" s="1076" t="s">
        <v>1894</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1895</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thickBot="1">
      <c r="A15" s="1079"/>
      <c r="B15" s="2215" t="s">
        <v>1896</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1897</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8" t="s">
        <v>1898</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1899</v>
      </c>
      <c r="C18" s="2224"/>
      <c r="D18" s="2224"/>
      <c r="E18" s="2224"/>
      <c r="F18" s="2224"/>
      <c r="G18" s="2224"/>
      <c r="H18" s="2224"/>
      <c r="I18" s="2225"/>
      <c r="J18" s="2226" t="s">
        <v>1900</v>
      </c>
      <c r="K18" s="2227"/>
      <c r="L18" s="2227"/>
      <c r="M18" s="2227"/>
      <c r="N18" s="2227"/>
      <c r="O18" s="2228"/>
      <c r="P18" s="2226" t="s">
        <v>831</v>
      </c>
      <c r="Q18" s="2227"/>
      <c r="R18" s="2227"/>
      <c r="S18" s="2227"/>
      <c r="T18" s="2227"/>
      <c r="U18" s="2228"/>
      <c r="V18" s="2226" t="s">
        <v>832</v>
      </c>
      <c r="W18" s="2227"/>
      <c r="X18" s="2227"/>
      <c r="Y18" s="2227"/>
      <c r="Z18" s="2227"/>
      <c r="AA18" s="2228"/>
      <c r="AB18" s="2226" t="s">
        <v>833</v>
      </c>
      <c r="AC18" s="2227"/>
      <c r="AD18" s="2227"/>
      <c r="AE18" s="2227"/>
      <c r="AF18" s="2227"/>
      <c r="AG18" s="2228"/>
      <c r="AH18" s="2226" t="s">
        <v>834</v>
      </c>
      <c r="AI18" s="2227"/>
      <c r="AJ18" s="2227"/>
      <c r="AK18" s="2227"/>
      <c r="AL18" s="2227"/>
      <c r="AM18" s="2228"/>
      <c r="AN18" s="2226" t="s">
        <v>835</v>
      </c>
      <c r="AO18" s="2227"/>
      <c r="AP18" s="2227"/>
      <c r="AQ18" s="2227"/>
      <c r="AR18" s="2227"/>
      <c r="AS18" s="2228"/>
      <c r="AT18" s="2226" t="s">
        <v>1901</v>
      </c>
      <c r="AU18" s="2227"/>
      <c r="AV18" s="2227"/>
      <c r="AW18" s="2227"/>
      <c r="AX18" s="2227"/>
      <c r="AY18" s="2229"/>
      <c r="AZ18" s="1079"/>
      <c r="BA18" s="1079"/>
      <c r="BB18" s="1079"/>
      <c r="BC18" s="1079"/>
      <c r="BD18" s="1079"/>
      <c r="BE18" s="1083"/>
    </row>
    <row r="19" spans="1:58" ht="15">
      <c r="A19" s="1079"/>
      <c r="B19" s="2209">
        <v>0.3</v>
      </c>
      <c r="C19" s="2210"/>
      <c r="D19" s="2210"/>
      <c r="E19" s="2210"/>
      <c r="F19" s="2210"/>
      <c r="G19" s="2210"/>
      <c r="H19" s="2210"/>
      <c r="I19" s="2211"/>
      <c r="J19" s="2212">
        <f t="shared" ref="J19:J24" si="0">SUM(P19:AS19)</f>
        <v>17</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17</v>
      </c>
      <c r="W19" s="2213"/>
      <c r="X19" s="2213"/>
      <c r="Y19" s="2213"/>
      <c r="Z19" s="2213"/>
      <c r="AA19" s="2214"/>
      <c r="AB19" s="2212" cm="1">
        <f t="array" ref="AB19">SUMPRODUCT((Application!$B$714:$B$738 = 'CalHFA Addendum'!AB$18)*(Application!$AC$714:$AC$738 = 'CalHFA Addendum'!$B19),Application!$G$714:$G$738)</f>
        <v>0</v>
      </c>
      <c r="AC19" s="2213"/>
      <c r="AD19" s="2213"/>
      <c r="AE19" s="2213"/>
      <c r="AF19" s="2213"/>
      <c r="AG19" s="2214"/>
      <c r="AH19" s="2212" cm="1">
        <f t="array" ref="AH19">SUMPRODUCT((Application!$B$714:$B$738 = 'CalHFA Addendum'!AH$18)*(Application!$AC$714:$AC$738 = 'CalHFA Addendum'!$B19),Application!$G$714:$G$738)</f>
        <v>0</v>
      </c>
      <c r="AI19" s="2213"/>
      <c r="AJ19" s="2213"/>
      <c r="AK19" s="2213"/>
      <c r="AL19" s="2213"/>
      <c r="AM19" s="2214"/>
      <c r="AN19" s="2212" cm="1">
        <f t="array" ref="AN19">SUMPRODUCT((Application!$B$714:$B$738 = 'CalHFA Addendum'!AN$18)*(Application!$AC$714:$AC$738 = 'CalHFA Addendum'!$B19),Application!$G$714:$G$738)</f>
        <v>0</v>
      </c>
      <c r="AO19" s="2213"/>
      <c r="AP19" s="2213"/>
      <c r="AQ19" s="2213"/>
      <c r="AR19" s="2213"/>
      <c r="AS19" s="2214"/>
      <c r="AT19" s="2197">
        <f t="shared" ref="AT19:AT29" si="1">J19/$J$29</f>
        <v>0.47222222222222221</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v>
      </c>
      <c r="AU20" s="2198"/>
      <c r="AV20" s="2198"/>
      <c r="AW20" s="2198"/>
      <c r="AX20" s="2198"/>
      <c r="AY20" s="2199"/>
      <c r="AZ20" s="1079"/>
      <c r="BA20" s="1079"/>
      <c r="BB20" s="1079"/>
      <c r="BC20" s="1079"/>
      <c r="BD20" s="1079"/>
      <c r="BE20" s="1083"/>
    </row>
    <row r="21" spans="1:58" ht="15">
      <c r="A21" s="1079"/>
      <c r="B21" s="2209">
        <v>0.5</v>
      </c>
      <c r="C21" s="2210"/>
      <c r="D21" s="2210"/>
      <c r="E21" s="2210"/>
      <c r="F21" s="2210"/>
      <c r="G21" s="2210"/>
      <c r="H21" s="2210"/>
      <c r="I21" s="2211"/>
      <c r="J21" s="2212">
        <f t="shared" si="0"/>
        <v>7</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7</v>
      </c>
      <c r="W21" s="2213"/>
      <c r="X21" s="2213"/>
      <c r="Y21" s="2213"/>
      <c r="Z21" s="2213"/>
      <c r="AA21" s="2214"/>
      <c r="AB21" s="2212" cm="1">
        <f t="array" ref="AB21">SUMPRODUCT((Application!$B$714:$B$738 = 'CalHFA Addendum'!AB$18)*(Application!$AC$714:$AC$738 = 'CalHFA Addendum'!$B21),Application!$G$714:$G$738)</f>
        <v>0</v>
      </c>
      <c r="AC21" s="2213"/>
      <c r="AD21" s="2213"/>
      <c r="AE21" s="2213"/>
      <c r="AF21" s="2213"/>
      <c r="AG21" s="2214"/>
      <c r="AH21" s="2212" cm="1">
        <f t="array" ref="AH21">SUMPRODUCT((Application!$B$714:$B$738 = 'CalHFA Addendum'!AH$18)*(Application!$AC$714:$AC$738 = 'CalHFA Addendum'!$B21),Application!$G$714:$G$738)</f>
        <v>0</v>
      </c>
      <c r="AI21" s="2213"/>
      <c r="AJ21" s="2213"/>
      <c r="AK21" s="2213"/>
      <c r="AL21" s="2213"/>
      <c r="AM21" s="2214"/>
      <c r="AN21" s="2212" cm="1">
        <f t="array" ref="AN21">SUMPRODUCT((Application!$B$714:$B$738 = 'CalHFA Addendum'!AN$18)*(Application!$AC$714:$AC$738 = 'CalHFA Addendum'!$B21),Application!$G$714:$G$738)</f>
        <v>0</v>
      </c>
      <c r="AO21" s="2213"/>
      <c r="AP21" s="2213"/>
      <c r="AQ21" s="2213"/>
      <c r="AR21" s="2213"/>
      <c r="AS21" s="2214"/>
      <c r="AT21" s="2197">
        <f t="shared" si="1"/>
        <v>0.19444444444444445</v>
      </c>
      <c r="AU21" s="2198"/>
      <c r="AV21" s="2198"/>
      <c r="AW21" s="2198"/>
      <c r="AX21" s="2198"/>
      <c r="AY21" s="2199"/>
      <c r="AZ21" s="1079"/>
      <c r="BA21" s="1079"/>
      <c r="BB21" s="1079"/>
      <c r="BC21" s="1079"/>
      <c r="BD21" s="1079"/>
      <c r="BE21" s="1083"/>
    </row>
    <row r="22" spans="1:58" ht="15">
      <c r="A22" s="1079"/>
      <c r="B22" s="2209">
        <v>0.6</v>
      </c>
      <c r="C22" s="2210"/>
      <c r="D22" s="2210"/>
      <c r="E22" s="2210"/>
      <c r="F22" s="2210"/>
      <c r="G22" s="2210"/>
      <c r="H22" s="2210"/>
      <c r="I22" s="2211"/>
      <c r="J22" s="2212">
        <f t="shared" si="0"/>
        <v>11</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11</v>
      </c>
      <c r="W22" s="2213"/>
      <c r="X22" s="2213"/>
      <c r="Y22" s="2213"/>
      <c r="Z22" s="2213"/>
      <c r="AA22" s="2214"/>
      <c r="AB22" s="2212" cm="1">
        <f t="array" ref="AB22">SUMPRODUCT((Application!$B$714:$B$738 = 'CalHFA Addendum'!AB$18)*(Application!$AC$714:$AC$738 = 'CalHFA Addendum'!$B22),Application!$G$714:$G$738)</f>
        <v>0</v>
      </c>
      <c r="AC22" s="2213"/>
      <c r="AD22" s="2213"/>
      <c r="AE22" s="2213"/>
      <c r="AF22" s="2213"/>
      <c r="AG22" s="2214"/>
      <c r="AH22" s="2212" cm="1">
        <f t="array" ref="AH22">SUMPRODUCT((Application!$B$714:$B$738 = 'CalHFA Addendum'!AH$18)*(Application!$AC$714:$AC$738 = 'CalHFA Addendum'!$B22),Application!$G$714:$G$738)</f>
        <v>0</v>
      </c>
      <c r="AI22" s="2213"/>
      <c r="AJ22" s="2213"/>
      <c r="AK22" s="2213"/>
      <c r="AL22" s="2213"/>
      <c r="AM22" s="2214"/>
      <c r="AN22" s="2212" cm="1">
        <f t="array" ref="AN22">SUMPRODUCT((Application!$B$714:$B$738 = 'CalHFA Addendum'!AN$18)*(Application!$AC$714:$AC$738 = 'CalHFA Addendum'!$B22),Application!$G$714:$G$738)</f>
        <v>0</v>
      </c>
      <c r="AO22" s="2213"/>
      <c r="AP22" s="2213"/>
      <c r="AQ22" s="2213"/>
      <c r="AR22" s="2213"/>
      <c r="AS22" s="2214"/>
      <c r="AT22" s="2197">
        <f t="shared" si="1"/>
        <v>0.30555555555555558</v>
      </c>
      <c r="AU22" s="2198"/>
      <c r="AV22" s="2198"/>
      <c r="AW22" s="2198"/>
      <c r="AX22" s="2198"/>
      <c r="AY22" s="2199"/>
      <c r="AZ22" s="1079"/>
      <c r="BA22" s="1079"/>
      <c r="BB22" s="1079"/>
      <c r="BC22" s="1079"/>
      <c r="BD22" s="1079"/>
      <c r="BE22" s="1083"/>
    </row>
    <row r="23" spans="1:58" ht="15">
      <c r="A23" s="1079"/>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v>
      </c>
      <c r="AU23" s="2198"/>
      <c r="AV23" s="2198"/>
      <c r="AW23" s="2198"/>
      <c r="AX23" s="2198"/>
      <c r="AY23" s="2199"/>
      <c r="AZ23" s="1079"/>
      <c r="BA23" s="1079"/>
      <c r="BB23" s="1079"/>
      <c r="BC23" s="1079"/>
      <c r="BD23" s="1079"/>
      <c r="BE23" s="1083"/>
    </row>
    <row r="24" spans="1:58" ht="15">
      <c r="A24" s="1079"/>
      <c r="B24" s="2209">
        <v>0.8</v>
      </c>
      <c r="C24" s="2210"/>
      <c r="D24" s="2210"/>
      <c r="E24" s="2210"/>
      <c r="F24" s="2210"/>
      <c r="G24" s="2210"/>
      <c r="H24" s="2210"/>
      <c r="I24" s="2211"/>
      <c r="J24" s="2212">
        <f t="shared" si="0"/>
        <v>0</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0</v>
      </c>
      <c r="W24" s="2213"/>
      <c r="X24" s="2213"/>
      <c r="Y24" s="2213"/>
      <c r="Z24" s="2213"/>
      <c r="AA24" s="2214"/>
      <c r="AB24" s="2212" cm="1">
        <f t="array" ref="AB24">SUMPRODUCT((Application!$B$714:$B$738 = 'CalHFA Addendum'!AB$18)*(Application!$AC$714:$AC$738 = 'CalHFA Addendum'!$B24),Application!$G$714:$G$738)</f>
        <v>0</v>
      </c>
      <c r="AC24" s="2213"/>
      <c r="AD24" s="2213"/>
      <c r="AE24" s="2213"/>
      <c r="AF24" s="2213"/>
      <c r="AG24" s="2214"/>
      <c r="AH24" s="2212" cm="1">
        <f t="array" ref="AH24">SUMPRODUCT((Application!$B$714:$B$738 = 'CalHFA Addendum'!AH$18)*(Application!$AC$714:$AC$738 = 'CalHFA Addendum'!$B24),Application!$G$714:$G$738)</f>
        <v>0</v>
      </c>
      <c r="AI24" s="2213"/>
      <c r="AJ24" s="2213"/>
      <c r="AK24" s="2213"/>
      <c r="AL24" s="2213"/>
      <c r="AM24" s="2214"/>
      <c r="AN24" s="2212" cm="1">
        <f t="array" ref="AN24">SUMPRODUCT((Application!$B$714:$B$738 = 'CalHFA Addendum'!AN$18)*(Application!$AC$714:$AC$738 = 'CalHFA Addendum'!$B24),Application!$G$714:$G$738)</f>
        <v>0</v>
      </c>
      <c r="AO24" s="2213"/>
      <c r="AP24" s="2213"/>
      <c r="AQ24" s="2213"/>
      <c r="AR24" s="2213"/>
      <c r="AS24" s="2214"/>
      <c r="AT24" s="2197">
        <f t="shared" si="1"/>
        <v>0</v>
      </c>
      <c r="AU24" s="2198"/>
      <c r="AV24" s="2198"/>
      <c r="AW24" s="2198"/>
      <c r="AX24" s="2198"/>
      <c r="AY24" s="2199"/>
      <c r="AZ24" s="1079"/>
      <c r="BA24" s="1079"/>
      <c r="BB24" s="1079"/>
      <c r="BC24" s="1079"/>
      <c r="BD24" s="1079"/>
      <c r="BE24" s="1083"/>
    </row>
    <row r="25" spans="1:58" ht="1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thickBot="1">
      <c r="A28" s="1079"/>
      <c r="B28" s="2200" t="s">
        <v>1902</v>
      </c>
      <c r="C28" s="2201"/>
      <c r="D28" s="2201"/>
      <c r="E28" s="2201"/>
      <c r="F28" s="2201"/>
      <c r="G28" s="2201"/>
      <c r="H28" s="2201"/>
      <c r="I28" s="2202"/>
      <c r="J28" s="2203">
        <f>SUM(P28:AS28)</f>
        <v>1</v>
      </c>
      <c r="K28" s="2204"/>
      <c r="L28" s="2204"/>
      <c r="M28" s="2204"/>
      <c r="N28" s="2204"/>
      <c r="O28" s="2205"/>
      <c r="P28" s="2203">
        <f>_xlfn.IFNA(VLOOKUP(P$18,Application!$J$773:$S$776,6,FALSE), 0)</f>
        <v>0</v>
      </c>
      <c r="Q28" s="2204"/>
      <c r="R28" s="2204"/>
      <c r="S28" s="2204"/>
      <c r="T28" s="2204"/>
      <c r="U28" s="2205"/>
      <c r="V28" s="2203">
        <f>_xlfn.IFNA(VLOOKUP(V$18,Application!$J$773:$S$776,6,FALSE), 0)</f>
        <v>0</v>
      </c>
      <c r="W28" s="2204"/>
      <c r="X28" s="2204"/>
      <c r="Y28" s="2204"/>
      <c r="Z28" s="2204"/>
      <c r="AA28" s="2205"/>
      <c r="AB28" s="2203">
        <f>_xlfn.IFNA(VLOOKUP(AB$18,Application!$J$773:$S$776,6,FALSE), 0)</f>
        <v>1</v>
      </c>
      <c r="AC28" s="2204"/>
      <c r="AD28" s="2204"/>
      <c r="AE28" s="2204"/>
      <c r="AF28" s="2204"/>
      <c r="AG28" s="2205"/>
      <c r="AH28" s="2203">
        <f>_xlfn.IFNA(VLOOKUP(AH$18,Application!$J$773:$S$776,6,FALSE), 0)</f>
        <v>0</v>
      </c>
      <c r="AI28" s="2204"/>
      <c r="AJ28" s="2204"/>
      <c r="AK28" s="2204"/>
      <c r="AL28" s="2204"/>
      <c r="AM28" s="2205"/>
      <c r="AN28" s="2203">
        <f>_xlfn.IFNA(VLOOKUP(AN$18,Application!$J$773:$S$776,6,FALSE), 0)</f>
        <v>0</v>
      </c>
      <c r="AO28" s="2204"/>
      <c r="AP28" s="2204"/>
      <c r="AQ28" s="2204"/>
      <c r="AR28" s="2204"/>
      <c r="AS28" s="2205"/>
      <c r="AT28" s="2206">
        <f t="shared" si="1"/>
        <v>2.7777777777777776E-2</v>
      </c>
      <c r="AU28" s="2207"/>
      <c r="AV28" s="2207"/>
      <c r="AW28" s="2207"/>
      <c r="AX28" s="2207"/>
      <c r="AY28" s="2208"/>
      <c r="AZ28" s="1079"/>
      <c r="BA28" s="1079"/>
      <c r="BB28" s="1079"/>
      <c r="BC28" s="1079"/>
      <c r="BD28" s="1079"/>
      <c r="BE28" s="1083"/>
    </row>
    <row r="29" spans="1:58" thickBot="1">
      <c r="A29" s="1079"/>
      <c r="B29" s="2183" t="s">
        <v>1900</v>
      </c>
      <c r="C29" s="2156"/>
      <c r="D29" s="2156"/>
      <c r="E29" s="2156"/>
      <c r="F29" s="2156"/>
      <c r="G29" s="2156"/>
      <c r="H29" s="2156"/>
      <c r="I29" s="2157"/>
      <c r="J29" s="2155">
        <f>SUM(J19:O28)</f>
        <v>36</v>
      </c>
      <c r="K29" s="2156"/>
      <c r="L29" s="2156"/>
      <c r="M29" s="2156"/>
      <c r="N29" s="2156"/>
      <c r="O29" s="2157"/>
      <c r="P29" s="2155">
        <f>SUM(P19:U28)</f>
        <v>0</v>
      </c>
      <c r="Q29" s="2156"/>
      <c r="R29" s="2156"/>
      <c r="S29" s="2156"/>
      <c r="T29" s="2156"/>
      <c r="U29" s="2157"/>
      <c r="V29" s="2155">
        <f>SUM(V19:AA28)</f>
        <v>35</v>
      </c>
      <c r="W29" s="2156"/>
      <c r="X29" s="2156"/>
      <c r="Y29" s="2156"/>
      <c r="Z29" s="2156"/>
      <c r="AA29" s="2157"/>
      <c r="AB29" s="2155">
        <f>SUM(AB19:AG28)</f>
        <v>1</v>
      </c>
      <c r="AC29" s="2156"/>
      <c r="AD29" s="2156"/>
      <c r="AE29" s="2156"/>
      <c r="AF29" s="2156"/>
      <c r="AG29" s="2157"/>
      <c r="AH29" s="2155">
        <f>SUM(AH19:AM28)</f>
        <v>0</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1" t="s">
        <v>1903</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thickBot="1">
      <c r="A32" s="1079"/>
      <c r="B32" s="2164" t="s">
        <v>1904</v>
      </c>
      <c r="C32" s="2165"/>
      <c r="D32" s="2165"/>
      <c r="E32" s="2165"/>
      <c r="F32" s="2165"/>
      <c r="G32" s="2165"/>
      <c r="H32" s="2165"/>
      <c r="I32" s="2165"/>
      <c r="J32" s="2168" t="s">
        <v>1905</v>
      </c>
      <c r="K32" s="2169"/>
      <c r="L32" s="2169"/>
      <c r="M32" s="2169"/>
      <c r="N32" s="2168" t="s">
        <v>1906</v>
      </c>
      <c r="O32" s="2169"/>
      <c r="P32" s="2169"/>
      <c r="Q32" s="2171"/>
      <c r="R32" s="2173" t="s">
        <v>1907</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1908</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1909</v>
      </c>
      <c r="AT35" s="2185"/>
      <c r="AU35" s="2185"/>
      <c r="AV35" s="2185"/>
      <c r="AW35" s="2185"/>
      <c r="AX35" s="2193"/>
      <c r="AY35" s="2184" t="s">
        <v>1910</v>
      </c>
      <c r="AZ35" s="2185"/>
      <c r="BA35" s="2185"/>
      <c r="BB35" s="2185"/>
      <c r="BC35" s="2185"/>
      <c r="BD35" s="2186"/>
      <c r="BE35" s="1083"/>
    </row>
    <row r="36" spans="1:58" ht="15.75" customHeight="1">
      <c r="A36" s="1079"/>
      <c r="B36" s="2088" t="s">
        <v>1911</v>
      </c>
      <c r="C36" s="2089"/>
      <c r="D36" s="2089"/>
      <c r="E36" s="2089"/>
      <c r="F36" s="2089"/>
      <c r="G36" s="2089"/>
      <c r="H36" s="2089"/>
      <c r="I36" s="2089"/>
      <c r="J36" s="2153" t="s">
        <v>1912</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1913</v>
      </c>
      <c r="C37" s="2089"/>
      <c r="D37" s="2089"/>
      <c r="E37" s="2089"/>
      <c r="F37" s="2089"/>
      <c r="G37" s="2089"/>
      <c r="H37" s="2089"/>
      <c r="I37" s="2089"/>
      <c r="J37" s="2153" t="s">
        <v>1914</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1915</v>
      </c>
      <c r="C38" s="2089"/>
      <c r="D38" s="2089"/>
      <c r="E38" s="2089"/>
      <c r="F38" s="2089"/>
      <c r="G38" s="2089"/>
      <c r="H38" s="2089"/>
      <c r="I38" s="2089"/>
      <c r="J38" s="2153" t="s">
        <v>1916</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1917</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1917</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1918</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1918</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1919</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1920</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1921</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1922</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1053</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1923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1924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1925</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1926</v>
      </c>
      <c r="C51" s="2031"/>
      <c r="D51" s="2031"/>
      <c r="E51" s="2031"/>
      <c r="F51" s="2031"/>
      <c r="G51" s="2031"/>
      <c r="H51" s="2031"/>
      <c r="I51" s="2031"/>
      <c r="J51" s="2031" t="s">
        <v>1927</v>
      </c>
      <c r="K51" s="2031"/>
      <c r="L51" s="2031"/>
      <c r="M51" s="2031"/>
      <c r="N51" s="2031"/>
      <c r="O51" s="2031"/>
      <c r="P51" s="2031"/>
      <c r="Q51" s="2031"/>
      <c r="R51" s="2132" t="s">
        <v>1928</v>
      </c>
      <c r="S51" s="2132"/>
      <c r="T51" s="2132"/>
      <c r="U51" s="2132"/>
      <c r="V51" s="2132"/>
      <c r="W51" s="2132"/>
      <c r="X51" s="2132"/>
      <c r="Y51" s="2132"/>
      <c r="Z51" s="2132" t="s">
        <v>1929</v>
      </c>
      <c r="AA51" s="2132"/>
      <c r="AB51" s="2132"/>
      <c r="AC51" s="2132"/>
      <c r="AD51" s="2132"/>
      <c r="AE51" s="2132"/>
      <c r="AF51" s="2132"/>
      <c r="AG51" s="2132"/>
      <c r="AH51" s="2132" t="s">
        <v>1930</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1931</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1932</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1900</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1926</v>
      </c>
      <c r="C59" s="2122"/>
      <c r="D59" s="2122"/>
      <c r="E59" s="2122"/>
      <c r="F59" s="2122"/>
      <c r="G59" s="2122"/>
      <c r="H59" s="2122"/>
      <c r="I59" s="2123"/>
      <c r="J59" s="2029" t="s">
        <v>1933</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1934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1935</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1936</v>
      </c>
      <c r="AD68" s="1955"/>
      <c r="AE68" s="1955"/>
      <c r="AF68" s="1955"/>
      <c r="AG68" s="1955"/>
      <c r="AH68" s="1955"/>
      <c r="AI68" s="1955"/>
      <c r="AJ68" s="1955"/>
      <c r="AK68" s="1955"/>
      <c r="AL68" s="1955"/>
      <c r="AM68" s="1955"/>
      <c r="AN68" s="1955"/>
      <c r="AO68" s="1955"/>
      <c r="AP68" s="1955"/>
      <c r="AQ68" s="1955"/>
      <c r="AR68" s="1955"/>
      <c r="AS68" s="1955"/>
      <c r="AT68" s="1955"/>
      <c r="AU68" s="1955"/>
      <c r="AV68" s="2105" t="s">
        <v>694</v>
      </c>
      <c r="AW68" s="2011"/>
      <c r="AX68" s="2011"/>
      <c r="AY68" s="2011"/>
      <c r="AZ68" s="2011"/>
      <c r="BA68" s="2011"/>
      <c r="BB68" s="2011"/>
      <c r="BC68" s="2012"/>
      <c r="BD68" s="1079"/>
      <c r="BE68" s="1083"/>
      <c r="BM68" s="1088" t="s">
        <v>1937</v>
      </c>
    </row>
    <row r="69" spans="1:94" ht="15.75" customHeight="1" thickTop="1" thickBot="1">
      <c r="A69" s="1079"/>
      <c r="B69" s="2106" t="s">
        <v>1938</v>
      </c>
      <c r="C69" s="2107"/>
      <c r="D69" s="2107"/>
      <c r="E69" s="2107"/>
      <c r="F69" s="2107"/>
      <c r="G69" s="2107"/>
      <c r="H69" s="2107"/>
      <c r="I69" s="2107"/>
      <c r="J69" s="2107"/>
      <c r="K69" s="2107"/>
      <c r="L69" s="2107"/>
      <c r="M69" s="2107"/>
      <c r="N69" s="2107"/>
      <c r="O69" s="2108" t="s">
        <v>1939</v>
      </c>
      <c r="P69" s="2109"/>
      <c r="Q69" s="2109"/>
      <c r="R69" s="2109"/>
      <c r="S69" s="2109"/>
      <c r="T69" s="2109"/>
      <c r="U69" s="2109"/>
      <c r="V69" s="2109"/>
      <c r="W69" s="2109"/>
      <c r="X69" s="2109"/>
      <c r="Y69" s="2109"/>
      <c r="Z69" s="2109"/>
      <c r="AA69" s="2110"/>
      <c r="AB69" s="1079"/>
      <c r="AC69" s="2111" t="s">
        <v>1940</v>
      </c>
      <c r="AD69" s="2112"/>
      <c r="AE69" s="2112"/>
      <c r="AF69" s="2112"/>
      <c r="AG69" s="2112"/>
      <c r="AH69" s="2112"/>
      <c r="AI69" s="2112"/>
      <c r="AJ69" s="2112"/>
      <c r="AK69" s="2112"/>
      <c r="AL69" s="2112"/>
      <c r="AM69" s="2112"/>
      <c r="AN69" s="2112"/>
      <c r="AO69" s="2112"/>
      <c r="AP69" s="2112"/>
      <c r="AQ69" s="2112"/>
      <c r="AR69" s="2112"/>
      <c r="AS69" s="2112"/>
      <c r="AT69" s="2112"/>
      <c r="AU69" s="2112"/>
      <c r="AV69" s="2105" t="s">
        <v>694</v>
      </c>
      <c r="AW69" s="2011"/>
      <c r="AX69" s="2011"/>
      <c r="AY69" s="2011"/>
      <c r="AZ69" s="2011"/>
      <c r="BA69" s="2011"/>
      <c r="BB69" s="2011"/>
      <c r="BC69" s="2012"/>
      <c r="BD69" s="1079"/>
      <c r="BE69" s="1083"/>
      <c r="BM69" s="1089" t="s">
        <v>846</v>
      </c>
    </row>
    <row r="70" spans="1:94" ht="15.75" customHeight="1">
      <c r="A70" s="1079"/>
      <c r="B70" s="2088" t="s">
        <v>1941</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1942</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694</v>
      </c>
    </row>
    <row r="71" spans="1:94" ht="15.75" customHeight="1" thickBot="1">
      <c r="A71" s="1079"/>
      <c r="B71" s="2088" t="s">
        <v>1943</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1944</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1945</v>
      </c>
    </row>
    <row r="72" spans="1:94" ht="15.75" customHeight="1">
      <c r="A72" s="1079"/>
      <c r="B72" s="2088" t="s">
        <v>1946</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1947</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1948</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1949</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1464</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1950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1951</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1952</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1953</v>
      </c>
      <c r="C81" s="2083"/>
      <c r="D81" s="2083"/>
      <c r="E81" s="2083"/>
      <c r="F81" s="2083"/>
      <c r="G81" s="2083"/>
      <c r="H81" s="2083"/>
      <c r="I81" s="2083"/>
      <c r="J81" s="2083"/>
      <c r="K81" s="2083"/>
      <c r="L81" s="2083"/>
      <c r="M81" s="2083"/>
      <c r="N81" s="2083"/>
      <c r="O81" s="2083"/>
      <c r="P81" s="2083"/>
      <c r="Q81" s="2083"/>
      <c r="R81" s="2064" t="s">
        <v>1954</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1955</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1956</v>
      </c>
      <c r="AK83" s="2053"/>
      <c r="AL83" s="2053"/>
      <c r="AM83" s="2053"/>
      <c r="AN83" s="2053"/>
      <c r="AO83" s="2053"/>
      <c r="AP83" s="2053"/>
      <c r="AQ83" s="2053"/>
      <c r="AR83" s="2053"/>
      <c r="AS83" s="2053"/>
      <c r="AT83" s="2053"/>
      <c r="AU83" s="2053"/>
      <c r="AV83" s="2053"/>
      <c r="AW83" s="2053"/>
      <c r="AX83" s="2053"/>
      <c r="AY83" s="2069" t="s">
        <v>846</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1957</v>
      </c>
      <c r="J84" s="2031"/>
      <c r="K84" s="2031"/>
      <c r="L84" s="2031"/>
      <c r="M84" s="2031"/>
      <c r="N84" s="2031"/>
      <c r="O84" s="2031" t="s">
        <v>1958</v>
      </c>
      <c r="P84" s="2031"/>
      <c r="Q84" s="2031"/>
      <c r="R84" s="2031"/>
      <c r="S84" s="2031"/>
      <c r="T84" s="2031"/>
      <c r="U84" s="2031"/>
      <c r="V84" s="2067" t="s">
        <v>1959</v>
      </c>
      <c r="W84" s="2067"/>
      <c r="X84" s="2067"/>
      <c r="Y84" s="2067"/>
      <c r="Z84" s="2067"/>
      <c r="AA84" s="2067"/>
      <c r="AB84" s="2001" t="s">
        <v>1960</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1961</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1962</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1963</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1964</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1965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1951</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1966</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1967</v>
      </c>
      <c r="C94" s="2083"/>
      <c r="D94" s="2083"/>
      <c r="E94" s="2083"/>
      <c r="F94" s="2083"/>
      <c r="G94" s="2083"/>
      <c r="H94" s="2083"/>
      <c r="I94" s="2083"/>
      <c r="J94" s="2083"/>
      <c r="K94" s="2083"/>
      <c r="L94" s="2083"/>
      <c r="M94" s="2083"/>
      <c r="N94" s="2083"/>
      <c r="O94" s="2083"/>
      <c r="P94" s="2083"/>
      <c r="Q94" s="2084"/>
      <c r="R94" s="2064" t="s">
        <v>1954</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1968</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1969</v>
      </c>
      <c r="AK96" s="2053"/>
      <c r="AL96" s="2053"/>
      <c r="AM96" s="2053"/>
      <c r="AN96" s="2053"/>
      <c r="AO96" s="2053"/>
      <c r="AP96" s="2053"/>
      <c r="AQ96" s="2053"/>
      <c r="AR96" s="2053"/>
      <c r="AS96" s="2053"/>
      <c r="AT96" s="2053"/>
      <c r="AU96" s="2053"/>
      <c r="AV96" s="2053"/>
      <c r="AW96" s="2053"/>
      <c r="AX96" s="2053"/>
      <c r="AY96" s="2069" t="s">
        <v>846</v>
      </c>
      <c r="AZ96" s="2069"/>
      <c r="BA96" s="2069"/>
      <c r="BB96" s="2070"/>
      <c r="BC96" s="1079"/>
      <c r="BD96" s="1079"/>
      <c r="BE96" s="1083"/>
      <c r="BQ96" s="1145" t="str">
        <f>Application!M243&amp;IF(TRIM(Application!AA249)&lt;&gt;""," ("&amp;Application!AA249&amp;")","")</f>
        <v>Golden Empire Affordable Housing</v>
      </c>
      <c r="BR96" s="1148">
        <f>Application!AH246</f>
        <v>5.0000000000000001E-4</v>
      </c>
      <c r="CM96" s="1077"/>
      <c r="CN96" s="1077"/>
      <c r="CO96" s="1077"/>
      <c r="CP96" s="1077"/>
    </row>
    <row r="97" spans="1:94" ht="15.75" customHeight="1">
      <c r="A97" s="1079"/>
      <c r="B97" s="2063"/>
      <c r="C97" s="2031"/>
      <c r="D97" s="2031"/>
      <c r="E97" s="2031"/>
      <c r="F97" s="2031"/>
      <c r="G97" s="2031"/>
      <c r="H97" s="2031"/>
      <c r="I97" s="2031" t="s">
        <v>1957</v>
      </c>
      <c r="J97" s="2031"/>
      <c r="K97" s="2031"/>
      <c r="L97" s="2031"/>
      <c r="M97" s="2031"/>
      <c r="N97" s="2031"/>
      <c r="O97" s="2031" t="s">
        <v>1958</v>
      </c>
      <c r="P97" s="2031"/>
      <c r="Q97" s="2031"/>
      <c r="R97" s="2031"/>
      <c r="S97" s="2031"/>
      <c r="T97" s="2031"/>
      <c r="U97" s="2031"/>
      <c r="V97" s="2067" t="s">
        <v>1959</v>
      </c>
      <c r="W97" s="2067"/>
      <c r="X97" s="2067"/>
      <c r="Y97" s="2067"/>
      <c r="Z97" s="2067"/>
      <c r="AA97" s="2067"/>
      <c r="AB97" s="2001" t="s">
        <v>1960</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 xml:space="preserve">Housing Authority of the County of Kern </v>
      </c>
      <c r="BR97" s="1148">
        <f>Application!AH254</f>
        <v>5.0000000000000001E-4</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1961</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1962</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1963</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1964</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Housing Authority of the County of Kern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1970</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1951</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1971</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1972</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1957</v>
      </c>
      <c r="J108" s="2031"/>
      <c r="K108" s="2031"/>
      <c r="L108" s="2031"/>
      <c r="M108" s="2031"/>
      <c r="N108" s="2031"/>
      <c r="O108" s="2031" t="s">
        <v>1958</v>
      </c>
      <c r="P108" s="2031"/>
      <c r="Q108" s="2031"/>
      <c r="R108" s="2031"/>
      <c r="S108" s="2031"/>
      <c r="T108" s="2031"/>
      <c r="U108" s="2031"/>
      <c r="V108" s="2067" t="s">
        <v>1959</v>
      </c>
      <c r="W108" s="2067"/>
      <c r="X108" s="2067"/>
      <c r="Y108" s="2067"/>
      <c r="Z108" s="2067"/>
      <c r="AA108" s="2067"/>
      <c r="AB108" s="2001" t="s">
        <v>1960</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1961</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1962</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1964</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1973</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1951</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1974</v>
      </c>
      <c r="C117" s="2037"/>
      <c r="D117" s="2037"/>
      <c r="E117" s="2037"/>
      <c r="F117" s="2037"/>
      <c r="G117" s="2037"/>
      <c r="H117" s="2037"/>
      <c r="I117" s="2037"/>
      <c r="J117" s="2037"/>
      <c r="K117" s="2037"/>
      <c r="L117" s="2037"/>
      <c r="M117" s="2037"/>
      <c r="N117" s="2037"/>
      <c r="O117" s="2037"/>
      <c r="P117" s="2037"/>
      <c r="Q117" s="2037"/>
      <c r="R117" s="2037"/>
      <c r="S117" s="2037"/>
      <c r="T117" s="2037"/>
      <c r="U117" s="2040" t="s">
        <v>846</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1974</v>
      </c>
      <c r="C121" s="2045"/>
      <c r="D121" s="2045"/>
      <c r="E121" s="2045"/>
      <c r="F121" s="2045"/>
      <c r="G121" s="2045"/>
      <c r="H121" s="2045"/>
      <c r="I121" s="2045"/>
      <c r="J121" s="2045"/>
      <c r="K121" s="2045"/>
      <c r="L121" s="2045"/>
      <c r="M121" s="2045"/>
      <c r="N121" s="2045"/>
      <c r="O121" s="2045"/>
      <c r="P121" s="2045"/>
      <c r="Q121" s="2045"/>
      <c r="R121" s="2045"/>
      <c r="S121" s="2045"/>
      <c r="T121" s="2045"/>
      <c r="U121" s="2048" t="s">
        <v>846</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1975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1976</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1977</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1978</v>
      </c>
      <c r="J127" s="2031"/>
      <c r="K127" s="2031"/>
      <c r="L127" s="2031"/>
      <c r="M127" s="2031"/>
      <c r="N127" s="2031"/>
      <c r="O127" s="2032" t="s">
        <v>1979</v>
      </c>
      <c r="P127" s="2032"/>
      <c r="Q127" s="2032"/>
      <c r="R127" s="2032"/>
      <c r="S127" s="2032"/>
      <c r="T127" s="2032"/>
      <c r="U127" s="2033"/>
      <c r="V127" s="1079"/>
      <c r="W127" s="1079"/>
      <c r="X127" s="1971" t="s">
        <v>1949</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1980</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1981</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1982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1983</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1958</v>
      </c>
      <c r="J134" s="2006"/>
      <c r="K134" s="2006"/>
      <c r="L134" s="2006"/>
      <c r="M134" s="2006"/>
      <c r="N134" s="2006"/>
      <c r="O134" s="2006"/>
      <c r="P134" s="2006" t="s">
        <v>1959</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1980</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1981</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1984</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846</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1985</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1986</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846</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1987</v>
      </c>
      <c r="C142" s="2014"/>
      <c r="D142" s="2014"/>
      <c r="E142" s="2014"/>
      <c r="F142" s="2014"/>
      <c r="G142" s="2014"/>
      <c r="H142" s="2014"/>
      <c r="I142" s="2014"/>
      <c r="J142" s="2014"/>
      <c r="K142" s="2014"/>
      <c r="L142" s="2014"/>
      <c r="M142" s="2014"/>
      <c r="N142" s="2014"/>
      <c r="O142" s="2014"/>
      <c r="P142" s="2014"/>
      <c r="Q142" s="2014"/>
      <c r="R142" s="2015" t="s">
        <v>1988</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1989</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1990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1991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1992</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1993</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1958</v>
      </c>
      <c r="J157" s="2006"/>
      <c r="K157" s="2006"/>
      <c r="L157" s="2006"/>
      <c r="M157" s="2006"/>
      <c r="N157" s="2006"/>
      <c r="O157" s="2006"/>
      <c r="P157" s="2006" t="s">
        <v>1994</v>
      </c>
      <c r="Q157" s="2006"/>
      <c r="R157" s="2006"/>
      <c r="S157" s="2006"/>
      <c r="T157" s="2006"/>
      <c r="U157" s="2007"/>
      <c r="V157" s="1079"/>
      <c r="W157" s="1079"/>
      <c r="X157" s="1968"/>
      <c r="Y157" s="1969"/>
      <c r="Z157" s="1969"/>
      <c r="AA157" s="1969"/>
      <c r="AB157" s="1969"/>
      <c r="AC157" s="1969"/>
      <c r="AD157" s="1969"/>
      <c r="AE157" s="2006" t="s">
        <v>1958</v>
      </c>
      <c r="AF157" s="2006"/>
      <c r="AG157" s="2006"/>
      <c r="AH157" s="2006"/>
      <c r="AI157" s="2006"/>
      <c r="AJ157" s="2006"/>
      <c r="AK157" s="2006"/>
      <c r="AL157" s="2006" t="s">
        <v>1959</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1980</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1980</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1981</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1995</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1996</v>
      </c>
      <c r="D163" s="1969"/>
      <c r="E163" s="1969"/>
      <c r="F163" s="1969"/>
      <c r="G163" s="1969"/>
      <c r="H163" s="1969"/>
      <c r="I163" s="1969"/>
      <c r="J163" s="1969"/>
      <c r="K163" s="1969"/>
      <c r="L163" s="1969"/>
      <c r="M163" s="1969"/>
      <c r="N163" s="1969"/>
      <c r="O163" s="1969"/>
      <c r="P163" s="1969"/>
      <c r="Q163" s="1969" t="s">
        <v>1997</v>
      </c>
      <c r="R163" s="1969"/>
      <c r="S163" s="1969"/>
      <c r="T163" s="2001" t="s">
        <v>1998</v>
      </c>
      <c r="U163" s="2001"/>
      <c r="V163" s="2001"/>
      <c r="W163" s="2001"/>
      <c r="X163" s="2001"/>
      <c r="Y163" s="2001"/>
      <c r="Z163" s="2001"/>
      <c r="AA163" s="2001"/>
      <c r="AB163" s="1969" t="s">
        <v>1999</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2000</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2001</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2002</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1922</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2003</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2003</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2003</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2004</v>
      </c>
      <c r="D172" s="1955"/>
      <c r="E172" s="1955"/>
      <c r="F172" s="1955"/>
      <c r="G172" s="1955"/>
      <c r="H172" s="1955"/>
      <c r="I172" s="1955"/>
      <c r="J172" s="1955"/>
      <c r="K172" s="1955"/>
      <c r="L172" s="1955"/>
      <c r="M172" s="1955"/>
      <c r="N172" s="1964"/>
      <c r="O172" s="1079"/>
      <c r="P172" s="1965" t="s">
        <v>2005</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2006</v>
      </c>
      <c r="D173" s="1969"/>
      <c r="E173" s="1969"/>
      <c r="F173" s="1969"/>
      <c r="G173" s="1969"/>
      <c r="H173" s="1969"/>
      <c r="I173" s="1969" t="s">
        <v>2007</v>
      </c>
      <c r="J173" s="1969"/>
      <c r="K173" s="1969"/>
      <c r="L173" s="1969"/>
      <c r="M173" s="1969"/>
      <c r="N173" s="1970"/>
      <c r="O173" s="1079"/>
      <c r="P173" s="1971" t="s">
        <v>1949</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2008</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1996</v>
      </c>
      <c r="D184" s="1955"/>
      <c r="E184" s="1955"/>
      <c r="F184" s="1955"/>
      <c r="G184" s="1955"/>
      <c r="H184" s="1955"/>
      <c r="I184" s="1955"/>
      <c r="J184" s="1955"/>
      <c r="K184" s="1955"/>
      <c r="L184" s="1955"/>
      <c r="M184" s="1955"/>
      <c r="N184" s="1955" t="s">
        <v>2009</v>
      </c>
      <c r="O184" s="1955"/>
      <c r="P184" s="1955"/>
      <c r="Q184" s="1955"/>
      <c r="R184" s="1955"/>
      <c r="S184" s="1955"/>
      <c r="T184" s="1955"/>
      <c r="U184" s="1956" t="s">
        <v>1996</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2010</v>
      </c>
      <c r="D185" s="1934"/>
      <c r="E185" s="1934"/>
      <c r="F185" s="1934"/>
      <c r="G185" s="1934"/>
      <c r="H185" s="1934"/>
      <c r="I185" s="1934"/>
      <c r="J185" s="1934"/>
      <c r="K185" s="1934"/>
      <c r="L185" s="1934"/>
      <c r="M185" s="1934"/>
      <c r="N185" s="1944">
        <f>'Sources and Uses Budget'!B105</f>
        <v>19356561</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2011</v>
      </c>
      <c r="D186" s="1934"/>
      <c r="E186" s="1934"/>
      <c r="F186" s="1934"/>
      <c r="G186" s="1934"/>
      <c r="H186" s="1934"/>
      <c r="I186" s="1934"/>
      <c r="J186" s="1934"/>
      <c r="K186" s="1934"/>
      <c r="L186" s="1934"/>
      <c r="M186" s="1934"/>
      <c r="N186" s="1944">
        <f>N185/J29</f>
        <v>537682.25</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2012</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2013</v>
      </c>
      <c r="D188" s="1934"/>
      <c r="E188" s="1934"/>
      <c r="F188" s="1934"/>
      <c r="G188" s="1934"/>
      <c r="H188" s="1934"/>
      <c r="I188" s="1934"/>
      <c r="J188" s="1934"/>
      <c r="K188" s="1934"/>
      <c r="L188" s="1934"/>
      <c r="M188" s="1934"/>
      <c r="N188" s="1963">
        <f>SUM('Sources and Uses Budget'!B85:B86)</f>
        <v>493419</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2014</v>
      </c>
      <c r="D189" s="1934"/>
      <c r="E189" s="1934"/>
      <c r="F189" s="1934"/>
      <c r="G189" s="1934"/>
      <c r="H189" s="1934"/>
      <c r="I189" s="1934"/>
      <c r="J189" s="1934"/>
      <c r="K189" s="1934"/>
      <c r="L189" s="1934"/>
      <c r="M189" s="1934"/>
      <c r="N189" s="1963">
        <f>'Sources and Uses Budget'!B8</f>
        <v>0</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1418</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2015</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1418</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2016</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2017</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1053</v>
      </c>
      <c r="D192" s="1926"/>
      <c r="E192" s="1918" t="s">
        <v>2003</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2018</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1053</v>
      </c>
      <c r="D193" s="1917"/>
      <c r="E193" s="1918" t="s">
        <v>2003</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1053</v>
      </c>
      <c r="D194" s="1905"/>
      <c r="E194" s="1906" t="s">
        <v>2003</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2019</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2020</v>
      </c>
      <c r="D195" s="1888"/>
      <c r="E195" s="1888"/>
      <c r="F195" s="1888"/>
      <c r="G195" s="1888"/>
      <c r="H195" s="1888"/>
      <c r="I195" s="1888"/>
      <c r="J195" s="1888"/>
      <c r="K195" s="1888"/>
      <c r="L195" s="1888"/>
      <c r="M195" s="1888"/>
      <c r="N195" s="1889">
        <f>SUM(N187:T194)</f>
        <v>493419</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2021</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2022</v>
      </c>
      <c r="D196" s="1898"/>
      <c r="E196" s="1898"/>
      <c r="F196" s="1898"/>
      <c r="G196" s="1898"/>
      <c r="H196" s="1898"/>
      <c r="I196" s="1898"/>
      <c r="J196" s="1898"/>
      <c r="K196" s="1898"/>
      <c r="L196" s="1898"/>
      <c r="M196" s="1898"/>
      <c r="N196" s="1899">
        <f>(N185-N195)/J29</f>
        <v>523976.16666666669</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2023</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2024</v>
      </c>
      <c r="D200" s="1885"/>
      <c r="E200" s="1885"/>
      <c r="F200" s="1885"/>
      <c r="G200" s="1885"/>
      <c r="H200" s="1885"/>
      <c r="I200" s="1885"/>
      <c r="J200" s="1885"/>
      <c r="K200" s="1885"/>
      <c r="L200" s="1885"/>
      <c r="M200" s="1885"/>
      <c r="N200" s="1885"/>
      <c r="O200" s="1886" t="s">
        <v>2025</v>
      </c>
      <c r="P200" s="1886"/>
      <c r="Q200" s="1886"/>
      <c r="R200" s="1886"/>
      <c r="S200" s="1886"/>
      <c r="T200" s="1886"/>
      <c r="U200" s="1886"/>
      <c r="V200" s="1886"/>
      <c r="W200" s="1886"/>
      <c r="X200" s="1886" t="s">
        <v>2026</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2027</v>
      </c>
      <c r="D201" s="1877"/>
      <c r="E201" s="1877"/>
      <c r="F201" s="1877"/>
      <c r="G201" s="1877"/>
      <c r="H201" s="1877"/>
      <c r="I201" s="1877"/>
      <c r="J201" s="1877"/>
      <c r="K201" s="1877"/>
      <c r="L201" s="1877"/>
      <c r="M201" s="1877"/>
      <c r="N201" s="1877"/>
      <c r="O201" s="1878" t="s">
        <v>2028</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2029</v>
      </c>
      <c r="D202" s="1877"/>
      <c r="E202" s="1877"/>
      <c r="F202" s="1877"/>
      <c r="G202" s="1877"/>
      <c r="H202" s="1877"/>
      <c r="I202" s="1877"/>
      <c r="J202" s="1877"/>
      <c r="K202" s="1877"/>
      <c r="L202" s="1877"/>
      <c r="M202" s="1877"/>
      <c r="N202" s="1877"/>
      <c r="O202" s="1878" t="s">
        <v>2028</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2030</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2031</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2032</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2033</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2034</v>
      </c>
      <c r="D207" s="1856"/>
      <c r="E207" s="1856"/>
      <c r="F207" s="1857"/>
      <c r="G207" s="1861" t="s">
        <v>2035</v>
      </c>
      <c r="H207" s="1856"/>
      <c r="I207" s="1856"/>
      <c r="J207" s="1856"/>
      <c r="K207" s="1856"/>
      <c r="L207" s="1856"/>
      <c r="M207" s="1856"/>
      <c r="N207" s="1856"/>
      <c r="O207" s="1857"/>
      <c r="P207" s="1863" t="s">
        <v>2036</v>
      </c>
      <c r="Q207" s="1864"/>
      <c r="R207" s="1864"/>
      <c r="S207" s="1864"/>
      <c r="T207" s="1865"/>
      <c r="U207" s="1869" t="s">
        <v>2037</v>
      </c>
      <c r="V207" s="1870"/>
      <c r="W207" s="1870"/>
      <c r="X207" s="1871"/>
      <c r="Y207" s="1869" t="s">
        <v>2038</v>
      </c>
      <c r="Z207" s="1870"/>
      <c r="AA207" s="1870"/>
      <c r="AB207" s="1871"/>
      <c r="AC207" s="1869" t="s">
        <v>2039</v>
      </c>
      <c r="AD207" s="1870"/>
      <c r="AE207" s="1870"/>
      <c r="AF207" s="1871"/>
      <c r="AG207" s="1861" t="s">
        <v>2040</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2041</v>
      </c>
      <c r="H209" s="1846"/>
      <c r="I209" s="1846"/>
      <c r="J209" s="1846"/>
      <c r="K209" s="1846"/>
      <c r="L209" s="1846"/>
      <c r="M209" s="1846"/>
      <c r="N209" s="1846"/>
      <c r="O209" s="1846"/>
      <c r="P209" s="1847"/>
      <c r="Q209" s="1850"/>
      <c r="R209" s="1850"/>
      <c r="S209" s="1850"/>
      <c r="T209" s="1850"/>
      <c r="U209" s="1848" t="s">
        <v>2041</v>
      </c>
      <c r="V209" s="1848"/>
      <c r="W209" s="1848"/>
      <c r="X209" s="1848"/>
      <c r="Y209" s="1848" t="s">
        <v>2041</v>
      </c>
      <c r="Z209" s="1848"/>
      <c r="AA209" s="1848"/>
      <c r="AB209" s="1848"/>
      <c r="AC209" s="1849" t="s">
        <v>2041</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2041</v>
      </c>
      <c r="H210" s="1846"/>
      <c r="I210" s="1846"/>
      <c r="J210" s="1846"/>
      <c r="K210" s="1846"/>
      <c r="L210" s="1846"/>
      <c r="M210" s="1846"/>
      <c r="N210" s="1846"/>
      <c r="O210" s="1846"/>
      <c r="P210" s="1847"/>
      <c r="Q210" s="1847"/>
      <c r="R210" s="1847"/>
      <c r="S210" s="1847"/>
      <c r="T210" s="1847"/>
      <c r="U210" s="1848" t="s">
        <v>2041</v>
      </c>
      <c r="V210" s="1848"/>
      <c r="W210" s="1848"/>
      <c r="X210" s="1848"/>
      <c r="Y210" s="1848" t="s">
        <v>2041</v>
      </c>
      <c r="Z210" s="1848"/>
      <c r="AA210" s="1848"/>
      <c r="AB210" s="1848"/>
      <c r="AC210" s="1849" t="s">
        <v>2041</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2041</v>
      </c>
      <c r="H211" s="1846"/>
      <c r="I211" s="1846"/>
      <c r="J211" s="1846"/>
      <c r="K211" s="1846"/>
      <c r="L211" s="1846"/>
      <c r="M211" s="1846"/>
      <c r="N211" s="1846"/>
      <c r="O211" s="1846"/>
      <c r="P211" s="1847"/>
      <c r="Q211" s="1847"/>
      <c r="R211" s="1847"/>
      <c r="S211" s="1847"/>
      <c r="T211" s="1847"/>
      <c r="U211" s="1848" t="s">
        <v>2041</v>
      </c>
      <c r="V211" s="1848"/>
      <c r="W211" s="1848"/>
      <c r="X211" s="1848"/>
      <c r="Y211" s="1848" t="s">
        <v>2041</v>
      </c>
      <c r="Z211" s="1848"/>
      <c r="AA211" s="1848"/>
      <c r="AB211" s="1848"/>
      <c r="AC211" s="1849" t="s">
        <v>2041</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2041</v>
      </c>
      <c r="H212" s="1846"/>
      <c r="I212" s="1846"/>
      <c r="J212" s="1846"/>
      <c r="K212" s="1846"/>
      <c r="L212" s="1846"/>
      <c r="M212" s="1846"/>
      <c r="N212" s="1846"/>
      <c r="O212" s="1846"/>
      <c r="P212" s="1847"/>
      <c r="Q212" s="1847"/>
      <c r="R212" s="1847"/>
      <c r="S212" s="1847"/>
      <c r="T212" s="1847"/>
      <c r="U212" s="1848" t="s">
        <v>2041</v>
      </c>
      <c r="V212" s="1848"/>
      <c r="W212" s="1848"/>
      <c r="X212" s="1848"/>
      <c r="Y212" s="1848" t="s">
        <v>2041</v>
      </c>
      <c r="Z212" s="1848"/>
      <c r="AA212" s="1848"/>
      <c r="AB212" s="1848"/>
      <c r="AC212" s="1849" t="s">
        <v>2041</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2041</v>
      </c>
      <c r="H213" s="1846"/>
      <c r="I213" s="1846"/>
      <c r="J213" s="1846"/>
      <c r="K213" s="1846"/>
      <c r="L213" s="1846"/>
      <c r="M213" s="1846"/>
      <c r="N213" s="1846"/>
      <c r="O213" s="1846"/>
      <c r="P213" s="1847"/>
      <c r="Q213" s="1847"/>
      <c r="R213" s="1847"/>
      <c r="S213" s="1847"/>
      <c r="T213" s="1847"/>
      <c r="U213" s="1848" t="s">
        <v>2041</v>
      </c>
      <c r="V213" s="1848"/>
      <c r="W213" s="1848"/>
      <c r="X213" s="1848"/>
      <c r="Y213" s="1848" t="s">
        <v>2041</v>
      </c>
      <c r="Z213" s="1848"/>
      <c r="AA213" s="1848"/>
      <c r="AB213" s="1848"/>
      <c r="AC213" s="1849" t="s">
        <v>2041</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2041</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2041</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2041</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2042</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2043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2044</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2045</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2046</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2047</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2048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2049</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2050</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2051</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2052</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1951</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809</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2053</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2054</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8"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61" sqref="A61:BX61"/>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4" t="s">
        <v>2055</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871</v>
      </c>
      <c r="C5" s="307" t="s">
        <v>270</v>
      </c>
      <c r="F5" s="307"/>
    </row>
    <row r="6" spans="1:40" ht="12.95" customHeight="1">
      <c r="A6" s="307"/>
      <c r="C6" s="305" t="s">
        <v>2056</v>
      </c>
    </row>
    <row r="7" spans="1:40" ht="12.9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2.9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5" customHeight="1">
      <c r="B11" s="2270" t="s">
        <v>1873</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18896485</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5" customHeight="1">
      <c r="B12" s="2308" t="s">
        <v>2057</v>
      </c>
      <c r="C12" s="1270"/>
      <c r="D12" s="1270"/>
      <c r="E12" s="1270"/>
      <c r="F12" s="1270"/>
      <c r="G12" s="1270"/>
      <c r="H12" s="1270"/>
      <c r="I12" s="1270"/>
      <c r="J12" s="1270"/>
      <c r="K12" s="1270"/>
      <c r="L12" s="1270"/>
      <c r="M12" s="1270"/>
      <c r="N12" s="1270"/>
      <c r="O12" s="1270"/>
      <c r="P12" s="1270"/>
      <c r="Q12" s="1270"/>
      <c r="R12" s="1270"/>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5" customHeight="1">
      <c r="B13" s="338"/>
      <c r="C13" s="2310" t="s">
        <v>2058</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38"/>
      <c r="C14" s="2310" t="s">
        <v>2059</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5" customHeight="1">
      <c r="B15" s="338"/>
      <c r="C15" s="2310" t="s">
        <v>2060</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5" customHeight="1">
      <c r="B16" s="338"/>
      <c r="C16" s="2310" t="s">
        <v>2061</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5" customHeight="1">
      <c r="B17" s="338"/>
      <c r="C17" s="2310" t="s">
        <v>2062</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5" customHeight="1">
      <c r="A18"/>
      <c r="B18" s="1039"/>
      <c r="C18" s="1515" t="s">
        <v>2063</v>
      </c>
      <c r="D18" s="1515"/>
      <c r="E18" s="1515"/>
      <c r="F18" s="1515"/>
      <c r="G18" s="1515"/>
      <c r="H18" s="1515"/>
      <c r="I18" s="1515"/>
      <c r="J18" s="1515"/>
      <c r="K18" s="1515"/>
      <c r="L18" s="1515"/>
      <c r="M18" s="1515"/>
      <c r="N18" s="1515"/>
      <c r="O18" s="1515"/>
      <c r="P18" s="1515"/>
      <c r="Q18" s="1515"/>
      <c r="R18" s="1515"/>
      <c r="S18" s="1516"/>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5" customHeight="1">
      <c r="B19" s="1039"/>
      <c r="C19" s="1515" t="s">
        <v>2063</v>
      </c>
      <c r="D19" s="1515"/>
      <c r="E19" s="1515"/>
      <c r="F19" s="1515"/>
      <c r="G19" s="1515"/>
      <c r="H19" s="1515"/>
      <c r="I19" s="1515"/>
      <c r="J19" s="1515"/>
      <c r="K19" s="1515"/>
      <c r="L19" s="1515"/>
      <c r="M19" s="1515"/>
      <c r="N19" s="1515"/>
      <c r="O19" s="1515"/>
      <c r="P19" s="1515"/>
      <c r="Q19" s="1515"/>
      <c r="R19" s="1515"/>
      <c r="S19" s="1516"/>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5" customHeight="1">
      <c r="B20" s="2270" t="s">
        <v>2064</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5" customHeight="1">
      <c r="B21" s="2270" t="s">
        <v>2065</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5" customHeight="1">
      <c r="B22" s="2270" t="s">
        <v>2066</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5" customHeight="1">
      <c r="B23" s="2270" t="s">
        <v>2067</v>
      </c>
      <c r="C23" s="2271"/>
      <c r="D23" s="2271"/>
      <c r="E23" s="2271"/>
      <c r="F23" s="2271"/>
      <c r="G23" s="2271"/>
      <c r="H23" s="2271"/>
      <c r="I23" s="2271"/>
      <c r="J23" s="2271"/>
      <c r="K23" s="2271"/>
      <c r="L23" s="2271"/>
      <c r="M23" s="2271"/>
      <c r="N23" s="2271"/>
      <c r="O23" s="2271"/>
      <c r="P23" s="2271"/>
      <c r="Q23" s="2271"/>
      <c r="R23" s="2271"/>
      <c r="S23" s="2272"/>
      <c r="T23" s="2283">
        <f>T11+T22</f>
        <v>18896485</v>
      </c>
      <c r="U23" s="2264"/>
      <c r="V23" s="2264"/>
      <c r="W23" s="2264"/>
      <c r="X23" s="2264"/>
      <c r="Y23" s="2283">
        <f>Y11+Y22</f>
        <v>0</v>
      </c>
      <c r="Z23" s="2264"/>
      <c r="AA23" s="2264"/>
      <c r="AB23" s="2264"/>
      <c r="AC23" s="2264"/>
      <c r="AD23" s="2283">
        <f>AD11+AD22</f>
        <v>0</v>
      </c>
      <c r="AE23" s="2264"/>
      <c r="AF23" s="2264"/>
      <c r="AG23" s="2264"/>
      <c r="AH23" s="2264"/>
      <c r="AI23" s="2283">
        <f>AI11+AI22</f>
        <v>0</v>
      </c>
      <c r="AJ23" s="2264"/>
      <c r="AK23" s="2264"/>
      <c r="AL23" s="2264"/>
      <c r="AM23" s="2264"/>
    </row>
    <row r="24" spans="1:40" ht="12.95" customHeight="1">
      <c r="B24" s="2270" t="s">
        <v>2068</v>
      </c>
      <c r="C24" s="2271"/>
      <c r="D24" s="2271"/>
      <c r="E24" s="2271"/>
      <c r="F24" s="2271"/>
      <c r="G24" s="2271"/>
      <c r="H24" s="2271"/>
      <c r="I24" s="2271"/>
      <c r="J24" s="2271"/>
      <c r="K24" s="2271"/>
      <c r="L24" s="2271"/>
      <c r="M24" s="2271"/>
      <c r="N24" s="2271"/>
      <c r="O24" s="2271"/>
      <c r="P24" s="2271"/>
      <c r="Q24" s="2271"/>
      <c r="R24" s="2271"/>
      <c r="S24" s="2272"/>
      <c r="T24" s="2274">
        <f>Application!AJ1053</f>
        <v>30317551.199999999</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5" customHeight="1">
      <c r="B25" s="2314" t="s">
        <v>2069</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70" t="s">
        <v>2070</v>
      </c>
      <c r="C26" s="2271"/>
      <c r="D26" s="2271"/>
      <c r="E26" s="2271"/>
      <c r="F26" s="2271"/>
      <c r="G26" s="2271"/>
      <c r="H26" s="2271"/>
      <c r="I26" s="2271"/>
      <c r="J26" s="2271"/>
      <c r="K26" s="2271"/>
      <c r="L26" s="2271"/>
      <c r="M26" s="2271"/>
      <c r="N26" s="2271"/>
      <c r="O26" s="2271"/>
      <c r="P26" s="2271"/>
      <c r="Q26" s="2271"/>
      <c r="R26" s="2271"/>
      <c r="S26" s="2272"/>
      <c r="T26" s="2283">
        <f>T23*T25</f>
        <v>24565430.5</v>
      </c>
      <c r="U26" s="2264"/>
      <c r="V26" s="2264"/>
      <c r="W26" s="2264"/>
      <c r="X26" s="2264"/>
      <c r="Y26" s="2283">
        <f>Y23*Y25</f>
        <v>0</v>
      </c>
      <c r="Z26" s="2264"/>
      <c r="AA26" s="2264"/>
      <c r="AB26" s="2264"/>
      <c r="AC26" s="2264"/>
      <c r="AD26" s="2283">
        <f>AD23*AD25</f>
        <v>0</v>
      </c>
      <c r="AE26" s="2264"/>
      <c r="AF26" s="2264"/>
      <c r="AG26" s="2264"/>
      <c r="AH26" s="2264"/>
      <c r="AI26" s="2283">
        <f>AI23*AI25</f>
        <v>0</v>
      </c>
      <c r="AJ26" s="2264"/>
      <c r="AK26" s="2264"/>
      <c r="AL26" s="2264"/>
      <c r="AM26" s="2264"/>
    </row>
    <row r="27" spans="1:40" ht="12.95" customHeight="1">
      <c r="A27" s="313"/>
      <c r="B27" s="2317" t="s">
        <v>2071</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2.95" customHeight="1">
      <c r="A28" s="307"/>
      <c r="B28" s="2270" t="s">
        <v>2072</v>
      </c>
      <c r="C28" s="2271"/>
      <c r="D28" s="2271"/>
      <c r="E28" s="2271"/>
      <c r="F28" s="2271"/>
      <c r="G28" s="2271"/>
      <c r="H28" s="2271"/>
      <c r="I28" s="2271"/>
      <c r="J28" s="2271"/>
      <c r="K28" s="2271"/>
      <c r="L28" s="2271"/>
      <c r="M28" s="2271"/>
      <c r="N28" s="2271"/>
      <c r="O28" s="2271"/>
      <c r="P28" s="2271"/>
      <c r="Q28" s="2271"/>
      <c r="R28" s="2271"/>
      <c r="S28" s="2272"/>
      <c r="T28" s="2283">
        <f>IF(ISERROR((T26*T27)),0,(T26*T27))</f>
        <v>24565430.5</v>
      </c>
      <c r="U28" s="2264"/>
      <c r="V28" s="2264"/>
      <c r="W28" s="2264"/>
      <c r="X28" s="2264"/>
      <c r="Y28" s="2283">
        <f>IF(ISERROR((Y26*Y27)),0,(Y26*Y27))</f>
        <v>0</v>
      </c>
      <c r="Z28" s="2264"/>
      <c r="AA28" s="2264"/>
      <c r="AB28" s="2264"/>
      <c r="AC28" s="2264"/>
      <c r="AD28" s="2283">
        <f>IF(ISERROR((AD26*AD27)),0,(AD26*AD27))</f>
        <v>0</v>
      </c>
      <c r="AE28" s="2264"/>
      <c r="AF28" s="2264"/>
      <c r="AG28" s="2264"/>
      <c r="AH28" s="2264"/>
      <c r="AI28" s="2283">
        <f>IF(ISERROR((AI26*AI27)),0,(AI26*AI27))</f>
        <v>0</v>
      </c>
      <c r="AJ28" s="2264"/>
      <c r="AK28" s="2264"/>
      <c r="AL28" s="2264"/>
      <c r="AM28" s="2264"/>
    </row>
    <row r="29" spans="1:40" ht="12.95" customHeight="1">
      <c r="B29" s="2270" t="s">
        <v>2073</v>
      </c>
      <c r="C29" s="2271"/>
      <c r="D29" s="2271"/>
      <c r="E29" s="2271"/>
      <c r="F29" s="2271"/>
      <c r="G29" s="2271"/>
      <c r="H29" s="2271"/>
      <c r="I29" s="2271"/>
      <c r="J29" s="2271"/>
      <c r="K29" s="2271"/>
      <c r="L29" s="2271"/>
      <c r="M29" s="2271"/>
      <c r="N29" s="2271"/>
      <c r="O29" s="2271"/>
      <c r="P29" s="2271"/>
      <c r="Q29" s="2271"/>
      <c r="R29" s="2271"/>
      <c r="S29" s="2272"/>
      <c r="T29" s="2274">
        <f>T28+Y28+AD28+AI28</f>
        <v>24565430.5</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5" customHeight="1">
      <c r="B30" s="2287" t="s">
        <v>2074</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5" customHeight="1">
      <c r="B31" s="2287" t="s">
        <v>2075</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5" customHeight="1">
      <c r="B32" s="337"/>
      <c r="C32" s="411" t="s">
        <v>2076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912</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2077</v>
      </c>
      <c r="Z35" s="2284"/>
      <c r="AA35" s="2284"/>
      <c r="AB35" s="2284"/>
      <c r="AC35" s="2284"/>
      <c r="AD35" s="2285" t="s">
        <v>2078</v>
      </c>
      <c r="AE35" s="2285"/>
      <c r="AF35" s="2285"/>
      <c r="AG35" s="2285"/>
      <c r="AH35" s="2285"/>
    </row>
    <row r="36" spans="1:76" ht="12.95" customHeight="1">
      <c r="B36" s="310"/>
      <c r="X36" s="315"/>
      <c r="Y36" s="2284"/>
      <c r="Z36" s="2284"/>
      <c r="AA36" s="2284"/>
      <c r="AB36" s="2284"/>
      <c r="AC36" s="2284"/>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5" customHeight="1">
      <c r="A38" s="307"/>
      <c r="B38" s="2270" t="s">
        <v>2072</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24565430.5</v>
      </c>
      <c r="Z38" s="2264"/>
      <c r="AA38" s="2264"/>
      <c r="AB38" s="2264"/>
      <c r="AC38" s="2264"/>
      <c r="AD38" s="2264">
        <f>IF(T24&gt;=(T23+Y23+AD23+AI23),AD28+AI28,0)</f>
        <v>0</v>
      </c>
      <c r="AE38" s="2264"/>
      <c r="AF38" s="2264"/>
      <c r="AG38" s="2264"/>
      <c r="AH38" s="2264"/>
    </row>
    <row r="39" spans="1:76" ht="12.95" customHeight="1">
      <c r="B39" s="2270" t="s">
        <v>2079</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5" customHeight="1">
      <c r="A40" s="307"/>
      <c r="B40" s="2270" t="s">
        <v>2080</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982617</v>
      </c>
      <c r="Z40" s="2264"/>
      <c r="AA40" s="2264"/>
      <c r="AB40" s="2264"/>
      <c r="AC40" s="2264"/>
      <c r="AD40" s="2283">
        <f>ROUND(AD38*AD39,0)</f>
        <v>0</v>
      </c>
      <c r="AE40" s="2264"/>
      <c r="AF40" s="2264"/>
      <c r="AG40" s="2264"/>
      <c r="AH40" s="2264"/>
    </row>
    <row r="41" spans="1:76" ht="12.95" customHeight="1">
      <c r="B41" s="2270" t="s">
        <v>2081</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982617</v>
      </c>
      <c r="Z41" s="2282"/>
      <c r="AA41" s="2282"/>
      <c r="AB41" s="2282"/>
      <c r="AC41" s="2282"/>
      <c r="AD41" s="2282"/>
      <c r="AE41" s="2282"/>
      <c r="AF41" s="2282"/>
      <c r="AG41" s="2282"/>
      <c r="AH41" s="228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1" t="s">
        <v>2082</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5" customHeight="1" thickTop="1"/>
    <row r="46" spans="1:76" ht="12.95" customHeight="1">
      <c r="A46" s="307" t="s">
        <v>991</v>
      </c>
      <c r="C46" s="307" t="s">
        <v>282</v>
      </c>
    </row>
    <row r="47" spans="1:76" ht="12.95" customHeight="1">
      <c r="D47" s="307" t="s">
        <v>677</v>
      </c>
      <c r="AB47" s="2278">
        <f>'Sources and Uses Budget'!B105-MAX(IF('Sources and Uses Budget'!B15="",0,'Sources and Uses Budget'!B15),IF(Application!AG394="",0,Application!AG394))</f>
        <v>19356561</v>
      </c>
      <c r="AC47" s="2279"/>
      <c r="AD47" s="2279"/>
      <c r="AE47" s="2279"/>
      <c r="AF47" s="2280"/>
    </row>
    <row r="48" spans="1:76" ht="12.95" customHeight="1">
      <c r="D48" s="307" t="s">
        <v>175</v>
      </c>
      <c r="AB48" s="2278">
        <f>Application!AO639-MAX(IF('Sources and Uses Budget'!B15="",0,'Sources and Uses Budget'!B15),IF(Application!AG394="",0,Application!AG394))</f>
        <v>11102578</v>
      </c>
      <c r="AC48" s="2279"/>
      <c r="AD48" s="2279"/>
      <c r="AE48" s="2279"/>
      <c r="AF48" s="2280"/>
    </row>
    <row r="49" spans="1:76" ht="12.95" customHeight="1">
      <c r="D49" s="307" t="s">
        <v>2083</v>
      </c>
      <c r="AB49" s="2278">
        <f>AB47-AB48</f>
        <v>8253983</v>
      </c>
      <c r="AC49" s="2279"/>
      <c r="AD49" s="2279"/>
      <c r="AE49" s="2279"/>
      <c r="AF49" s="2280"/>
    </row>
    <row r="50" spans="1:76" ht="12.95" customHeight="1">
      <c r="D50" s="307" t="s">
        <v>2084</v>
      </c>
      <c r="AA50" s="318"/>
      <c r="AB50" s="2266">
        <v>0.84</v>
      </c>
      <c r="AC50" s="2267"/>
      <c r="AD50" s="2267"/>
      <c r="AE50" s="2267"/>
      <c r="AF50" s="2268"/>
    </row>
    <row r="51" spans="1:76" s="320" customFormat="1" ht="12.95" customHeight="1">
      <c r="A51" s="305"/>
      <c r="B51" s="305"/>
      <c r="C51" s="305"/>
      <c r="D51" s="305"/>
      <c r="E51" s="2277" t="s">
        <v>2085</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2086</v>
      </c>
      <c r="AB54" s="2278">
        <f>ROUND(IF(ISERROR((AB49/AB50)),0,(AB49/AB50)),0)</f>
        <v>9826170</v>
      </c>
      <c r="AC54" s="2279"/>
      <c r="AD54" s="2279"/>
      <c r="AE54" s="2279"/>
      <c r="AF54" s="2280"/>
    </row>
    <row r="55" spans="1:76" ht="12.95" customHeight="1">
      <c r="D55" s="307" t="s">
        <v>2087</v>
      </c>
      <c r="AB55" s="2278">
        <f>(AB54/10)</f>
        <v>982617</v>
      </c>
      <c r="AC55" s="2279"/>
      <c r="AD55" s="2279"/>
      <c r="AE55" s="2279"/>
      <c r="AF55" s="2280"/>
    </row>
    <row r="56" spans="1:76" ht="12.95" customHeight="1">
      <c r="D56" s="307" t="s">
        <v>2088</v>
      </c>
      <c r="AB56" s="2278">
        <f>ROUND((IF((Y41&lt;AB55),Y41,AB55)),0)</f>
        <v>982617</v>
      </c>
      <c r="AC56" s="2279"/>
      <c r="AD56" s="2279"/>
      <c r="AE56" s="2279"/>
      <c r="AF56" s="2280"/>
    </row>
    <row r="57" spans="1:76" ht="12.95" customHeight="1">
      <c r="D57" s="307" t="s">
        <v>2089</v>
      </c>
      <c r="AB57" s="2278">
        <f>ROUND((10*AB56*AB50),0)</f>
        <v>8253983</v>
      </c>
      <c r="AC57" s="2279"/>
      <c r="AD57" s="2279"/>
      <c r="AE57" s="2279"/>
      <c r="AF57" s="2280"/>
    </row>
    <row r="58" spans="1:76" ht="12.95" customHeight="1">
      <c r="D58" s="307"/>
      <c r="AB58" s="326"/>
      <c r="AC58" s="326"/>
      <c r="AD58" s="326"/>
      <c r="AE58" s="326"/>
      <c r="AF58" s="326"/>
    </row>
    <row r="59" spans="1:76" ht="12.95" customHeight="1">
      <c r="D59" s="307" t="s">
        <v>2090</v>
      </c>
      <c r="AB59" s="2262">
        <f>AB49-AB57</f>
        <v>0</v>
      </c>
      <c r="AC59" s="2262"/>
      <c r="AD59" s="2262"/>
      <c r="AE59" s="2262"/>
      <c r="AF59" s="2262"/>
    </row>
    <row r="60" spans="1:76" ht="12.95" customHeight="1">
      <c r="D60" s="307"/>
      <c r="AB60" s="326"/>
      <c r="AC60" s="326"/>
      <c r="AD60" s="326"/>
      <c r="AE60" s="326"/>
      <c r="AF60" s="326"/>
    </row>
    <row r="61" spans="1:76" s="136" customFormat="1" ht="12.9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5" customHeight="1" thickTop="1"/>
    <row r="63" spans="1:76" ht="12.95" customHeight="1">
      <c r="A63" s="307" t="s">
        <v>1009</v>
      </c>
      <c r="C63" s="137" t="s">
        <v>2091</v>
      </c>
      <c r="Y63" s="2273" t="s">
        <v>2092</v>
      </c>
      <c r="Z63" s="2273"/>
      <c r="AA63" s="2273"/>
      <c r="AB63" s="2273"/>
      <c r="AC63" s="2273"/>
      <c r="AD63" s="2273" t="s">
        <v>2078</v>
      </c>
      <c r="AE63" s="2273"/>
      <c r="AF63" s="2273"/>
      <c r="AG63" s="2273"/>
      <c r="AH63" s="2273"/>
    </row>
    <row r="64" spans="1:76" ht="12.95" customHeight="1">
      <c r="C64" s="307"/>
      <c r="D64" s="280" t="s">
        <v>2093</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0</v>
      </c>
      <c r="Z64" s="2275"/>
      <c r="AA64" s="2275"/>
      <c r="AB64" s="2275"/>
      <c r="AC64" s="2276"/>
      <c r="AD64" s="2274">
        <f>IF(AND(OR(Application!D211="At-Risk",Application!D211="At-Risk and Special Needs"),Application!M358="yes"),AD28+AI28,0)</f>
        <v>0</v>
      </c>
      <c r="AE64" s="2275"/>
      <c r="AF64" s="2275"/>
      <c r="AG64" s="2275"/>
      <c r="AH64" s="2276"/>
    </row>
    <row r="65" spans="1:36" ht="12.95" customHeight="1">
      <c r="C65" s="307"/>
      <c r="E65" s="909" t="s">
        <v>2094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2095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2096</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v>
      </c>
      <c r="Z67" s="2263"/>
      <c r="AA67" s="2263"/>
      <c r="AB67" s="2263"/>
      <c r="AC67" s="2263"/>
      <c r="AD67" s="2263">
        <f>IF(Application!Z205="15% set-aside with qualifying low value rehab", 0.95,IF(OR(Application!D211="At-Risk",'Points System'!B13="Yes"),0.13,0))</f>
        <v>0</v>
      </c>
      <c r="AE67" s="2263"/>
      <c r="AF67" s="2263"/>
      <c r="AG67" s="2263"/>
      <c r="AH67" s="2263"/>
    </row>
    <row r="68" spans="1:36" ht="12.95" customHeight="1">
      <c r="C68" s="307"/>
      <c r="D68" s="137" t="s">
        <v>2097</v>
      </c>
      <c r="Y68" s="2264">
        <f>ROUND(Y64*Y67,0)</f>
        <v>0</v>
      </c>
      <c r="Z68" s="2265"/>
      <c r="AA68" s="2265"/>
      <c r="AB68" s="2265"/>
      <c r="AC68" s="2265"/>
      <c r="AD68" s="2264">
        <f>ROUND(AD64*AD67,0)</f>
        <v>0</v>
      </c>
      <c r="AE68" s="2265"/>
      <c r="AF68" s="2265"/>
      <c r="AG68" s="2265"/>
      <c r="AH68" s="2265"/>
    </row>
    <row r="69" spans="1:36" ht="12.95" customHeight="1">
      <c r="C69" s="307"/>
      <c r="D69" s="137" t="s">
        <v>2098</v>
      </c>
      <c r="Y69" s="2264">
        <f>IF(OR(Application!Z205="State Farmworker Credit",Application!Z205="$500M (Farmworker Housing)"),Y68+AD68,MIN(Y68+AD68,200000*(Application!G753+Application!O777)))</f>
        <v>0</v>
      </c>
      <c r="Z69" s="2264"/>
      <c r="AA69" s="2264"/>
      <c r="AB69" s="2264"/>
      <c r="AC69" s="2264"/>
      <c r="AD69" s="2264"/>
      <c r="AE69" s="2264"/>
      <c r="AF69" s="2264"/>
      <c r="AG69" s="2264"/>
      <c r="AH69" s="2264"/>
    </row>
    <row r="70" spans="1:36" ht="12.95" customHeight="1">
      <c r="C70" s="307"/>
      <c r="E70" s="307"/>
      <c r="AB70" s="325"/>
      <c r="AC70" s="325"/>
      <c r="AD70" s="325"/>
      <c r="AE70" s="325"/>
      <c r="AF70" s="325"/>
    </row>
    <row r="71" spans="1:36" ht="12.95" customHeight="1">
      <c r="A71" s="307" t="s">
        <v>1020</v>
      </c>
      <c r="C71" s="137" t="s">
        <v>288</v>
      </c>
    </row>
    <row r="72" spans="1:36" ht="12.95" customHeight="1">
      <c r="A72" s="307"/>
      <c r="C72" s="307"/>
      <c r="D72" s="137" t="s">
        <v>731</v>
      </c>
      <c r="AB72" s="2266"/>
      <c r="AC72" s="2267"/>
      <c r="AD72" s="2267"/>
      <c r="AE72" s="2267"/>
      <c r="AF72" s="2268"/>
    </row>
    <row r="73" spans="1:36" ht="12.95" customHeight="1">
      <c r="A73" s="307"/>
      <c r="C73" s="307"/>
      <c r="D73" s="307"/>
      <c r="E73" s="2269" t="s">
        <v>2099</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2.9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2.9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2100</v>
      </c>
      <c r="AB77" s="2257">
        <f>ROUND(IF(ISERROR((AB59/AB72)),0,(AB59/AB72)),0)</f>
        <v>0</v>
      </c>
      <c r="AC77" s="2257"/>
      <c r="AD77" s="2257"/>
      <c r="AE77" s="2257"/>
      <c r="AF77" s="2257"/>
    </row>
    <row r="78" spans="1:36" ht="12.95" customHeight="1">
      <c r="C78" s="307"/>
      <c r="D78" s="137" t="s">
        <v>2101</v>
      </c>
      <c r="AB78" s="2258">
        <f>ROUNDUP(MIN(Y69,AB77),0)</f>
        <v>0</v>
      </c>
      <c r="AC78" s="2259"/>
      <c r="AD78" s="2259"/>
      <c r="AE78" s="2259"/>
      <c r="AF78" s="2260"/>
    </row>
    <row r="79" spans="1:36" ht="12.95" customHeight="1">
      <c r="C79" s="307"/>
      <c r="D79" s="137" t="s">
        <v>2102</v>
      </c>
      <c r="AB79" s="2261">
        <f>AB78*AB72</f>
        <v>0</v>
      </c>
      <c r="AC79" s="2261"/>
      <c r="AD79" s="2261"/>
      <c r="AE79" s="2261"/>
      <c r="AF79" s="2261"/>
    </row>
    <row r="80" spans="1:36" ht="12.95" customHeight="1">
      <c r="C80" s="307"/>
      <c r="D80" s="307"/>
      <c r="AB80" s="328"/>
      <c r="AC80" s="328"/>
      <c r="AD80" s="328"/>
      <c r="AE80" s="328"/>
      <c r="AF80" s="328"/>
    </row>
    <row r="81" spans="1:78" ht="12.95" customHeight="1">
      <c r="D81" s="307" t="s">
        <v>2090</v>
      </c>
      <c r="AB81" s="2262">
        <f>AB49-(AB57+AB79)</f>
        <v>0</v>
      </c>
      <c r="AC81" s="2262"/>
      <c r="AD81" s="2262"/>
      <c r="AE81" s="2262"/>
      <c r="AF81" s="2262"/>
    </row>
    <row r="82" spans="1:78" ht="12.95" customHeight="1">
      <c r="F82" s="422"/>
      <c r="J82" s="422" t="str">
        <f>IF(AB81&gt;0,"FUNDING GAP MUST NOT EXCEED ZERO","")</f>
        <v/>
      </c>
    </row>
    <row r="83" spans="1:78" ht="12.95" customHeight="1">
      <c r="D83" s="423"/>
    </row>
    <row r="84" spans="1:78" ht="12.9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5" customHeight="1" thickTop="1"/>
    <row r="86" spans="1:78" ht="12.95" customHeight="1">
      <c r="A86" s="307"/>
      <c r="C86" s="137"/>
    </row>
    <row r="87" spans="1:78" ht="12.95" customHeight="1">
      <c r="D87" s="137"/>
      <c r="AB87" s="2313"/>
      <c r="AC87" s="2313"/>
      <c r="AD87" s="2313"/>
      <c r="AE87" s="2313"/>
      <c r="AF87" s="2313"/>
    </row>
    <row r="88" spans="1:78" ht="12.9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0" workbookViewId="0">
      <selection activeCell="F303" sqref="F302:AD306"/>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55" t="s">
        <v>2103</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2104</v>
      </c>
      <c r="B4" s="439" t="s">
        <v>2105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2106</v>
      </c>
      <c r="B7" s="439" t="s">
        <v>2107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2108</v>
      </c>
      <c r="AF7" s="2336"/>
      <c r="AG7" s="2336"/>
      <c r="AH7" s="2336"/>
      <c r="AI7" s="2336"/>
      <c r="AJ7" s="2336"/>
      <c r="AK7" s="2336"/>
      <c r="AL7" s="440"/>
      <c r="AM7" s="440"/>
      <c r="AN7" s="435"/>
    </row>
    <row r="8" spans="1:42" s="436" customFormat="1" ht="12.75" customHeight="1">
      <c r="A8" s="438"/>
      <c r="B8" s="439" t="s">
        <v>2109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2111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811</v>
      </c>
      <c r="C13" s="2326"/>
      <c r="D13" s="447"/>
      <c r="E13" s="448" t="s">
        <v>2112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811</v>
      </c>
      <c r="C16" s="2326"/>
      <c r="D16" s="447"/>
      <c r="E16" s="2337" t="s">
        <v>2113</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2114</v>
      </c>
    </row>
    <row r="19" spans="1:42" s="436" customFormat="1" ht="12.75" customHeight="1">
      <c r="A19" s="440"/>
      <c r="B19" s="440"/>
      <c r="C19" s="440"/>
      <c r="D19" s="451"/>
      <c r="E19" s="452" t="s">
        <v>2115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811</v>
      </c>
      <c r="C22" s="2326"/>
      <c r="D22" s="447"/>
      <c r="E22" s="2362" t="s">
        <v>2116</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0</v>
      </c>
      <c r="AP23" s="436" t="s">
        <v>2114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811</v>
      </c>
      <c r="C25" s="2326"/>
      <c r="D25" s="447"/>
      <c r="E25" s="2327" t="s">
        <v>2117</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2114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811</v>
      </c>
      <c r="C28" s="2326"/>
      <c r="D28" s="447"/>
      <c r="E28" s="2350" t="s">
        <v>2118</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2119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2114</v>
      </c>
    </row>
    <row r="33" spans="1:41" s="436" customFormat="1" ht="12.75" customHeight="1">
      <c r="A33" s="440"/>
      <c r="B33" s="2326" t="s">
        <v>811</v>
      </c>
      <c r="C33" s="2326"/>
      <c r="D33" s="447"/>
      <c r="E33" s="2362" t="s">
        <v>2120</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811</v>
      </c>
      <c r="C36" s="2326"/>
      <c r="D36" s="447"/>
      <c r="E36" s="2327" t="s">
        <v>2121</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6" t="s">
        <v>811</v>
      </c>
      <c r="C40" s="2326"/>
      <c r="D40" s="447"/>
      <c r="E40" s="2327" t="s">
        <v>2122</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2123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811</v>
      </c>
      <c r="C45" s="2326"/>
      <c r="D45" s="1031"/>
      <c r="E45" s="2327" t="s">
        <v>2124</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2125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811</v>
      </c>
      <c r="C52" s="2326"/>
      <c r="D52" s="440"/>
      <c r="E52" s="2327" t="s">
        <v>2127</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811</v>
      </c>
      <c r="C56" s="2326"/>
      <c r="D56" s="440"/>
      <c r="E56" s="2347" t="s">
        <v>2128</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811</v>
      </c>
      <c r="C58" s="2326"/>
      <c r="D58" s="440"/>
      <c r="E58" s="2327" t="s">
        <v>2129</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2130</v>
      </c>
      <c r="AK62" s="2359">
        <f>AO39</f>
        <v>0</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2131</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2132</v>
      </c>
      <c r="AF65" s="2336"/>
      <c r="AG65" s="2336"/>
      <c r="AH65" s="2336"/>
      <c r="AI65" s="2336"/>
      <c r="AJ65" s="2336"/>
      <c r="AK65" s="2336"/>
      <c r="AL65" s="440"/>
      <c r="AM65" s="440"/>
      <c r="AN65" s="435"/>
    </row>
    <row r="66" spans="1:42" s="436" customFormat="1" ht="12.75" customHeight="1">
      <c r="A66" s="438"/>
      <c r="B66" s="439" t="s">
        <v>2133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846</v>
      </c>
      <c r="C68" s="2326"/>
      <c r="D68" s="447" t="s">
        <v>2134</v>
      </c>
      <c r="E68" s="2337" t="s">
        <v>2135</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10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10</v>
      </c>
      <c r="AP71" s="474" t="s">
        <v>2136</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811</v>
      </c>
      <c r="C74" s="2326"/>
      <c r="D74" s="447" t="s">
        <v>2137</v>
      </c>
      <c r="E74" s="865" t="s">
        <v>2138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811</v>
      </c>
      <c r="F75" s="2326"/>
      <c r="G75" s="475"/>
      <c r="H75" s="458" t="s">
        <v>2139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811</v>
      </c>
      <c r="F76" s="2325"/>
      <c r="G76" s="475"/>
      <c r="H76" s="458" t="s">
        <v>2140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811</v>
      </c>
      <c r="F77" s="2325"/>
      <c r="G77" s="475"/>
      <c r="H77" s="458" t="s">
        <v>2141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811</v>
      </c>
      <c r="F79" s="2326"/>
      <c r="G79" s="802"/>
      <c r="H79" s="870" t="s">
        <v>2142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811</v>
      </c>
      <c r="C81" s="2326"/>
      <c r="D81" s="447" t="s">
        <v>2143</v>
      </c>
      <c r="E81" s="2327" t="s">
        <v>2144</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2145</v>
      </c>
      <c r="AK84" s="2359">
        <f>IF(AK62&gt;0,0,AO71)</f>
        <v>10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2146</v>
      </c>
      <c r="B87" s="439" t="s">
        <v>2147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2108</v>
      </c>
      <c r="AF87" s="2336"/>
      <c r="AG87" s="2336"/>
      <c r="AH87" s="2336"/>
      <c r="AI87" s="2336"/>
      <c r="AJ87" s="2336"/>
      <c r="AK87" s="2336"/>
      <c r="AL87" s="440"/>
      <c r="AM87" s="440"/>
      <c r="AN87" s="435"/>
    </row>
    <row r="88" spans="1:43" s="436" customFormat="1" ht="12.75" customHeight="1">
      <c r="A88" s="438"/>
      <c r="B88" s="439" t="s">
        <v>2148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811</v>
      </c>
      <c r="C90" s="2326"/>
      <c r="D90" s="447" t="s">
        <v>2134</v>
      </c>
      <c r="E90" s="2337" t="s">
        <v>2149</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0.43428571428571427</v>
      </c>
      <c r="F93" s="2321"/>
      <c r="G93" s="2321"/>
      <c r="H93" s="2321"/>
      <c r="I93" s="477"/>
      <c r="J93" s="480" t="s">
        <v>2150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0.15999999999999998</v>
      </c>
      <c r="F94" s="2323"/>
      <c r="G94" s="2323"/>
      <c r="H94" s="2323"/>
      <c r="I94" s="477"/>
      <c r="J94" s="480" t="s">
        <v>2151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20</v>
      </c>
      <c r="F95" s="2354"/>
      <c r="G95" s="2354"/>
      <c r="H95" s="2354"/>
      <c r="I95" s="477"/>
      <c r="J95" s="480" t="s">
        <v>2152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2114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846</v>
      </c>
      <c r="C98" s="2326"/>
      <c r="D98" s="447" t="s">
        <v>2137</v>
      </c>
      <c r="E98" s="2337" t="s">
        <v>2153</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0.43428571428571427</v>
      </c>
      <c r="F103" s="2321"/>
      <c r="G103" s="2321"/>
      <c r="H103" s="2321"/>
      <c r="I103" s="477"/>
      <c r="J103" s="480" t="s">
        <v>2150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0.48571428571428571</v>
      </c>
      <c r="F104" s="2321"/>
      <c r="G104" s="2321"/>
      <c r="H104" s="2321"/>
      <c r="I104" s="477"/>
      <c r="J104" s="480" t="s">
        <v>2154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0.2</v>
      </c>
      <c r="F105" s="2321"/>
      <c r="G105" s="2321"/>
      <c r="H105" s="2321"/>
      <c r="I105" s="477"/>
      <c r="J105" s="480" t="s">
        <v>2155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20</v>
      </c>
      <c r="F106" s="2379"/>
      <c r="G106" s="2379"/>
      <c r="H106" s="2379"/>
      <c r="I106" s="453"/>
      <c r="J106" s="487" t="s">
        <v>2152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2114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2156</v>
      </c>
      <c r="AK109" s="2359">
        <f ca="1">MAX(AP95,AP106)</f>
        <v>20</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2157</v>
      </c>
      <c r="B112" s="439" t="s">
        <v>2158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2132</v>
      </c>
      <c r="AF112" s="2336"/>
      <c r="AG112" s="2336"/>
      <c r="AH112" s="2336"/>
      <c r="AI112" s="2336"/>
      <c r="AJ112" s="2336"/>
      <c r="AK112" s="2336"/>
      <c r="AL112" s="440"/>
      <c r="AM112" s="440"/>
      <c r="AN112" s="435"/>
      <c r="AO112" s="436" t="str">
        <f>Application!B718</f>
        <v>1 Bedroom</v>
      </c>
      <c r="AQ112" s="436">
        <f>Application!O718</f>
        <v>389</v>
      </c>
    </row>
    <row r="113" spans="1:52" s="436" customFormat="1" ht="12.75" customHeight="1">
      <c r="A113" s="440"/>
      <c r="B113" s="439" t="s">
        <v>2148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719</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737</v>
      </c>
    </row>
    <row r="115" spans="1:52" s="436" customFormat="1" ht="12.75" customHeight="1">
      <c r="A115" s="440"/>
      <c r="B115" s="2326" t="s">
        <v>846</v>
      </c>
      <c r="C115" s="2326"/>
      <c r="D115" s="447" t="s">
        <v>2134</v>
      </c>
      <c r="E115" s="2337" t="s">
        <v>2159</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f>Application!B721</f>
        <v>0</v>
      </c>
      <c r="AQ115" s="436">
        <f>Application!O721</f>
        <v>0</v>
      </c>
      <c r="AU115" s="436" t="s">
        <v>2160</v>
      </c>
      <c r="AV115" s="495" t="s">
        <v>1662</v>
      </c>
      <c r="AW115" s="436" t="s">
        <v>2161</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f>Application!B723</f>
        <v>0</v>
      </c>
      <c r="AQ117" s="436">
        <f>Application!O723</f>
        <v>0</v>
      </c>
      <c r="AU117" s="756" t="str">
        <f>J124</f>
        <v>1-bedroom</v>
      </c>
      <c r="AV117" s="436">
        <f t="array" ref="AV117">SUM(IF(Application!B718:F752="1 Bedroom",Application!G718:J752))</f>
        <v>35</v>
      </c>
      <c r="AW117" s="905">
        <f>AV117/AV122</f>
        <v>1</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f>Application!B728</f>
        <v>0</v>
      </c>
      <c r="AQ122" s="436">
        <f>Application!O728</f>
        <v>0</v>
      </c>
      <c r="AV122" s="436">
        <f>SUM(AV116:AV121)</f>
        <v>35</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0" t="s">
        <v>2162</v>
      </c>
      <c r="F124" s="2321"/>
      <c r="G124" s="2321"/>
      <c r="H124" s="2321"/>
      <c r="I124" s="477"/>
      <c r="J124" s="2321" t="s">
        <v>2163</v>
      </c>
      <c r="K124" s="2321"/>
      <c r="L124" s="2321"/>
      <c r="M124" s="2321"/>
      <c r="N124" s="477"/>
      <c r="O124" s="2321" t="s">
        <v>2164</v>
      </c>
      <c r="P124" s="2321"/>
      <c r="Q124" s="2321"/>
      <c r="R124" s="2321"/>
      <c r="S124" s="477"/>
      <c r="T124" s="2321" t="s">
        <v>2165</v>
      </c>
      <c r="U124" s="2321"/>
      <c r="V124" s="2321"/>
      <c r="W124" s="2321"/>
      <c r="X124" s="477"/>
      <c r="Y124" s="2321" t="s">
        <v>2166</v>
      </c>
      <c r="Z124" s="2321"/>
      <c r="AA124" s="2321"/>
      <c r="AB124" s="2321"/>
      <c r="AC124" s="477"/>
      <c r="AD124" s="2321" t="s">
        <v>2167</v>
      </c>
      <c r="AE124" s="2321"/>
      <c r="AF124" s="2321"/>
      <c r="AG124" s="232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2168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0"/>
      <c r="F127" s="2381"/>
      <c r="G127" s="2381"/>
      <c r="H127" s="2381"/>
      <c r="I127" s="763"/>
      <c r="J127" s="2381">
        <v>1317</v>
      </c>
      <c r="K127" s="2381"/>
      <c r="L127" s="2381"/>
      <c r="M127" s="2381"/>
      <c r="N127" s="763"/>
      <c r="O127" s="2381"/>
      <c r="P127" s="2381"/>
      <c r="Q127" s="2381"/>
      <c r="R127" s="2381"/>
      <c r="S127" s="763"/>
      <c r="T127" s="2381"/>
      <c r="U127" s="2381"/>
      <c r="V127" s="2381"/>
      <c r="W127" s="2381"/>
      <c r="X127" s="763"/>
      <c r="Y127" s="2381"/>
      <c r="Z127" s="2381"/>
      <c r="AA127" s="2381"/>
      <c r="AB127" s="2381"/>
      <c r="AC127" s="763"/>
      <c r="AD127" s="2381"/>
      <c r="AE127" s="2381"/>
      <c r="AF127" s="2381"/>
      <c r="AG127" s="238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2169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3">
        <f>Application!DX670</f>
        <v>0</v>
      </c>
      <c r="F130" s="2374"/>
      <c r="G130" s="2374"/>
      <c r="H130" s="2374"/>
      <c r="I130" s="763"/>
      <c r="J130" s="2374">
        <f>Application!EC670</f>
        <v>564.37142857142862</v>
      </c>
      <c r="K130" s="2374"/>
      <c r="L130" s="2374"/>
      <c r="M130" s="2374"/>
      <c r="N130" s="763"/>
      <c r="O130" s="2374">
        <f>Application!EH670</f>
        <v>0</v>
      </c>
      <c r="P130" s="2374"/>
      <c r="Q130" s="2374"/>
      <c r="R130" s="2374"/>
      <c r="S130" s="767"/>
      <c r="T130" s="2374">
        <f>Application!EM670</f>
        <v>0</v>
      </c>
      <c r="U130" s="2374"/>
      <c r="V130" s="2374"/>
      <c r="W130" s="2374"/>
      <c r="X130" s="767"/>
      <c r="Y130" s="2374">
        <f>Application!ER670</f>
        <v>0</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t="e">
        <f>(E127-E130)/E127</f>
        <v>#DIV/0!</v>
      </c>
      <c r="F133" s="2323"/>
      <c r="G133" s="2323"/>
      <c r="H133" s="2573"/>
      <c r="I133" s="477"/>
      <c r="J133" s="2572">
        <f>(J127-J130)/J127</f>
        <v>0.57147196008243839</v>
      </c>
      <c r="K133" s="2323"/>
      <c r="L133" s="2323"/>
      <c r="M133" s="2573"/>
      <c r="N133" s="477"/>
      <c r="O133" s="2572" t="e">
        <f>(O127-O130)/O127</f>
        <v>#DIV/0!</v>
      </c>
      <c r="P133" s="2323"/>
      <c r="Q133" s="2323"/>
      <c r="R133" s="2573"/>
      <c r="S133" s="477"/>
      <c r="T133" s="2572" t="e">
        <f>(T127-T130)/T127</f>
        <v>#DIV/0!</v>
      </c>
      <c r="U133" s="2323"/>
      <c r="V133" s="2323"/>
      <c r="W133" s="2573"/>
      <c r="X133" s="477"/>
      <c r="Y133" s="2572" t="e">
        <f>(Y127-Y130)/Y127</f>
        <v>#DIV/0!</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t="e">
        <f>IF(((E133-0.1)*AW116)&gt;0,((E133-0.1)*AW116),0)</f>
        <v>#DIV/0!</v>
      </c>
      <c r="F136" s="2376"/>
      <c r="G136" s="2376"/>
      <c r="H136" s="2377"/>
      <c r="I136" s="477"/>
      <c r="J136" s="2375">
        <f>IF(((J133-0.1)*AW117)&gt;0,((J133-0.1)*AW117),0)</f>
        <v>0.47147196008243841</v>
      </c>
      <c r="K136" s="2376"/>
      <c r="L136" s="2376"/>
      <c r="M136" s="2377"/>
      <c r="N136" s="477"/>
      <c r="O136" s="2375" t="e">
        <f>IF(((O133-0.1)*AW118)&gt;0,((O133-0.1)*AW118),0)</f>
        <v>#DIV/0!</v>
      </c>
      <c r="P136" s="2376"/>
      <c r="Q136" s="2376"/>
      <c r="R136" s="2377"/>
      <c r="S136" s="477"/>
      <c r="T136" s="2375" t="e">
        <f>IF(((T133-0.1)*AW119)&gt;0,((T133-0.1)*AW119),0)</f>
        <v>#DIV/0!</v>
      </c>
      <c r="U136" s="2376"/>
      <c r="V136" s="2376"/>
      <c r="W136" s="2377"/>
      <c r="X136" s="477"/>
      <c r="Y136" s="2375" t="e">
        <f>IF(((Y133-0.1)*AW120)&gt;0,((Y133-0.1)*AW120),0)</f>
        <v>#DIV/0!</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0.47</v>
      </c>
      <c r="F138" s="2323"/>
      <c r="G138" s="2323"/>
      <c r="H138" s="2573"/>
      <c r="I138" s="477"/>
      <c r="J138" s="480" t="s">
        <v>2172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2152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2173</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2174</v>
      </c>
      <c r="AE146" s="2336" t="s">
        <v>2132</v>
      </c>
      <c r="AF146" s="2336"/>
      <c r="AG146" s="2336"/>
      <c r="AH146" s="2336"/>
      <c r="AI146" s="2336"/>
      <c r="AJ146" s="2336"/>
      <c r="AK146" s="2336"/>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2175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2176</v>
      </c>
      <c r="AG148" s="2371"/>
      <c r="AH148" s="2371"/>
      <c r="AI148" s="2371"/>
      <c r="AJ148" s="2371"/>
      <c r="AK148" s="2371"/>
      <c r="AL148" s="2371"/>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2744</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392</v>
      </c>
      <c r="AP151" s="445"/>
    </row>
    <row r="152" spans="1:42" s="436" customFormat="1" ht="12.75" customHeight="1">
      <c r="A152" s="438"/>
      <c r="B152" s="439" t="s">
        <v>2177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2178</v>
      </c>
      <c r="AP152" s="390">
        <v>5</v>
      </c>
    </row>
    <row r="153" spans="1:42" s="436" customFormat="1" ht="12.75" customHeight="1">
      <c r="A153" s="438"/>
      <c r="B153" s="2398" t="s">
        <v>2179</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2179</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2180</v>
      </c>
      <c r="AP154" s="390">
        <v>7</v>
      </c>
    </row>
    <row r="155" spans="1:42" s="436" customFormat="1" ht="12.75" customHeight="1">
      <c r="A155" s="438"/>
      <c r="B155" s="439" t="s">
        <v>2181</v>
      </c>
      <c r="AB155" s="2399" t="s">
        <v>811</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2182</v>
      </c>
      <c r="AP156" s="390"/>
    </row>
    <row r="157" spans="1:42" s="436" customFormat="1" ht="12.75" customHeight="1">
      <c r="A157" s="438"/>
      <c r="B157" s="438" t="s">
        <v>2183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2184</v>
      </c>
      <c r="AP157" s="390">
        <v>5</v>
      </c>
    </row>
    <row r="158" spans="1:42" s="436" customFormat="1" ht="12.75" customHeight="1">
      <c r="A158" s="438"/>
      <c r="B158" s="2398" t="s">
        <v>2182</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2185</v>
      </c>
      <c r="AP158" s="390">
        <v>7</v>
      </c>
    </row>
    <row r="159" spans="1:42" s="436" customFormat="1" ht="12.75" customHeight="1">
      <c r="B159" s="439" t="s">
        <v>2186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2187</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2188</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2189</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811</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2190</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2192</v>
      </c>
      <c r="AG168" s="2371"/>
      <c r="AH168" s="2371"/>
      <c r="AI168" s="2371"/>
      <c r="AJ168" s="2371"/>
      <c r="AK168" s="2371"/>
      <c r="AL168" s="2371"/>
      <c r="AM168" s="503"/>
      <c r="AN168" s="498"/>
    </row>
    <row r="169" spans="1:42" s="450" customFormat="1" ht="12.75" customHeight="1">
      <c r="A169" s="436"/>
      <c r="B169" s="439" t="s">
        <v>2193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2194</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392</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2195</v>
      </c>
      <c r="AP171" s="499">
        <v>2</v>
      </c>
    </row>
    <row r="172" spans="1:42" s="450" customFormat="1" ht="12.75" customHeight="1">
      <c r="A172" s="436"/>
      <c r="B172" s="436"/>
      <c r="C172" s="439" t="s">
        <v>2196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811</v>
      </c>
      <c r="AG172" s="2399"/>
      <c r="AH172" s="436"/>
      <c r="AI172" s="436"/>
      <c r="AJ172" s="436"/>
      <c r="AK172" s="436"/>
      <c r="AL172" s="436"/>
      <c r="AM172" s="503"/>
      <c r="AN172" s="497"/>
      <c r="AO172" s="377" t="s">
        <v>2194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2197</v>
      </c>
      <c r="AP173" s="499">
        <v>3</v>
      </c>
    </row>
    <row r="174" spans="1:42" s="450" customFormat="1" ht="12.75" customHeight="1">
      <c r="A174" s="436"/>
      <c r="B174" s="436"/>
      <c r="C174" s="2398" t="s">
        <v>2182</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2186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2198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2182</v>
      </c>
      <c r="AP177" s="377"/>
    </row>
    <row r="178" spans="1:73" s="450" customFormat="1" ht="12.75" customHeight="1">
      <c r="A178" s="436"/>
      <c r="B178" s="436"/>
      <c r="C178" s="2400" t="str">
        <f>Application!AA335</f>
        <v>Housing Authority of the County of Kern</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2199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2201</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2202</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2203</v>
      </c>
      <c r="AQ185" s="512">
        <v>0</v>
      </c>
    </row>
    <row r="186" spans="1:73" s="450" customFormat="1" ht="12.75" customHeight="1">
      <c r="A186" s="438" t="s">
        <v>2204</v>
      </c>
      <c r="B186" s="438" t="s">
        <v>2205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2132</v>
      </c>
      <c r="AF186" s="2336"/>
      <c r="AG186" s="2336"/>
      <c r="AH186" s="2336"/>
      <c r="AI186" s="2336"/>
      <c r="AJ186" s="2336"/>
      <c r="AK186" s="2336"/>
      <c r="AL186" s="491"/>
      <c r="AN186" s="497"/>
      <c r="AP186" s="450" t="s">
        <v>937</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2206</v>
      </c>
      <c r="AQ187" s="450">
        <v>10</v>
      </c>
    </row>
    <row r="188" spans="1:73" s="450" customFormat="1" ht="12.75" customHeight="1">
      <c r="A188" s="436"/>
      <c r="B188" s="2396" t="s">
        <v>2206</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2207</v>
      </c>
      <c r="AG188" s="2371"/>
      <c r="AH188" s="2371"/>
      <c r="AI188" s="2371"/>
      <c r="AJ188" s="2371"/>
      <c r="AK188" s="2371"/>
      <c r="AL188" s="2371"/>
      <c r="AN188" s="497"/>
      <c r="AP188" s="450" t="s">
        <v>945</v>
      </c>
      <c r="AQ188" s="450">
        <v>10</v>
      </c>
    </row>
    <row r="189" spans="1:73" s="450" customFormat="1" ht="12.75" customHeight="1">
      <c r="A189" s="436"/>
      <c r="B189" s="2397" t="s">
        <v>2208</v>
      </c>
      <c r="C189" s="2397"/>
      <c r="D189" s="2397"/>
      <c r="E189" s="2397"/>
      <c r="F189" s="2397"/>
      <c r="G189" s="2397"/>
      <c r="H189" s="2397"/>
      <c r="I189" s="2397"/>
      <c r="J189" s="2397"/>
      <c r="K189" s="2397"/>
      <c r="L189" s="2397"/>
      <c r="M189" s="2397"/>
      <c r="N189" s="2397"/>
      <c r="O189" s="2397"/>
      <c r="P189" s="2397"/>
      <c r="Q189" s="2397"/>
      <c r="R189" s="2397"/>
      <c r="S189" s="2397"/>
      <c r="T189" s="2372" t="s">
        <v>811</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946</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2209</v>
      </c>
      <c r="AQ190" s="450">
        <v>10</v>
      </c>
      <c r="AS190" s="450" t="s">
        <v>2210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2211</v>
      </c>
      <c r="AK191" s="2406">
        <f>IF(AK84&gt;0,VLOOKUP($B$188,AP185:AQ191,2,FALSE),0)</f>
        <v>10</v>
      </c>
      <c r="AL191" s="2407"/>
      <c r="AM191" s="2408"/>
      <c r="AN191" s="435"/>
      <c r="AP191" s="450" t="s">
        <v>2212</v>
      </c>
      <c r="AQ191" s="450">
        <v>10</v>
      </c>
      <c r="AS191" s="450" t="s">
        <v>2213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2214</v>
      </c>
      <c r="B194" s="438" t="s">
        <v>2215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2216</v>
      </c>
      <c r="AF194" s="2336"/>
      <c r="AG194" s="2336"/>
      <c r="AH194" s="2336"/>
      <c r="AI194" s="2336"/>
      <c r="AJ194" s="2336"/>
      <c r="AK194" s="233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2217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2218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t="s">
        <v>2219</v>
      </c>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v>2000000</v>
      </c>
      <c r="AE199" s="2384"/>
      <c r="AF199" s="2384"/>
      <c r="AG199" s="2384"/>
      <c r="AH199" s="2384"/>
      <c r="AI199" s="2384"/>
      <c r="AJ199" s="2384"/>
      <c r="AK199" s="510"/>
    </row>
    <row r="200" spans="1:40">
      <c r="A200" s="505"/>
      <c r="B200" s="2383" t="s">
        <v>2219</v>
      </c>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v>3500000</v>
      </c>
      <c r="AE200" s="2384"/>
      <c r="AF200" s="2384"/>
      <c r="AG200" s="2384"/>
      <c r="AH200" s="2384"/>
      <c r="AI200" s="2384"/>
      <c r="AJ200" s="2384"/>
      <c r="AK200" s="510"/>
    </row>
    <row r="201" spans="1:40">
      <c r="A201" s="505"/>
      <c r="B201" s="2383" t="s">
        <v>2220</v>
      </c>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v>167537</v>
      </c>
      <c r="AE201" s="2384"/>
      <c r="AF201" s="2384"/>
      <c r="AG201" s="2384"/>
      <c r="AH201" s="2384"/>
      <c r="AI201" s="2384"/>
      <c r="AJ201" s="2384"/>
      <c r="AK201" s="510"/>
    </row>
    <row r="202" spans="1:40">
      <c r="A202" s="505"/>
      <c r="B202" s="2383" t="s">
        <v>1417</v>
      </c>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v>3330275</v>
      </c>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2221</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1403265.1134796045</v>
      </c>
      <c r="AE209" s="2413"/>
      <c r="AF209" s="2413"/>
      <c r="AG209" s="2413"/>
      <c r="AH209" s="2413"/>
      <c r="AI209" s="2413"/>
      <c r="AJ209" s="2413"/>
      <c r="AK209" s="510"/>
    </row>
    <row r="210" spans="1:37">
      <c r="A210" s="505"/>
      <c r="B210" s="2540" t="s">
        <v>2222</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1466</v>
      </c>
      <c r="AC211" s="436"/>
      <c r="AD211" s="2418">
        <f>SUM(AD199:AJ209)-AD210</f>
        <v>10401077.113479605</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2223</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2224</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2225</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2226</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2227</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2228</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2229</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2230</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2231</v>
      </c>
      <c r="J222" s="2387"/>
      <c r="K222" s="2387"/>
      <c r="L222" s="436"/>
      <c r="M222" s="436"/>
      <c r="N222" s="436"/>
      <c r="O222" s="436"/>
      <c r="P222" s="436"/>
      <c r="Q222" s="436"/>
      <c r="R222" s="436"/>
      <c r="S222" s="436"/>
      <c r="T222" s="2575" t="s">
        <v>2232</v>
      </c>
      <c r="U222" s="2575"/>
      <c r="V222" s="2575"/>
      <c r="W222" s="2575"/>
      <c r="X222" s="2575"/>
      <c r="Y222" s="2575"/>
      <c r="Z222" s="749"/>
      <c r="AA222" s="390"/>
      <c r="AB222" s="2382" t="s">
        <v>2233</v>
      </c>
      <c r="AC222" s="2382"/>
      <c r="AD222" s="2382"/>
      <c r="AE222" s="2382"/>
      <c r="AF222" s="2382"/>
      <c r="AG222" s="2382"/>
      <c r="AH222" s="727"/>
      <c r="AI222" s="727"/>
      <c r="AJ222" s="727"/>
      <c r="AK222" s="510"/>
    </row>
    <row r="223" spans="1:37">
      <c r="A223" s="505"/>
      <c r="B223" s="2385" t="s">
        <v>2234</v>
      </c>
      <c r="C223" s="2385"/>
      <c r="D223" s="2385"/>
      <c r="E223" s="2385"/>
      <c r="F223" s="2385"/>
      <c r="G223" s="2385"/>
      <c r="I223" s="2386" t="s">
        <v>2235</v>
      </c>
      <c r="J223" s="2386"/>
      <c r="K223" s="2386"/>
      <c r="L223" s="902"/>
      <c r="N223" s="2392" t="s">
        <v>2236</v>
      </c>
      <c r="O223" s="2392"/>
      <c r="P223" s="2392"/>
      <c r="Q223" s="2392"/>
      <c r="R223" s="2392"/>
      <c r="T223" s="2392" t="s">
        <v>2237</v>
      </c>
      <c r="U223" s="2392"/>
      <c r="V223" s="2392"/>
      <c r="W223" s="2392"/>
      <c r="X223" s="2392"/>
      <c r="Y223" s="2392"/>
      <c r="Z223" s="750"/>
      <c r="AA223" s="390"/>
      <c r="AB223" s="2529" t="s">
        <v>2238</v>
      </c>
      <c r="AC223" s="2529"/>
      <c r="AD223" s="2529"/>
      <c r="AE223" s="2529"/>
      <c r="AF223" s="2529"/>
      <c r="AG223" s="2529"/>
      <c r="AH223" s="727"/>
      <c r="AI223" s="727"/>
      <c r="AJ223" s="727"/>
      <c r="AK223" s="510"/>
    </row>
    <row r="224" spans="1:37">
      <c r="A224" s="505"/>
      <c r="B224" s="2389" t="s">
        <v>2239</v>
      </c>
      <c r="C224" s="2389"/>
      <c r="D224" s="2389"/>
      <c r="E224" s="2389"/>
      <c r="F224" s="2389"/>
      <c r="G224" s="2389"/>
      <c r="H224" s="752"/>
      <c r="I224" s="2388">
        <v>35</v>
      </c>
      <c r="J224" s="2388"/>
      <c r="K224" s="2388"/>
      <c r="L224" s="902"/>
      <c r="N224" s="2393">
        <v>705</v>
      </c>
      <c r="O224" s="2393"/>
      <c r="P224" s="2393"/>
      <c r="Q224" s="2393"/>
      <c r="R224" s="2393"/>
      <c r="T224" s="2541">
        <v>1064</v>
      </c>
      <c r="U224" s="2541"/>
      <c r="V224" s="2541"/>
      <c r="W224" s="2541"/>
      <c r="X224" s="2541"/>
      <c r="Y224" s="2541"/>
      <c r="Z224" s="751"/>
      <c r="AA224" s="751"/>
      <c r="AB224" s="2390">
        <f t="shared" ref="AB224:AB233" si="0">MAX(($T224-$N224)*$I224*12,0)</f>
        <v>150780</v>
      </c>
      <c r="AC224" s="2390"/>
      <c r="AD224" s="2390"/>
      <c r="AE224" s="2390"/>
      <c r="AF224" s="2390"/>
      <c r="AG224" s="2390"/>
      <c r="AH224" s="727"/>
      <c r="AI224" s="727"/>
      <c r="AJ224" s="727"/>
      <c r="AK224" s="510"/>
    </row>
    <row r="225" spans="1:37">
      <c r="A225" s="505"/>
      <c r="B225" s="2389" t="s">
        <v>1028</v>
      </c>
      <c r="C225" s="2389"/>
      <c r="D225" s="2389"/>
      <c r="E225" s="2389"/>
      <c r="F225" s="2389"/>
      <c r="G225" s="2389"/>
      <c r="I225" s="2388"/>
      <c r="J225" s="2388"/>
      <c r="K225" s="2388"/>
      <c r="L225" s="902"/>
      <c r="N225" s="2393"/>
      <c r="O225" s="2393"/>
      <c r="P225" s="2393"/>
      <c r="Q225" s="2393"/>
      <c r="R225" s="2393"/>
      <c r="T225" s="2541"/>
      <c r="U225" s="2541"/>
      <c r="V225" s="2541"/>
      <c r="W225" s="2541"/>
      <c r="X225" s="2541"/>
      <c r="Y225" s="2541"/>
      <c r="Z225" s="751"/>
      <c r="AA225" s="751"/>
      <c r="AB225" s="2390">
        <f t="shared" si="0"/>
        <v>0</v>
      </c>
      <c r="AC225" s="2390"/>
      <c r="AD225" s="2390"/>
      <c r="AE225" s="2390"/>
      <c r="AF225" s="2390"/>
      <c r="AG225" s="2390"/>
      <c r="AH225" s="727"/>
      <c r="AI225" s="727"/>
      <c r="AJ225" s="727"/>
      <c r="AK225" s="510"/>
    </row>
    <row r="226" spans="1:37">
      <c r="A226" s="505"/>
      <c r="B226" s="2389" t="s">
        <v>1028</v>
      </c>
      <c r="C226" s="2389"/>
      <c r="D226" s="2389"/>
      <c r="E226" s="2389"/>
      <c r="F226" s="2389"/>
      <c r="G226" s="2389"/>
      <c r="I226" s="2388"/>
      <c r="J226" s="2388"/>
      <c r="K226" s="2388"/>
      <c r="L226" s="902"/>
      <c r="N226" s="2393"/>
      <c r="O226" s="2393"/>
      <c r="P226" s="2393"/>
      <c r="Q226" s="2393"/>
      <c r="R226" s="2393"/>
      <c r="T226" s="2541"/>
      <c r="U226" s="2541"/>
      <c r="V226" s="2541"/>
      <c r="W226" s="2541"/>
      <c r="X226" s="2541"/>
      <c r="Y226" s="2541"/>
      <c r="Z226" s="751"/>
      <c r="AA226" s="751"/>
      <c r="AB226" s="2390">
        <f t="shared" si="0"/>
        <v>0</v>
      </c>
      <c r="AC226" s="2390"/>
      <c r="AD226" s="2390"/>
      <c r="AE226" s="2390"/>
      <c r="AF226" s="2390"/>
      <c r="AG226" s="2390"/>
      <c r="AH226" s="727"/>
      <c r="AI226" s="727"/>
      <c r="AJ226" s="727"/>
      <c r="AK226" s="510"/>
    </row>
    <row r="227" spans="1:37">
      <c r="A227" s="505"/>
      <c r="B227" s="2389" t="s">
        <v>1028</v>
      </c>
      <c r="C227" s="2389"/>
      <c r="D227" s="2389"/>
      <c r="E227" s="2389"/>
      <c r="F227" s="2389"/>
      <c r="G227" s="2389"/>
      <c r="I227" s="2388"/>
      <c r="J227" s="2388"/>
      <c r="K227" s="2388"/>
      <c r="L227" s="902"/>
      <c r="N227" s="2393"/>
      <c r="O227" s="2393"/>
      <c r="P227" s="2393"/>
      <c r="Q227" s="2393"/>
      <c r="R227" s="2393"/>
      <c r="T227" s="2541"/>
      <c r="U227" s="2541"/>
      <c r="V227" s="2541"/>
      <c r="W227" s="2541"/>
      <c r="X227" s="2541"/>
      <c r="Y227" s="2541"/>
      <c r="Z227" s="751"/>
      <c r="AA227" s="751"/>
      <c r="AB227" s="2390">
        <f t="shared" si="0"/>
        <v>0</v>
      </c>
      <c r="AC227" s="2390"/>
      <c r="AD227" s="2390"/>
      <c r="AE227" s="2390"/>
      <c r="AF227" s="2390"/>
      <c r="AG227" s="2390"/>
      <c r="AH227" s="727"/>
      <c r="AI227" s="727"/>
      <c r="AJ227" s="727"/>
      <c r="AK227" s="510"/>
    </row>
    <row r="228" spans="1:37">
      <c r="A228" s="505"/>
      <c r="B228" s="2389" t="s">
        <v>1028</v>
      </c>
      <c r="C228" s="2389"/>
      <c r="D228" s="2389"/>
      <c r="E228" s="2389"/>
      <c r="F228" s="2389"/>
      <c r="G228" s="2389"/>
      <c r="I228" s="2388"/>
      <c r="J228" s="2388"/>
      <c r="K228" s="2388"/>
      <c r="L228" s="907"/>
      <c r="N228" s="2393"/>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1028</v>
      </c>
      <c r="C229" s="2389"/>
      <c r="D229" s="2389"/>
      <c r="E229" s="2389"/>
      <c r="F229" s="2389"/>
      <c r="G229" s="2389"/>
      <c r="I229" s="2388"/>
      <c r="J229" s="2388"/>
      <c r="K229" s="2388"/>
      <c r="L229" s="907"/>
      <c r="N229" s="2393"/>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1028</v>
      </c>
      <c r="C230" s="2389"/>
      <c r="D230" s="2389"/>
      <c r="E230" s="2389"/>
      <c r="F230" s="2389"/>
      <c r="G230" s="2389"/>
      <c r="I230" s="2388"/>
      <c r="J230" s="2388"/>
      <c r="K230" s="2388"/>
      <c r="L230" s="907"/>
      <c r="N230" s="2393"/>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1028</v>
      </c>
      <c r="C231" s="2389"/>
      <c r="D231" s="2389"/>
      <c r="E231" s="2389"/>
      <c r="F231" s="2389"/>
      <c r="G231" s="2389"/>
      <c r="I231" s="2388"/>
      <c r="J231" s="2388"/>
      <c r="K231" s="2388"/>
      <c r="L231" s="907"/>
      <c r="N231" s="2393"/>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1028</v>
      </c>
      <c r="C232" s="2389"/>
      <c r="D232" s="2389"/>
      <c r="E232" s="2389"/>
      <c r="F232" s="2389"/>
      <c r="G232" s="2389"/>
      <c r="I232" s="2388"/>
      <c r="J232" s="2388"/>
      <c r="K232" s="2388"/>
      <c r="L232" s="907"/>
      <c r="N232" s="2393"/>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1028</v>
      </c>
      <c r="C233" s="2389"/>
      <c r="D233" s="2389"/>
      <c r="E233" s="2389"/>
      <c r="F233" s="2389"/>
      <c r="G233" s="2389"/>
      <c r="I233" s="2391"/>
      <c r="J233" s="2391"/>
      <c r="K233" s="2391"/>
      <c r="L233" s="907"/>
      <c r="N233" s="2393"/>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2240</v>
      </c>
      <c r="AA234" s="753"/>
      <c r="AB234" s="2390">
        <f>SUM(AB224:AB233)</f>
        <v>150780</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2241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2244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c r="A241" s="505"/>
      <c r="B241" s="737" t="s">
        <v>2245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2248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2249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2250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2251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150780</v>
      </c>
      <c r="AC250" s="2390"/>
      <c r="AD250" s="2390"/>
      <c r="AE250" s="2390"/>
      <c r="AF250" s="2390"/>
      <c r="AG250" s="2390"/>
      <c r="AH250" s="510"/>
      <c r="AI250" s="510"/>
      <c r="AJ250" s="510"/>
      <c r="AK250" s="510"/>
    </row>
    <row r="251" spans="1:37">
      <c r="A251" s="505"/>
      <c r="B251" s="377" t="s">
        <v>2252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2253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143241</v>
      </c>
      <c r="AC252" s="2423"/>
      <c r="AD252" s="2423"/>
      <c r="AE252" s="2423"/>
      <c r="AF252" s="2423"/>
      <c r="AG252" s="2423"/>
      <c r="AH252" s="510"/>
      <c r="AI252" s="510"/>
      <c r="AJ252" s="510"/>
      <c r="AK252" s="510"/>
    </row>
    <row r="253" spans="1:37">
      <c r="A253" s="505"/>
      <c r="B253" s="377" t="s">
        <v>2254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2255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124557.39130434784</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2257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2258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2259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1403265.1134796045</v>
      </c>
      <c r="AC260" s="2416"/>
      <c r="AD260" s="2416"/>
      <c r="AE260" s="2416"/>
      <c r="AF260" s="2416"/>
      <c r="AG260" s="241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2260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2261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f>IFERROR(('Sources and Uses Budget'!D105/'Sources and Uses Budget'!B105),0)</f>
        <v>0</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2264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10401077.113479605</v>
      </c>
      <c r="AH268" s="2409"/>
      <c r="AI268" s="2409"/>
      <c r="AJ268" s="2409"/>
      <c r="AK268" s="2409"/>
    </row>
    <row r="269" spans="1:37">
      <c r="A269" s="522"/>
      <c r="B269" s="525" t="s">
        <v>2265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19356561</v>
      </c>
      <c r="AH269" s="2409"/>
      <c r="AI269" s="2409"/>
      <c r="AJ269" s="2409"/>
      <c r="AK269" s="2409"/>
    </row>
    <row r="270" spans="1:37">
      <c r="A270" s="522"/>
      <c r="B270" s="524" t="s">
        <v>1622</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0.53</v>
      </c>
      <c r="AH270" s="2410"/>
      <c r="AI270" s="2410"/>
      <c r="AJ270" s="2410"/>
      <c r="AK270" s="2410"/>
    </row>
    <row r="271" spans="1:37">
      <c r="A271" s="522"/>
      <c r="B271" s="872" t="s">
        <v>2266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2267</v>
      </c>
      <c r="AK273" s="2411">
        <f>IFERROR(IF(AG270=0,0,IF((AG270*100)&gt;8,8,(AG270*100))),0)</f>
        <v>8</v>
      </c>
      <c r="AL273" s="2411"/>
      <c r="AM273" s="241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2268</v>
      </c>
      <c r="B276" s="438" t="s">
        <v>2269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2132</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3" t="s">
        <v>846</v>
      </c>
      <c r="D278" s="2403"/>
      <c r="E278" s="447"/>
      <c r="F278" s="2560" t="s">
        <v>2270</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2207</v>
      </c>
      <c r="AH278" s="2404"/>
      <c r="AI278" s="2404"/>
      <c r="AJ278" s="2404"/>
      <c r="AK278" s="450"/>
      <c r="AL278" s="450"/>
      <c r="AM278" s="450"/>
      <c r="AO278" s="450"/>
    </row>
    <row r="279" spans="1:52" ht="13.7"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7"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2271</v>
      </c>
      <c r="AK285" s="2411">
        <f>IF($C$278="yes",10,0)</f>
        <v>10</v>
      </c>
      <c r="AL285" s="2411"/>
      <c r="AM285" s="241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2272</v>
      </c>
      <c r="B288" s="438" t="s">
        <v>2273</v>
      </c>
      <c r="AH288" s="491" t="s">
        <v>2132</v>
      </c>
    </row>
    <row r="289" spans="1:49" ht="15" customHeight="1">
      <c r="B289" s="439"/>
    </row>
    <row r="290" spans="1:49" ht="15" customHeight="1">
      <c r="B290" s="439" t="s">
        <v>2133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2274</v>
      </c>
      <c r="B292" s="1295"/>
      <c r="C292" s="2399" t="s">
        <v>811</v>
      </c>
      <c r="D292" s="2403"/>
      <c r="E292" s="447"/>
      <c r="F292" s="2431" t="s">
        <v>2275</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2276</v>
      </c>
      <c r="AH292" s="2434"/>
      <c r="AI292" s="2434"/>
      <c r="AJ292" s="2434"/>
      <c r="AK292" s="2434"/>
      <c r="AL292" s="450"/>
      <c r="AM292" s="450"/>
      <c r="AN292" s="58"/>
      <c r="AO292" s="13"/>
      <c r="AP292" s="25"/>
      <c r="AS292" s="470"/>
      <c r="AT292" s="470"/>
      <c r="AU292" s="470"/>
      <c r="AV292" s="27"/>
      <c r="AW292" s="27"/>
    </row>
    <row r="293" spans="1:49">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5" t="s">
        <v>2277</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9</v>
      </c>
      <c r="AQ295" s="474" t="s">
        <v>2136</v>
      </c>
      <c r="AS295" s="470"/>
      <c r="AT295" s="470"/>
      <c r="AU295" s="470"/>
      <c r="AV295" s="27"/>
      <c r="AW295" s="27"/>
    </row>
    <row r="296" spans="1:49">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2278</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2279</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2280</v>
      </c>
      <c r="B302" s="1295"/>
      <c r="C302" s="2403" t="s">
        <v>846</v>
      </c>
      <c r="D302" s="2403"/>
      <c r="E302" s="447"/>
      <c r="F302" s="544" t="s">
        <v>2281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2282</v>
      </c>
      <c r="AH302" s="451"/>
      <c r="AI302" s="451"/>
      <c r="AJ302" s="450"/>
      <c r="AK302" s="450"/>
      <c r="AL302" s="450"/>
      <c r="AM302" s="450"/>
      <c r="AN302" s="547"/>
      <c r="AO302" s="13"/>
    </row>
    <row r="303" spans="1:49">
      <c r="A303" s="450"/>
      <c r="B303" s="451"/>
      <c r="C303" s="450"/>
      <c r="D303" s="451"/>
      <c r="E303" s="450"/>
      <c r="F303" s="2333" t="s">
        <v>2283</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2284</v>
      </c>
      <c r="B310" s="1295"/>
      <c r="C310" s="2403" t="s">
        <v>811</v>
      </c>
      <c r="D310" s="2403"/>
      <c r="E310" s="447"/>
      <c r="F310" s="544" t="s">
        <v>2285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2282</v>
      </c>
      <c r="AH310" s="451"/>
      <c r="AI310" s="451"/>
      <c r="AJ310" s="450"/>
      <c r="AK310" s="450"/>
      <c r="AL310" s="450"/>
      <c r="AM310" s="450"/>
      <c r="AN310" s="58"/>
      <c r="AO310" s="13"/>
    </row>
    <row r="311" spans="1:44" hidden="1">
      <c r="A311" s="65"/>
      <c r="B311" s="65"/>
      <c r="C311" s="630"/>
      <c r="D311" s="630"/>
      <c r="E311" s="447"/>
      <c r="F311" s="2425" t="s">
        <v>2286</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1028</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2287</v>
      </c>
    </row>
    <row r="313" spans="1:44" hidden="1">
      <c r="A313" s="450"/>
      <c r="B313" s="451"/>
      <c r="C313" s="630"/>
      <c r="D313" s="630"/>
      <c r="E313" s="447"/>
      <c r="F313" s="552" t="s">
        <v>2288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2290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1028</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2291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1028</v>
      </c>
    </row>
    <row r="324" spans="1:42" ht="12.75" hidden="1" customHeight="1">
      <c r="A324" s="450"/>
      <c r="B324" s="451"/>
      <c r="C324" s="630"/>
      <c r="D324" s="630"/>
      <c r="E324" s="447"/>
      <c r="F324" s="556"/>
      <c r="G324" s="475" t="s">
        <v>22</v>
      </c>
      <c r="H324" s="475"/>
      <c r="I324" s="2441" t="s">
        <v>1028</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2292</v>
      </c>
    </row>
    <row r="325" spans="1:42"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2293</v>
      </c>
    </row>
    <row r="326" spans="1:42"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2294</v>
      </c>
    </row>
    <row r="327" spans="1:42"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2295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1" t="s">
        <v>1028</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1028</v>
      </c>
    </row>
    <row r="331" spans="1:42"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2296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2297</v>
      </c>
    </row>
    <row r="333" spans="1:42" ht="12.75" hidden="1" customHeight="1">
      <c r="A333" s="1295" t="s">
        <v>2298</v>
      </c>
      <c r="B333" s="1295"/>
      <c r="C333" s="2403" t="s">
        <v>811</v>
      </c>
      <c r="D333" s="2403"/>
      <c r="E333" s="447"/>
      <c r="F333" s="2327" t="s">
        <v>2299</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2282</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2300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2301</v>
      </c>
      <c r="AK338" s="2406">
        <f>IF(NOT(OR(Application!M355="Yes",Application!M356="Yes")),0,AP295)</f>
        <v>9</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2302</v>
      </c>
      <c r="B341" s="439" t="s">
        <v>2303</v>
      </c>
      <c r="C341" s="436"/>
      <c r="AC341" s="439"/>
      <c r="AE341" s="2336" t="s">
        <v>2132</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2304</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4"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2305</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2306</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2307</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15"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1.85"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5</v>
      </c>
      <c r="AS357" s="439" t="s">
        <v>2308</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0</v>
      </c>
      <c r="AS359" s="439" t="s">
        <v>2309</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5</v>
      </c>
      <c r="AS360" s="2466">
        <f>IF(AND(AQ366&gt;0,AQ375&gt;0),(AQ366+AQ375)/2,0)</f>
        <v>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2310</v>
      </c>
    </row>
    <row r="362" spans="1:46" s="450" customFormat="1" ht="12.75" customHeight="1">
      <c r="A362" s="503"/>
      <c r="B362" s="511"/>
      <c r="C362" s="2467" t="s">
        <v>2311</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1379</v>
      </c>
      <c r="AP364" s="596">
        <f>IF(C421="Yes",5,0)</f>
        <v>0</v>
      </c>
    </row>
    <row r="365" spans="1:46" s="450" customFormat="1" ht="11.8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4"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2312</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1381</v>
      </c>
      <c r="AP368" s="596">
        <f>IF(C430="Yes",5,0)</f>
        <v>0</v>
      </c>
    </row>
    <row r="369" spans="1:81" s="450" customFormat="1" ht="12.75" customHeight="1">
      <c r="A369" s="503"/>
      <c r="B369" s="511"/>
      <c r="C369" s="2445" t="s">
        <v>2313</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1383</v>
      </c>
      <c r="AP369" s="596">
        <f>IF(C442="Yes",5,0)</f>
        <v>0</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1385</v>
      </c>
      <c r="AP370" s="596">
        <f>IF(C449="Yes",5,0)</f>
        <v>0</v>
      </c>
    </row>
    <row r="371" spans="1:81" s="450" customFormat="1" ht="68.099999999999994"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1386</v>
      </c>
      <c r="AP371" s="601">
        <f>IF(C453="Yes",5,0)</f>
        <v>0</v>
      </c>
    </row>
    <row r="372" spans="1:81" s="450" customFormat="1" ht="12.4" customHeight="1">
      <c r="A372" s="503"/>
      <c r="B372" s="511"/>
      <c r="C372" s="450" t="s">
        <v>2314</v>
      </c>
      <c r="AF372" s="503"/>
      <c r="AG372" s="503"/>
      <c r="AH372" s="503"/>
      <c r="AI372" s="503"/>
      <c r="AJ372" s="503"/>
      <c r="AK372" s="503"/>
      <c r="AL372" s="503"/>
      <c r="AM372" s="503"/>
      <c r="AN372" s="497"/>
      <c r="AO372" s="595" t="s">
        <v>1387</v>
      </c>
      <c r="AP372" s="596">
        <f>IF(C457="Yes",5,0)</f>
        <v>0</v>
      </c>
    </row>
    <row r="373" spans="1:81" s="450" customFormat="1" ht="12.75" customHeight="1">
      <c r="A373" s="503"/>
      <c r="B373" s="511"/>
      <c r="C373" s="602" t="s">
        <v>2315</v>
      </c>
      <c r="D373" s="603"/>
      <c r="E373" s="603"/>
      <c r="F373" s="603"/>
      <c r="G373" s="603"/>
      <c r="H373" s="603"/>
      <c r="I373" s="603"/>
      <c r="J373" s="603"/>
      <c r="K373" s="603"/>
      <c r="L373" s="603"/>
      <c r="M373" s="567"/>
      <c r="N373" s="567"/>
      <c r="O373" s="604"/>
      <c r="P373" s="603"/>
      <c r="Q373" s="603"/>
      <c r="R373" s="567"/>
      <c r="S373" s="567"/>
      <c r="T373" s="603"/>
      <c r="U373" s="2553">
        <f>Application!DU802-U374</f>
        <v>35</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1388</v>
      </c>
      <c r="AP373" s="596">
        <f>IF(C466="Yes",5,0)</f>
        <v>0</v>
      </c>
    </row>
    <row r="374" spans="1:81" s="450" customFormat="1" ht="12.75" customHeight="1">
      <c r="A374" s="503"/>
      <c r="B374" s="511"/>
      <c r="C374" s="607" t="s">
        <v>2316</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2312</v>
      </c>
      <c r="AP375" s="611">
        <f>SUM(AP368:AP373)</f>
        <v>0</v>
      </c>
      <c r="AQ375" s="2468">
        <f>IF(AP375&gt;0,AP375,0)</f>
        <v>0</v>
      </c>
      <c r="AR375" s="2468"/>
    </row>
    <row r="376" spans="1:81" s="450" customFormat="1" ht="12.75" customHeight="1">
      <c r="A376" s="503"/>
      <c r="B376" s="13"/>
      <c r="C376" s="612" t="s">
        <v>2317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2134</v>
      </c>
      <c r="F377" s="2449" t="s">
        <v>2318</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846</v>
      </c>
      <c r="D381" s="2403"/>
      <c r="E381" s="619"/>
      <c r="F381" s="621" t="s">
        <v>2319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2320</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2137</v>
      </c>
      <c r="F384" s="2449" t="s">
        <v>2321</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811</v>
      </c>
      <c r="D389" s="2403"/>
      <c r="E389" s="591"/>
      <c r="F389" s="621" t="s">
        <v>2322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2320</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2143</v>
      </c>
      <c r="F392" s="2449" t="s">
        <v>2323</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811</v>
      </c>
      <c r="D397" s="2403"/>
      <c r="E397" s="591"/>
      <c r="F397" s="621" t="s">
        <v>2324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2325</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846</v>
      </c>
      <c r="D399" s="2403"/>
      <c r="E399" s="591"/>
      <c r="F399" s="638" t="s">
        <v>2326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2320</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2328</v>
      </c>
      <c r="F403" s="2449" t="s">
        <v>2329</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811</v>
      </c>
      <c r="D407" s="2403"/>
      <c r="E407" s="591"/>
      <c r="F407" s="621" t="s">
        <v>2330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2320</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811</v>
      </c>
      <c r="D409" s="2403"/>
      <c r="E409" s="619"/>
      <c r="F409" s="621" t="s">
        <v>2331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2332</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811</v>
      </c>
      <c r="D412" s="2403"/>
      <c r="E412" s="615" t="s">
        <v>2333</v>
      </c>
      <c r="F412" s="2449" t="s">
        <v>2334</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2320</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2335</v>
      </c>
      <c r="F417" s="2449" t="s">
        <v>2336</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811</v>
      </c>
      <c r="D421" s="2403"/>
      <c r="E421" s="591"/>
      <c r="F421" s="621" t="s">
        <v>2337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2320</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811</v>
      </c>
      <c r="D423" s="2403"/>
      <c r="E423" s="619"/>
      <c r="F423" s="621" t="s">
        <v>2338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2332</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2340</v>
      </c>
      <c r="F427" s="2449" t="s">
        <v>2341</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4"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811</v>
      </c>
      <c r="D430" s="2403"/>
      <c r="E430" s="591"/>
      <c r="F430" s="621" t="s">
        <v>2342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2320</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2343</v>
      </c>
      <c r="F433" s="2449" t="s">
        <v>2344</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811</v>
      </c>
      <c r="D442" s="2403"/>
      <c r="E442" s="619"/>
      <c r="F442" s="496" t="s">
        <v>2345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2320</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2346</v>
      </c>
      <c r="F445" s="2449" t="s">
        <v>2347</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811</v>
      </c>
      <c r="D449" s="2403"/>
      <c r="E449" s="619"/>
      <c r="F449" s="621" t="s">
        <v>2348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2320</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811</v>
      </c>
      <c r="D453" s="2453"/>
      <c r="E453" s="615" t="s">
        <v>2349</v>
      </c>
      <c r="F453" s="2449" t="s">
        <v>2350</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2320</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649999999999999"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811</v>
      </c>
      <c r="D457" s="2403"/>
      <c r="E457" s="615" t="s">
        <v>2351</v>
      </c>
      <c r="F457" s="2449" t="s">
        <v>2352</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2320</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2353</v>
      </c>
      <c r="F462" s="2449" t="s">
        <v>2354</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811</v>
      </c>
      <c r="D466" s="2403"/>
      <c r="E466" s="619"/>
      <c r="F466" s="621" t="s">
        <v>2337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2320</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2355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2356</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2357</v>
      </c>
      <c r="C472" s="439"/>
      <c r="E472" s="496"/>
      <c r="AE472" s="2447" t="s">
        <v>2358</v>
      </c>
      <c r="AF472" s="2447"/>
      <c r="AG472" s="2447"/>
      <c r="AH472" s="2447"/>
      <c r="AI472" s="2447"/>
      <c r="AJ472" s="2447"/>
      <c r="AK472" s="2447"/>
      <c r="AL472" s="491"/>
      <c r="AN472" s="497"/>
      <c r="AO472" s="450" t="s">
        <v>2359</v>
      </c>
      <c r="AP472" s="450">
        <v>5</v>
      </c>
      <c r="AT472" s="450" t="s">
        <v>2359</v>
      </c>
      <c r="AU472" s="450">
        <v>5</v>
      </c>
      <c r="AV472" s="652"/>
    </row>
    <row r="473" spans="1:58" s="450" customFormat="1" ht="12.75" hidden="1" customHeight="1">
      <c r="A473" s="439"/>
      <c r="B473" s="436" t="s">
        <v>2360</v>
      </c>
      <c r="C473" s="439"/>
      <c r="E473" s="496"/>
      <c r="AE473" s="491"/>
      <c r="AF473" s="491"/>
      <c r="AG473" s="491"/>
      <c r="AH473" s="491"/>
      <c r="AI473" s="491"/>
      <c r="AJ473" s="491"/>
      <c r="AK473" s="491"/>
      <c r="AL473" s="491"/>
      <c r="AN473" s="497"/>
      <c r="AO473" s="450" t="s">
        <v>2361</v>
      </c>
      <c r="AP473" s="450">
        <v>5</v>
      </c>
      <c r="AT473" s="450" t="s">
        <v>2362</v>
      </c>
      <c r="AU473" s="450">
        <v>5</v>
      </c>
      <c r="AV473" s="652"/>
    </row>
    <row r="474" spans="1:58" s="450" customFormat="1" ht="12.75" hidden="1" customHeight="1">
      <c r="A474" s="439"/>
      <c r="B474" s="439" t="s">
        <v>2363</v>
      </c>
      <c r="C474" s="439"/>
      <c r="E474" s="496"/>
      <c r="AE474" s="491"/>
      <c r="AF474" s="491"/>
      <c r="AG474" s="491"/>
      <c r="AH474" s="491"/>
      <c r="AI474" s="491"/>
      <c r="AJ474" s="491"/>
      <c r="AK474" s="491"/>
      <c r="AL474" s="491"/>
      <c r="AN474" s="497"/>
      <c r="AO474" s="450" t="s">
        <v>2364</v>
      </c>
      <c r="AP474" s="450">
        <v>5</v>
      </c>
      <c r="AQ474" s="439"/>
      <c r="AR474" s="439"/>
      <c r="AS474" s="655"/>
      <c r="AT474" s="450" t="s">
        <v>2364</v>
      </c>
      <c r="AU474" s="450">
        <v>5</v>
      </c>
      <c r="AV474" s="436"/>
    </row>
    <row r="475" spans="1:58" s="450" customFormat="1" ht="12.75" hidden="1" customHeight="1">
      <c r="A475" s="439"/>
      <c r="B475" s="439" t="s">
        <v>2365</v>
      </c>
      <c r="C475" s="439"/>
      <c r="E475" s="496"/>
      <c r="AE475" s="491"/>
      <c r="AF475" s="491"/>
      <c r="AG475" s="491"/>
      <c r="AH475" s="491"/>
      <c r="AI475" s="491"/>
      <c r="AJ475" s="491"/>
      <c r="AK475" s="491"/>
      <c r="AL475" s="491"/>
      <c r="AN475" s="497"/>
      <c r="AO475" s="450" t="s">
        <v>2366</v>
      </c>
      <c r="AP475" s="450">
        <v>5</v>
      </c>
      <c r="AQ475" s="439"/>
      <c r="AR475" s="439"/>
      <c r="AT475" s="450" t="s">
        <v>2366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2367</v>
      </c>
      <c r="AP476" s="450">
        <v>5</v>
      </c>
      <c r="AQ476" s="439"/>
      <c r="AR476" s="439"/>
      <c r="AT476" s="450" t="s">
        <v>2367</v>
      </c>
      <c r="AU476" s="450">
        <v>5</v>
      </c>
    </row>
    <row r="477" spans="1:58" s="450" customFormat="1" ht="12.75" hidden="1" customHeight="1">
      <c r="A477" s="439"/>
      <c r="C477" s="612" t="s">
        <v>2368</v>
      </c>
      <c r="D477" s="470"/>
      <c r="AE477" s="491"/>
      <c r="AF477" s="491"/>
      <c r="AG477" s="496"/>
      <c r="AH477" s="496"/>
      <c r="AI477" s="496"/>
      <c r="AJ477" s="496"/>
      <c r="AK477" s="496"/>
      <c r="AL477" s="496"/>
      <c r="AN477" s="497"/>
      <c r="AO477" s="450" t="s">
        <v>2369</v>
      </c>
      <c r="AP477" s="450">
        <v>5</v>
      </c>
      <c r="AT477" s="450" t="s">
        <v>2369</v>
      </c>
      <c r="AU477" s="450">
        <v>5</v>
      </c>
    </row>
    <row r="478" spans="1:58" s="450" customFormat="1" ht="12.75" hidden="1" customHeight="1">
      <c r="A478" s="439"/>
      <c r="C478" s="2472" t="s">
        <v>811</v>
      </c>
      <c r="D478" s="2473"/>
      <c r="E478" s="661" t="s">
        <v>51</v>
      </c>
      <c r="F478" s="2474" t="s">
        <v>2370</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2371</v>
      </c>
      <c r="AP478" s="450">
        <v>5</v>
      </c>
      <c r="AS478" s="658"/>
      <c r="AT478" s="450" t="s">
        <v>2372</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2373</v>
      </c>
      <c r="AP479" s="450">
        <v>1</v>
      </c>
      <c r="AT479" s="450" t="s">
        <v>2373</v>
      </c>
      <c r="AU479" s="450">
        <v>1</v>
      </c>
    </row>
    <row r="480" spans="1:58" s="450" customFormat="1" ht="12.75" hidden="1" customHeight="1">
      <c r="C480" s="664"/>
      <c r="D480" s="627"/>
      <c r="E480" s="665"/>
      <c r="F480" s="2548" t="s">
        <v>811</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2152</v>
      </c>
      <c r="AI480" s="667"/>
      <c r="AJ480" s="667"/>
      <c r="AK480" s="642"/>
      <c r="AN480" s="497"/>
      <c r="AS480" s="655"/>
      <c r="AX480" s="655"/>
      <c r="BB480" s="655" t="s">
        <v>2374</v>
      </c>
      <c r="BF480" s="655" t="s">
        <v>2375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49" t="s">
        <v>846</v>
      </c>
      <c r="D482" s="2550"/>
      <c r="E482" s="661" t="s">
        <v>53</v>
      </c>
      <c r="F482" s="669" t="s">
        <v>2376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2377</v>
      </c>
      <c r="AX482" s="537">
        <v>3</v>
      </c>
      <c r="AY482" s="493"/>
      <c r="BB482" s="658">
        <v>0.4</v>
      </c>
      <c r="BC482" s="493">
        <v>3</v>
      </c>
      <c r="BF482" s="658">
        <v>0.4</v>
      </c>
      <c r="BG482" s="493">
        <v>4</v>
      </c>
    </row>
    <row r="483" spans="1:81" s="450" customFormat="1" ht="12.75" hidden="1" customHeight="1">
      <c r="C483" s="670" t="s">
        <v>2378</v>
      </c>
      <c r="F483" s="671" t="s">
        <v>2379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2380</v>
      </c>
      <c r="AX483" s="537">
        <v>5</v>
      </c>
      <c r="AY483" s="493"/>
      <c r="BB483" s="658">
        <v>0.6</v>
      </c>
      <c r="BC483" s="493">
        <v>4</v>
      </c>
      <c r="BF483" s="658">
        <v>0.6</v>
      </c>
      <c r="BG483" s="493">
        <v>5</v>
      </c>
    </row>
    <row r="484" spans="1:81" s="450" customFormat="1" ht="12.75" hidden="1" customHeight="1">
      <c r="C484" s="651"/>
      <c r="D484" s="630"/>
      <c r="E484" s="672"/>
      <c r="F484" s="671" t="s">
        <v>2381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2382</v>
      </c>
      <c r="G485" s="450"/>
      <c r="H485" s="450"/>
      <c r="I485" s="671"/>
      <c r="J485" s="671"/>
      <c r="K485" s="671"/>
      <c r="L485" s="671"/>
      <c r="M485" s="671"/>
      <c r="N485" s="671"/>
      <c r="O485" s="671"/>
      <c r="P485" s="671"/>
      <c r="Q485" s="671"/>
      <c r="R485" s="671"/>
      <c r="S485" s="671"/>
      <c r="T485" s="671"/>
      <c r="U485" s="671"/>
      <c r="V485" s="2547" t="s">
        <v>811</v>
      </c>
      <c r="W485" s="2547"/>
      <c r="X485" s="2547"/>
      <c r="Y485" s="671"/>
      <c r="Z485" s="671"/>
      <c r="AA485" s="671"/>
      <c r="AB485" s="671"/>
      <c r="AC485" s="671"/>
      <c r="AD485" s="509"/>
      <c r="AE485" s="509"/>
      <c r="AF485" s="509"/>
      <c r="AG485" s="513">
        <f>IF(AND($C$482="Yes",$V$487="N/A",$V$492="N/A",$V$496="N/A",$V$498="N/A"),(VLOOKUP(V485,$AW$481:$AX$483,2,FALSE)),0)</f>
        <v>0</v>
      </c>
      <c r="AH485" s="540" t="s">
        <v>2152</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2383</v>
      </c>
      <c r="G487" s="450"/>
      <c r="H487" s="450"/>
      <c r="I487" s="671"/>
      <c r="J487" s="671"/>
      <c r="K487" s="671"/>
      <c r="L487" s="671"/>
      <c r="M487" s="671"/>
      <c r="N487" s="671"/>
      <c r="O487" s="671"/>
      <c r="P487" s="671"/>
      <c r="Q487" s="671"/>
      <c r="R487" s="671"/>
      <c r="S487" s="671"/>
      <c r="T487" s="671"/>
      <c r="U487" s="671"/>
      <c r="V487" s="2547" t="s">
        <v>811</v>
      </c>
      <c r="W487" s="2547"/>
      <c r="X487" s="2547"/>
      <c r="Y487" s="671"/>
      <c r="Z487" s="671"/>
      <c r="AA487" s="671"/>
      <c r="AB487" s="671"/>
      <c r="AC487" s="671"/>
      <c r="AD487" s="509"/>
      <c r="AE487" s="509"/>
      <c r="AF487" s="509"/>
      <c r="AG487" s="513">
        <f>IF(AND($C$482="Yes",$V$485="N/A", $V$492="N/A",$V$496="N/A",$V$498="N/A"),(VLOOKUP(V487,$AT$481:$AU$483,2,FALSE)),0)</f>
        <v>0</v>
      </c>
      <c r="AH487" s="540" t="s">
        <v>2152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2384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2385</v>
      </c>
      <c r="AP489" s="537">
        <v>2</v>
      </c>
    </row>
    <row r="490" spans="1:81" s="450" customFormat="1" ht="12.75" hidden="1" customHeight="1">
      <c r="C490" s="662"/>
      <c r="F490" s="509" t="s">
        <v>2386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2387</v>
      </c>
      <c r="AP490" s="450">
        <v>2</v>
      </c>
    </row>
    <row r="491" spans="1:81" s="496" customFormat="1" ht="12.75" hidden="1" customHeight="1">
      <c r="A491" s="450"/>
      <c r="B491" s="450"/>
      <c r="C491" s="639"/>
      <c r="D491" s="470"/>
      <c r="E491" s="470"/>
      <c r="F491" s="509" t="s">
        <v>2388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2389</v>
      </c>
      <c r="AP491" s="450">
        <v>2</v>
      </c>
    </row>
    <row r="492" spans="1:81" s="450" customFormat="1" ht="12.75" hidden="1" customHeight="1">
      <c r="C492" s="677"/>
      <c r="F492" s="675" t="s">
        <v>2390</v>
      </c>
      <c r="M492" s="663"/>
      <c r="N492" s="663"/>
      <c r="O492" s="663"/>
      <c r="P492" s="663"/>
      <c r="Q492" s="451"/>
      <c r="R492" s="451"/>
      <c r="S492" s="451"/>
      <c r="T492" s="451"/>
      <c r="U492" s="451"/>
      <c r="V492" s="2547" t="s">
        <v>811</v>
      </c>
      <c r="W492" s="2547"/>
      <c r="X492" s="2547"/>
      <c r="Y492" s="451"/>
      <c r="Z492" s="451"/>
      <c r="AA492" s="451"/>
      <c r="AB492" s="451"/>
      <c r="AC492" s="451"/>
      <c r="AG492" s="513">
        <f>IF(AND($C$482="Yes",$V$485="N/A",$V$487="N/A", $V$496="N/A",$V$498="N/A"),(VLOOKUP($V$492,$AT$485:$AU$487,2,FALSE)),0)</f>
        <v>0</v>
      </c>
      <c r="AH492" s="540" t="s">
        <v>2152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2391</v>
      </c>
      <c r="D494" s="614"/>
      <c r="E494" s="614"/>
      <c r="F494" s="680" t="s">
        <v>2392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37"/>
      <c r="E495" s="2537"/>
      <c r="F495" s="671" t="s">
        <v>2393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2394</v>
      </c>
      <c r="AP495" s="537">
        <v>5</v>
      </c>
      <c r="AQ495" s="439"/>
    </row>
    <row r="496" spans="1:81" s="470" customFormat="1" ht="12.75" hidden="1" customHeight="1">
      <c r="A496" s="579"/>
      <c r="B496" s="450"/>
      <c r="C496" s="662"/>
      <c r="D496" s="450"/>
      <c r="E496" s="450"/>
      <c r="F496" s="682" t="s">
        <v>2382</v>
      </c>
      <c r="G496" s="450"/>
      <c r="H496" s="450"/>
      <c r="I496" s="450"/>
      <c r="J496" s="450"/>
      <c r="K496" s="450"/>
      <c r="L496" s="450"/>
      <c r="M496" s="450"/>
      <c r="N496" s="450"/>
      <c r="O496" s="450"/>
      <c r="P496" s="450"/>
      <c r="Q496" s="450"/>
      <c r="R496" s="450"/>
      <c r="S496" s="450"/>
      <c r="T496" s="450"/>
      <c r="U496" s="450"/>
      <c r="V496" s="2547" t="s">
        <v>811</v>
      </c>
      <c r="W496" s="2547"/>
      <c r="X496" s="2547"/>
      <c r="Y496" s="450"/>
      <c r="Z496" s="450"/>
      <c r="AA496" s="450"/>
      <c r="AB496" s="450"/>
      <c r="AC496" s="450"/>
      <c r="AD496" s="450"/>
      <c r="AE496" s="450"/>
      <c r="AF496" s="450"/>
      <c r="AG496" s="513">
        <f>IF(AND($C$482="Yes",$V$485="N/A",V487="N/A",$V$492="N/A",$V$498="N/A"),(VLOOKUP($V$496,$BB$481:$BC$484,2,FALSE)),0)</f>
        <v>0</v>
      </c>
      <c r="AH496" s="540" t="s">
        <v>2152</v>
      </c>
      <c r="AI496" s="451"/>
      <c r="AJ496" s="450"/>
      <c r="AK496" s="632"/>
      <c r="AL496" s="450"/>
      <c r="AM496" s="450"/>
      <c r="AN496" s="584"/>
      <c r="AO496" s="450" t="s">
        <v>2395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2383</v>
      </c>
      <c r="G498" s="666"/>
      <c r="H498" s="666"/>
      <c r="I498" s="627"/>
      <c r="J498" s="627"/>
      <c r="K498" s="627"/>
      <c r="L498" s="627"/>
      <c r="M498" s="627"/>
      <c r="N498" s="627"/>
      <c r="O498" s="627"/>
      <c r="P498" s="627"/>
      <c r="Q498" s="627"/>
      <c r="R498" s="627"/>
      <c r="S498" s="627"/>
      <c r="T498" s="627"/>
      <c r="U498" s="627"/>
      <c r="V498" s="2547" t="s">
        <v>811</v>
      </c>
      <c r="W498" s="2547"/>
      <c r="X498" s="2547"/>
      <c r="Y498" s="627"/>
      <c r="Z498" s="627"/>
      <c r="AA498" s="627"/>
      <c r="AB498" s="627"/>
      <c r="AC498" s="627"/>
      <c r="AD498" s="627"/>
      <c r="AE498" s="627"/>
      <c r="AF498" s="627"/>
      <c r="AG498" s="683">
        <f>IF(AND($C$482="Yes",$V$485="N/A",$V$487="N/A",$V$492="N/A",$V$496="N/A"),(VLOOKUP($V$498,$BF$481:$BG$483,2,FALSE)),0)</f>
        <v>0</v>
      </c>
      <c r="AH498" s="668" t="s">
        <v>2152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811</v>
      </c>
      <c r="D501" s="2473"/>
      <c r="E501" s="661" t="s">
        <v>51</v>
      </c>
      <c r="F501" s="2474" t="s">
        <v>2370</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811</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2152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811</v>
      </c>
      <c r="D505" s="2473"/>
      <c r="E505" s="661" t="s">
        <v>53</v>
      </c>
      <c r="F505" s="2544" t="s">
        <v>2398</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6" t="s">
        <v>811</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2" t="s">
        <v>811</v>
      </c>
      <c r="D510" s="2473"/>
      <c r="E510" s="661" t="s">
        <v>2400</v>
      </c>
      <c r="F510" s="680" t="s">
        <v>2401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6"/>
      <c r="D512" s="2537"/>
      <c r="E512" s="672"/>
      <c r="F512" s="451" t="s">
        <v>2402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811</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811</v>
      </c>
      <c r="D515" s="2477"/>
      <c r="F515" s="451" t="s">
        <v>2403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2404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2405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811</v>
      </c>
      <c r="D519" s="2477"/>
      <c r="F519" s="695" t="s">
        <v>2406</v>
      </c>
      <c r="G519" s="2450" t="s">
        <v>2407</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2152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811</v>
      </c>
      <c r="D523" s="2479"/>
      <c r="E523" s="702" t="s">
        <v>2409</v>
      </c>
      <c r="F523" s="671" t="s">
        <v>2410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811</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2411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2414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2415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2418</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2419</v>
      </c>
      <c r="B538" s="439" t="s">
        <v>2420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2421</v>
      </c>
      <c r="AF538" s="2336"/>
      <c r="AG538" s="2336"/>
      <c r="AH538" s="2336"/>
      <c r="AI538" s="2336"/>
      <c r="AJ538" s="2336"/>
      <c r="AK538" s="2336"/>
      <c r="AL538" s="495"/>
      <c r="AM538" s="495"/>
      <c r="AN538" s="497"/>
    </row>
    <row r="539" spans="1:81" s="450" customFormat="1" ht="12.75" customHeight="1">
      <c r="A539" s="439"/>
      <c r="B539" s="439" t="s">
        <v>2148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846</v>
      </c>
      <c r="D541" s="2403"/>
      <c r="E541" s="451"/>
      <c r="F541" s="2530" t="s">
        <v>2422</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811</v>
      </c>
      <c r="D544" s="2403"/>
      <c r="E544" s="706"/>
      <c r="F544" s="544" t="s">
        <v>2423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2424</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2425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2426</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12846420</v>
      </c>
      <c r="AQ550" s="2552"/>
      <c r="AR550" s="2552"/>
      <c r="AS550" s="450" t="s">
        <v>2427</v>
      </c>
    </row>
    <row r="551" spans="1:49" s="450" customFormat="1" ht="12.75" customHeight="1">
      <c r="A551" s="399"/>
      <c r="B551" s="349" t="s">
        <v>2428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18896485</v>
      </c>
      <c r="AG551" s="2409"/>
      <c r="AH551" s="2409"/>
      <c r="AI551" s="2409"/>
      <c r="AJ551" s="2409"/>
      <c r="AK551" s="495"/>
      <c r="AL551" s="495"/>
      <c r="AM551" s="495"/>
      <c r="AN551" s="497"/>
    </row>
    <row r="552" spans="1:49" s="450" customFormat="1" ht="12.75" customHeight="1">
      <c r="A552" s="525"/>
      <c r="B552" s="525" t="s">
        <v>2429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25692840</v>
      </c>
      <c r="AG552" s="2557"/>
      <c r="AH552" s="2557"/>
      <c r="AI552" s="2557"/>
      <c r="AJ552" s="2557"/>
      <c r="AK552" s="495"/>
      <c r="AL552" s="495"/>
      <c r="AM552" s="495"/>
      <c r="AN552" s="497"/>
      <c r="AP552" s="2552">
        <f>Application!AJ1045</f>
        <v>2569284</v>
      </c>
      <c r="AQ552" s="2552"/>
      <c r="AR552" s="2552"/>
      <c r="AS552" s="450" t="s">
        <v>1694</v>
      </c>
    </row>
    <row r="553" spans="1:49" s="450" customFormat="1" ht="12.75" customHeight="1">
      <c r="A553" s="524"/>
      <c r="B553" s="524" t="s">
        <v>1622</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0.26</v>
      </c>
      <c r="AG553" s="2558"/>
      <c r="AH553" s="2558"/>
      <c r="AI553" s="2558"/>
      <c r="AJ553" s="2558"/>
      <c r="AK553" s="495"/>
      <c r="AL553" s="495"/>
      <c r="AM553" s="495"/>
      <c r="AN553" s="497"/>
      <c r="AP553" s="2555">
        <f>Application!AJ1049</f>
        <v>12332563.199999999</v>
      </c>
      <c r="AQ553" s="2555"/>
      <c r="AR553" s="2555"/>
      <c r="AS553" s="450" t="s">
        <v>1704</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0.8</v>
      </c>
      <c r="AQ554" s="2551"/>
      <c r="AR554" s="2551"/>
      <c r="AS554" s="450" t="s">
        <v>2430</v>
      </c>
    </row>
    <row r="555" spans="1:49" s="450" customFormat="1" ht="12.75" customHeight="1">
      <c r="A555" s="524"/>
      <c r="B555" s="2488" t="s">
        <v>2431</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15415704</v>
      </c>
      <c r="AQ556" s="2461"/>
      <c r="AR556" s="2461"/>
      <c r="AS556" s="450" t="s">
        <v>2432</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30317551.199999999</v>
      </c>
      <c r="AQ557" s="2552"/>
      <c r="AR557" s="2552"/>
      <c r="AS557" s="450" t="s">
        <v>2433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2434</v>
      </c>
      <c r="AK559" s="2497">
        <f>IFERROR(IF(AND(C541="N/A",C544="N/A"),0,IF(AF553=0,0,IF((AF553*100)&gt;12,12,(AF553*100)))),0)</f>
        <v>12</v>
      </c>
      <c r="AL559" s="2497"/>
      <c r="AM559" s="2498"/>
      <c r="AN559" s="497"/>
      <c r="AP559" s="2569">
        <f>AP556+(AP550*AP554)</f>
        <v>25692840</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2435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2132</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2436</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846</v>
      </c>
    </row>
    <row r="576" spans="1:42" s="450" customFormat="1" ht="12.75" customHeight="1">
      <c r="C576" s="439" t="s">
        <v>2438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2176</v>
      </c>
      <c r="AG578" s="2371"/>
      <c r="AH578" s="2371"/>
      <c r="AI578" s="2371"/>
      <c r="AJ578" s="2371"/>
      <c r="AK578" s="2371"/>
      <c r="AL578" s="2371"/>
      <c r="AN578" s="497"/>
    </row>
    <row r="579" spans="1:42" s="450" customFormat="1" ht="12.75" customHeight="1">
      <c r="B579" s="436"/>
      <c r="C579" s="516"/>
      <c r="D579" s="563"/>
      <c r="E579" s="738" t="s">
        <v>2440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2441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2444</v>
      </c>
      <c r="AP582" s="450" t="b">
        <f>IF(Application!AF418&gt;=25,TRUE,FALSE)</f>
        <v>0</v>
      </c>
    </row>
    <row r="583" spans="1:42" s="450" customFormat="1" ht="12.75" customHeight="1">
      <c r="B583" s="436"/>
      <c r="C583" s="516"/>
      <c r="D583" s="563"/>
      <c r="E583" s="738" t="s">
        <v>2445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2447</v>
      </c>
      <c r="AG585" s="2371"/>
      <c r="AH585" s="2371"/>
      <c r="AI585" s="2371"/>
      <c r="AJ585" s="2371"/>
      <c r="AK585" s="2371"/>
      <c r="AL585" s="2371"/>
      <c r="AN585" s="497"/>
    </row>
    <row r="586" spans="1:42" s="450" customFormat="1" ht="12.75" customHeight="1">
      <c r="B586" s="436"/>
      <c r="C586" s="827"/>
      <c r="D586" s="563"/>
      <c r="E586" s="738" t="s">
        <v>2448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2449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2450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2451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2452</v>
      </c>
      <c r="AP590" s="450">
        <v>4</v>
      </c>
    </row>
    <row r="591" spans="1:42" s="450" customFormat="1" ht="12.75" customHeight="1">
      <c r="B591" s="436"/>
      <c r="C591" s="825"/>
      <c r="D591" s="563" t="s">
        <v>49</v>
      </c>
      <c r="E591" s="738" t="s">
        <v>2453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2454</v>
      </c>
      <c r="AG591" s="2371"/>
      <c r="AH591" s="2371"/>
      <c r="AI591" s="2371"/>
      <c r="AJ591" s="2371"/>
      <c r="AK591" s="2371"/>
      <c r="AL591" s="2371"/>
      <c r="AN591" s="497"/>
      <c r="AO591" s="511" t="s">
        <v>2455</v>
      </c>
      <c r="AP591" s="450">
        <v>3</v>
      </c>
    </row>
    <row r="592" spans="1:42" s="450" customFormat="1" ht="12.75" customHeight="1">
      <c r="B592" s="436"/>
      <c r="C592" s="827"/>
      <c r="D592" s="563"/>
      <c r="E592" s="738" t="s">
        <v>2448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2456</v>
      </c>
    </row>
    <row r="594" spans="1:53" s="450" customFormat="1" ht="12.75" customHeight="1">
      <c r="B594" s="436"/>
      <c r="C594" s="827"/>
      <c r="D594" s="563"/>
      <c r="E594" s="738" t="s">
        <v>2450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2457</v>
      </c>
    </row>
    <row r="595" spans="1:53" s="450" customFormat="1" ht="12.75" customHeight="1">
      <c r="B595" s="436"/>
      <c r="C595" s="827"/>
      <c r="D595" s="563"/>
      <c r="E595" s="738" t="s">
        <v>2451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2452</v>
      </c>
      <c r="E597" s="738" t="s">
        <v>2459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2460</v>
      </c>
      <c r="AG597" s="2371"/>
      <c r="AH597" s="2371"/>
      <c r="AI597" s="2371"/>
      <c r="AJ597" s="2371"/>
      <c r="AK597" s="2371"/>
      <c r="AL597" s="2371"/>
      <c r="AN597" s="497"/>
      <c r="AO597" s="450" t="str">
        <f>X634</f>
        <v>N/A</v>
      </c>
    </row>
    <row r="598" spans="1:53" s="450" customFormat="1" ht="12.75" customHeight="1">
      <c r="B598" s="436"/>
      <c r="C598" s="827"/>
      <c r="D598" s="563"/>
      <c r="E598" s="738" t="s">
        <v>2461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2463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2464</v>
      </c>
    </row>
    <row r="601" spans="1:53" s="450" customFormat="1" ht="12.75" customHeight="1">
      <c r="B601" s="510"/>
      <c r="C601" s="825"/>
      <c r="D601" s="563"/>
      <c r="E601" s="436" t="s">
        <v>2465</v>
      </c>
      <c r="O601" s="2457" t="s">
        <v>1028</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2455</v>
      </c>
      <c r="E603" s="738" t="s">
        <v>2466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2192</v>
      </c>
      <c r="AG603" s="2371"/>
      <c r="AH603" s="2371"/>
      <c r="AI603" s="2371"/>
      <c r="AJ603" s="2371"/>
      <c r="AK603" s="2371"/>
      <c r="AL603" s="2371"/>
      <c r="AN603" s="497"/>
    </row>
    <row r="604" spans="1:53" s="450" customFormat="1" ht="12.75" customHeight="1">
      <c r="B604" s="436"/>
      <c r="C604" s="825"/>
      <c r="D604" s="563"/>
      <c r="E604" s="738" t="s">
        <v>2467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2468</v>
      </c>
      <c r="E606" s="830"/>
      <c r="F606" s="830"/>
      <c r="G606" s="830"/>
      <c r="H606" s="2455" t="s">
        <v>27</v>
      </c>
      <c r="I606" s="2455"/>
      <c r="J606" s="830"/>
      <c r="K606" s="830"/>
      <c r="L606" s="830"/>
      <c r="N606" s="19"/>
      <c r="O606" s="19"/>
      <c r="P606" s="19"/>
      <c r="Q606" s="1040" t="s">
        <v>2469</v>
      </c>
      <c r="R606" s="2458"/>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2470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2471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2473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2468</v>
      </c>
      <c r="F614" s="830"/>
      <c r="G614" s="830"/>
      <c r="I614" s="2456" t="s">
        <v>811</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2474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2475</v>
      </c>
      <c r="AP615" s="450">
        <v>2</v>
      </c>
    </row>
    <row r="616" spans="1:42" s="450" customFormat="1" ht="12.75" customHeight="1">
      <c r="B616" s="2399" t="s">
        <v>811</v>
      </c>
      <c r="C616" s="2399"/>
      <c r="D616" s="542"/>
      <c r="E616" s="2426" t="s">
        <v>2476</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2477</v>
      </c>
      <c r="AJ621" s="2406">
        <f>VLOOKUP($H$606,$AO$586:$AP$591,2,FALSE)+IF(R606=AO594,0,VLOOKUP($I$614,$AO$613:$AP$615,2,FALSE))</f>
        <v>6</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2479</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2192</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2480</v>
      </c>
      <c r="F634" s="835"/>
      <c r="G634" s="835"/>
      <c r="H634" s="835"/>
      <c r="I634" s="835"/>
      <c r="J634" s="835"/>
      <c r="K634" s="835"/>
      <c r="L634" s="835"/>
      <c r="M634" s="835"/>
      <c r="N634" s="835"/>
      <c r="O634" s="835"/>
      <c r="P634" s="835"/>
      <c r="Q634" s="835"/>
      <c r="R634" s="835"/>
      <c r="U634" s="835"/>
      <c r="V634" s="835"/>
      <c r="W634" s="835"/>
      <c r="X634" s="2399" t="s">
        <v>811</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2481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2482</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2452</v>
      </c>
      <c r="AP637" s="580">
        <v>4</v>
      </c>
    </row>
    <row r="638" spans="1:42" s="450" customFormat="1" ht="12.75" customHeight="1">
      <c r="B638" s="436"/>
      <c r="C638" s="825"/>
      <c r="D638" s="436" t="s">
        <v>2468</v>
      </c>
      <c r="E638" s="830"/>
      <c r="F638" s="830"/>
      <c r="G638" s="830"/>
      <c r="H638" s="2455" t="s">
        <v>22</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2455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2483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2484</v>
      </c>
      <c r="AJ640" s="2406">
        <f>VLOOKUP($H$638,$AO$605:$AP$607,2,FALSE)</f>
        <v>3</v>
      </c>
      <c r="AK640" s="2408"/>
      <c r="AL640" s="495"/>
      <c r="AN640" s="497"/>
      <c r="AO640" s="511" t="s">
        <v>2485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2487</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2192</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2482</v>
      </c>
      <c r="AG647" s="2371"/>
      <c r="AH647" s="2371"/>
      <c r="AI647" s="2371"/>
      <c r="AJ647" s="2371"/>
      <c r="AK647" s="2371"/>
      <c r="AL647" s="2371"/>
      <c r="AN647" s="497"/>
    </row>
    <row r="648" spans="1:42" s="450" customFormat="1" ht="12.75" customHeight="1">
      <c r="B648" s="436"/>
      <c r="C648" s="825"/>
      <c r="D648" s="563"/>
      <c r="E648" s="516" t="s">
        <v>2489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2468</v>
      </c>
      <c r="E650" s="830"/>
      <c r="F650" s="830"/>
      <c r="G650" s="830"/>
      <c r="H650" s="2455" t="s">
        <v>27</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2490</v>
      </c>
      <c r="AJ652" s="2406">
        <f>VLOOKUP(H650,AT605:AU607,2,FALSE)</f>
        <v>2</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2491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2493</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2454</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2494</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2460</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2495</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2192</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811</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2452</v>
      </c>
      <c r="E669" s="2426" t="s">
        <v>2496</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2460</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2455</v>
      </c>
      <c r="E673" s="2426" t="s">
        <v>2497</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2192</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2483</v>
      </c>
      <c r="E677" s="2426" t="s">
        <v>2498</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2482</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2485</v>
      </c>
      <c r="E681" s="2426" t="s">
        <v>2499</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2500</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2468</v>
      </c>
      <c r="E685" s="830"/>
      <c r="F685" s="830"/>
      <c r="G685" s="830"/>
      <c r="H685" s="2455" t="s">
        <v>22</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2501</v>
      </c>
      <c r="AJ687" s="2406">
        <f>VLOOKUP($H$685,$AO$633:$AP$640,2,FALSE)</f>
        <v>5</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2503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2504</v>
      </c>
      <c r="AX690" s="1041">
        <f>Application!G753</f>
        <v>35</v>
      </c>
    </row>
    <row r="691" spans="1:51" s="450" customFormat="1" ht="12.75" customHeight="1">
      <c r="A691" s="579"/>
      <c r="B691" s="436"/>
      <c r="C691" s="842"/>
      <c r="D691" s="563" t="s">
        <v>22</v>
      </c>
      <c r="E691" s="2462" t="s">
        <v>2505</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2192</v>
      </c>
      <c r="AG691" s="2371"/>
      <c r="AH691" s="2371"/>
      <c r="AI691" s="2371"/>
      <c r="AJ691" s="2371"/>
      <c r="AK691" s="2371"/>
      <c r="AL691" s="2371"/>
      <c r="AN691" s="497"/>
      <c r="AW691" s="19" t="s">
        <v>2506</v>
      </c>
      <c r="AX691" s="450">
        <f>Application!DE753</f>
        <v>0</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2507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2508</v>
      </c>
      <c r="AX693" s="450">
        <f>Application!DO753</f>
        <v>0</v>
      </c>
    </row>
    <row r="694" spans="1:51" s="450" customFormat="1" ht="12.75" customHeight="1">
      <c r="B694" s="436"/>
      <c r="C694" s="825"/>
      <c r="D694" s="563" t="s">
        <v>27</v>
      </c>
      <c r="E694" s="2426" t="s">
        <v>2509</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2192</v>
      </c>
      <c r="AG694" s="2371"/>
      <c r="AH694" s="2371"/>
      <c r="AI694" s="2371"/>
      <c r="AJ694" s="2371"/>
      <c r="AK694" s="2371"/>
      <c r="AL694" s="2371"/>
      <c r="AN694" s="497"/>
      <c r="AW694" s="19" t="s">
        <v>2510</v>
      </c>
      <c r="AX694" s="450">
        <f>AX691+AX692+AX693</f>
        <v>0</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0</v>
      </c>
      <c r="AP695" s="2461"/>
      <c r="AW695" s="19" t="s">
        <v>1954</v>
      </c>
      <c r="AX695" s="450">
        <f>IFERROR(AX694/AX690,0)</f>
        <v>0</v>
      </c>
      <c r="AY695" s="450">
        <f>IFERROR(AX694/(AX690-AX689),0)</f>
        <v>0</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2511</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2482</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2512</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2468</v>
      </c>
      <c r="E709" s="830"/>
      <c r="F709" s="830"/>
      <c r="G709" s="830"/>
      <c r="H709" s="2455" t="s">
        <v>811</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2513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2514</v>
      </c>
      <c r="AJ711" s="2406">
        <f>VLOOKUP($H$709,$AO$703:$AP$706,2,FALSE)</f>
        <v>0</v>
      </c>
      <c r="AK711" s="2408"/>
      <c r="AL711" s="495"/>
      <c r="AM711" s="450"/>
      <c r="AN711" s="584"/>
      <c r="AP711" s="470" t="s">
        <v>2486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2515</v>
      </c>
    </row>
    <row r="713" spans="1:43" s="470" customFormat="1" ht="12.75" customHeight="1">
      <c r="A713" s="450"/>
      <c r="B713" s="436"/>
      <c r="C713" s="439" t="s">
        <v>2516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2518</v>
      </c>
    </row>
    <row r="715" spans="1:43" s="470" customFormat="1" ht="12.75" customHeight="1">
      <c r="A715" s="537"/>
      <c r="B715" s="436"/>
      <c r="C715" s="825"/>
      <c r="D715" s="563" t="s">
        <v>22</v>
      </c>
      <c r="E715" s="2463" t="s">
        <v>2519</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2192</v>
      </c>
      <c r="AG715" s="2371"/>
      <c r="AH715" s="2371"/>
      <c r="AI715" s="2371"/>
      <c r="AJ715" s="2371"/>
      <c r="AK715" s="2371"/>
      <c r="AL715" s="2371"/>
      <c r="AM715" s="450"/>
      <c r="AN715" s="584"/>
      <c r="AP715" s="470" t="s">
        <v>2520</v>
      </c>
    </row>
    <row r="716" spans="1:43" s="470" customFormat="1" ht="11.85"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2521</v>
      </c>
    </row>
    <row r="717" spans="1:43" s="470" customFormat="1" ht="13.9"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2522</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2523</v>
      </c>
    </row>
    <row r="719" spans="1:43" s="470" customFormat="1" ht="13.9" customHeight="1">
      <c r="A719" s="450"/>
      <c r="B719" s="436"/>
      <c r="C719" s="825"/>
      <c r="D719" s="563" t="s">
        <v>27</v>
      </c>
      <c r="E719" s="2464" t="s">
        <v>2524</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2482</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811</v>
      </c>
      <c r="AQ720" s="573">
        <v>0</v>
      </c>
    </row>
    <row r="721" spans="1:81" s="470" customFormat="1" ht="13.9"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2468</v>
      </c>
      <c r="E723" s="830"/>
      <c r="F723" s="830"/>
      <c r="G723" s="830"/>
      <c r="H723" s="2455" t="s">
        <v>22</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2525</v>
      </c>
      <c r="AJ725" s="2406">
        <f>VLOOKUP($H$723,$AP$720:$AQ$722,2,FALSE)</f>
        <v>3</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2526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6" t="s">
        <v>2527</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2192</v>
      </c>
      <c r="AG729" s="2371"/>
      <c r="AH729" s="2371"/>
      <c r="AI729" s="2371"/>
      <c r="AJ729" s="2371"/>
      <c r="AK729" s="2371"/>
      <c r="AL729" s="2371"/>
      <c r="AM729" s="450"/>
      <c r="AN729" s="584"/>
      <c r="AT729" s="13"/>
      <c r="AU729" s="13"/>
      <c r="AV729" s="13"/>
      <c r="AW729" s="13"/>
      <c r="AX729" s="13"/>
      <c r="AY729" s="13"/>
      <c r="AZ729" s="13"/>
    </row>
    <row r="730" spans="1:81" s="470" customFormat="1">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2528</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2482</v>
      </c>
      <c r="AG732" s="2371"/>
      <c r="AH732" s="2371"/>
      <c r="AI732" s="2371"/>
      <c r="AJ732" s="2371"/>
      <c r="AK732" s="2371"/>
      <c r="AL732" s="2371"/>
      <c r="AM732" s="450"/>
      <c r="AN732" s="584"/>
      <c r="AT732" s="13"/>
      <c r="AU732" s="13"/>
      <c r="AV732" s="13"/>
      <c r="AW732" s="13"/>
      <c r="AX732" s="13"/>
      <c r="AY732" s="13"/>
      <c r="AZ732" s="13"/>
    </row>
    <row r="733" spans="1:81" s="470" customFormat="1">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2468</v>
      </c>
      <c r="E735" s="830"/>
      <c r="F735" s="830"/>
      <c r="G735" s="830"/>
      <c r="H735" s="2455" t="s">
        <v>811</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2529</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2530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6" t="s">
        <v>2531</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2192</v>
      </c>
      <c r="AG741" s="2371"/>
      <c r="AH741" s="2371"/>
      <c r="AI741" s="2371"/>
      <c r="AJ741" s="2371"/>
      <c r="AK741" s="2371"/>
      <c r="AL741" s="2371"/>
      <c r="AM741" s="450"/>
      <c r="AN741" s="584"/>
      <c r="AT741" s="13"/>
      <c r="AU741" s="13"/>
      <c r="AV741" s="13"/>
      <c r="AW741" s="13"/>
      <c r="AX741" s="13"/>
      <c r="AY741" s="13"/>
      <c r="AZ741" s="13"/>
    </row>
    <row r="742" spans="1:81" s="470" customFormat="1">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6" t="s">
        <v>2532</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2482</v>
      </c>
      <c r="AG746" s="2371"/>
      <c r="AH746" s="2371"/>
      <c r="AI746" s="2371"/>
      <c r="AJ746" s="2371"/>
      <c r="AK746" s="2371"/>
      <c r="AL746" s="2371"/>
      <c r="AM746" s="450"/>
      <c r="AN746" s="584"/>
      <c r="AO746" s="25"/>
      <c r="AP746" s="13"/>
    </row>
    <row r="747" spans="1:81" s="470" customFormat="1">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2468</v>
      </c>
      <c r="E751" s="830"/>
      <c r="F751" s="830"/>
      <c r="G751" s="830"/>
      <c r="H751" s="2455" t="s">
        <v>22</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2533</v>
      </c>
      <c r="AJ753" s="2406">
        <f>VLOOKUP($H$751,$AO$680:$AP$682,2,FALSE)</f>
        <v>3</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2522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6" t="s">
        <v>2534</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2482</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6" t="s">
        <v>2535</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2500</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2468</v>
      </c>
      <c r="E763" s="830"/>
      <c r="F763" s="830"/>
      <c r="G763" s="830"/>
      <c r="H763" s="2455" t="s">
        <v>27</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2536</v>
      </c>
      <c r="AJ765" s="2406">
        <f>VLOOKUP($H$763,$AO$697:$AP$699,2,FALSE)</f>
        <v>1</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2523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26" t="s">
        <v>2537</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2482</v>
      </c>
      <c r="AG769" s="2371"/>
      <c r="AH769" s="2371"/>
      <c r="AI769" s="2371"/>
      <c r="AJ769" s="2371"/>
      <c r="AK769" s="2371"/>
      <c r="AL769" s="2371"/>
      <c r="AM769" s="513"/>
      <c r="AN769" s="584"/>
      <c r="AO769" s="450" t="s">
        <v>811</v>
      </c>
      <c r="AP769" s="573">
        <v>0</v>
      </c>
    </row>
    <row r="770" spans="1:81" s="470" customFormat="1" ht="13.7"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2538</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2192</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2468</v>
      </c>
      <c r="E779" s="830"/>
      <c r="F779" s="830"/>
      <c r="G779" s="830"/>
      <c r="H779" s="2455" t="s">
        <v>811</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2539</v>
      </c>
      <c r="AJ781" s="2406">
        <f>VLOOKUP($H$779,$AO$769:$AP$771,2,FALSE)</f>
        <v>0</v>
      </c>
      <c r="AK781" s="240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2540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26" t="s">
        <v>2541</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2192</v>
      </c>
      <c r="AG785" s="2371"/>
      <c r="AH785" s="2371"/>
      <c r="AI785" s="2371"/>
      <c r="AJ785" s="2371"/>
      <c r="AK785" s="2371"/>
      <c r="AL785" s="2371"/>
      <c r="AM785" s="513"/>
      <c r="AN785" s="584"/>
      <c r="AO785" s="511" t="s">
        <v>846</v>
      </c>
      <c r="AP785" s="450">
        <v>3</v>
      </c>
      <c r="AT785" s="574"/>
      <c r="AU785" s="574"/>
      <c r="AV785" s="574"/>
      <c r="AW785" s="574"/>
      <c r="AX785" s="574"/>
      <c r="AY785" s="574"/>
      <c r="AZ785" s="574"/>
    </row>
    <row r="786" spans="1:81" s="470" customFormat="1" ht="13.7"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2468</v>
      </c>
      <c r="E790" s="830"/>
      <c r="F790" s="830"/>
      <c r="G790" s="830"/>
      <c r="H790" s="2455" t="s">
        <v>811</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2542</v>
      </c>
      <c r="AJ792" s="2406">
        <f>VLOOKUP($H$790,$AO$784:$AP$785,2,FALSE)</f>
        <v>0</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2543</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2544</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2" t="s">
        <v>2545</v>
      </c>
      <c r="U802" s="2503"/>
      <c r="V802" s="2503"/>
      <c r="W802" s="2503"/>
      <c r="X802" s="2503"/>
      <c r="Y802" s="2504"/>
      <c r="Z802" s="2502" t="s">
        <v>2546</v>
      </c>
      <c r="AA802" s="2503"/>
      <c r="AB802" s="2503"/>
      <c r="AC802" s="2503"/>
      <c r="AD802" s="2503"/>
      <c r="AE802" s="2504"/>
      <c r="AF802" s="2502" t="s">
        <v>2547</v>
      </c>
      <c r="AG802" s="2503"/>
      <c r="AH802" s="2503"/>
      <c r="AI802" s="2503"/>
      <c r="AJ802" s="2503"/>
      <c r="AK802" s="250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c r="A804" s="719" t="s">
        <v>53</v>
      </c>
      <c r="B804" s="2482" t="s">
        <v>2107</v>
      </c>
      <c r="C804" s="2482"/>
      <c r="D804" s="2482"/>
      <c r="E804" s="2482"/>
      <c r="F804" s="2482"/>
      <c r="G804" s="2482"/>
      <c r="H804" s="2482"/>
      <c r="I804" s="2482"/>
      <c r="J804" s="2482"/>
      <c r="K804" s="2482"/>
      <c r="L804" s="2482"/>
      <c r="M804" s="2482"/>
      <c r="N804" s="2482"/>
      <c r="O804" s="2482"/>
      <c r="P804" s="2482"/>
      <c r="Q804" s="2482"/>
      <c r="R804" s="2482"/>
      <c r="S804" s="2483"/>
      <c r="T804" s="2484">
        <f>AK62</f>
        <v>0</v>
      </c>
      <c r="U804" s="2485"/>
      <c r="V804" s="2485"/>
      <c r="W804" s="2485"/>
      <c r="X804" s="2485"/>
      <c r="Y804" s="2486"/>
      <c r="Z804" s="2487">
        <v>20</v>
      </c>
      <c r="AA804" s="2485"/>
      <c r="AB804" s="2485"/>
      <c r="AC804" s="2485"/>
      <c r="AD804" s="2485"/>
      <c r="AE804" s="2486"/>
      <c r="AF804" s="2468">
        <f>IF(T804&gt;Z804,Z804,T804)</f>
        <v>0</v>
      </c>
      <c r="AG804" s="2468"/>
      <c r="AH804" s="2468"/>
      <c r="AI804" s="2468"/>
      <c r="AJ804" s="2468"/>
      <c r="AK804" s="2468"/>
      <c r="AL804" s="718"/>
      <c r="AM804" s="496"/>
      <c r="AO804" s="716"/>
      <c r="AP804" s="716"/>
      <c r="AQ804" s="716"/>
    </row>
    <row r="805" spans="1:81">
      <c r="A805" s="719" t="s">
        <v>2400</v>
      </c>
      <c r="B805" s="2482" t="s">
        <v>619</v>
      </c>
      <c r="C805" s="2482"/>
      <c r="D805" s="2482"/>
      <c r="E805" s="2482"/>
      <c r="F805" s="2482"/>
      <c r="G805" s="2482"/>
      <c r="H805" s="2482"/>
      <c r="I805" s="2482"/>
      <c r="J805" s="2482"/>
      <c r="K805" s="2482"/>
      <c r="L805" s="2482"/>
      <c r="M805" s="2482"/>
      <c r="N805" s="2482"/>
      <c r="O805" s="2482"/>
      <c r="P805" s="2482"/>
      <c r="Q805" s="2482"/>
      <c r="R805" s="2482"/>
      <c r="S805" s="2483"/>
      <c r="T805" s="2484">
        <f>AK84</f>
        <v>10</v>
      </c>
      <c r="U805" s="2485"/>
      <c r="V805" s="2485"/>
      <c r="W805" s="2485"/>
      <c r="X805" s="2485"/>
      <c r="Y805" s="2486"/>
      <c r="Z805" s="2487">
        <v>10</v>
      </c>
      <c r="AA805" s="2485"/>
      <c r="AB805" s="2485"/>
      <c r="AC805" s="2485"/>
      <c r="AD805" s="2485"/>
      <c r="AE805" s="2486"/>
      <c r="AF805" s="2468">
        <f>IF(T805&gt;Z805,Z805,T805)</f>
        <v>10</v>
      </c>
      <c r="AG805" s="2468"/>
      <c r="AH805" s="2468"/>
      <c r="AI805" s="2468"/>
      <c r="AJ805" s="2468"/>
      <c r="AK805" s="2468"/>
      <c r="AL805" s="718"/>
      <c r="AM805" s="496"/>
      <c r="AO805" s="716"/>
      <c r="AP805" s="716"/>
      <c r="AQ805" s="716"/>
    </row>
    <row r="806" spans="1:81">
      <c r="A806" s="719" t="s">
        <v>2409</v>
      </c>
      <c r="B806" s="2482" t="s">
        <v>2147</v>
      </c>
      <c r="C806" s="2482"/>
      <c r="D806" s="2482"/>
      <c r="E806" s="2482"/>
      <c r="F806" s="2482"/>
      <c r="G806" s="2482"/>
      <c r="H806" s="2482"/>
      <c r="I806" s="2482"/>
      <c r="J806" s="2482"/>
      <c r="K806" s="2482"/>
      <c r="L806" s="2482"/>
      <c r="M806" s="2482"/>
      <c r="N806" s="2482"/>
      <c r="O806" s="2482"/>
      <c r="P806" s="2482"/>
      <c r="Q806" s="2482"/>
      <c r="R806" s="2482"/>
      <c r="S806" s="2483"/>
      <c r="T806" s="2484">
        <f ca="1">AK109</f>
        <v>20</v>
      </c>
      <c r="U806" s="2485"/>
      <c r="V806" s="2485"/>
      <c r="W806" s="2485"/>
      <c r="X806" s="2485"/>
      <c r="Y806" s="2486"/>
      <c r="Z806" s="2487">
        <v>20</v>
      </c>
      <c r="AA806" s="2485"/>
      <c r="AB806" s="2485"/>
      <c r="AC806" s="2485"/>
      <c r="AD806" s="2485"/>
      <c r="AE806" s="2486"/>
      <c r="AF806" s="2468">
        <f ca="1">IF(T806&gt;Z806,Z806,T806)</f>
        <v>20</v>
      </c>
      <c r="AG806" s="2468"/>
      <c r="AH806" s="2468"/>
      <c r="AI806" s="2468"/>
      <c r="AJ806" s="2468"/>
      <c r="AK806" s="2468"/>
      <c r="AL806" s="718"/>
      <c r="AM806" s="496"/>
      <c r="AO806" s="716"/>
      <c r="AP806" s="716"/>
      <c r="AQ806" s="716"/>
    </row>
    <row r="807" spans="1:81">
      <c r="A807" s="719" t="s">
        <v>2548</v>
      </c>
      <c r="B807" s="2482" t="s">
        <v>2158</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c r="A808" s="720" t="s">
        <v>2549</v>
      </c>
      <c r="B808" s="2482" t="s">
        <v>2550</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c r="A809" s="435"/>
      <c r="B809" s="501"/>
      <c r="C809" s="2509" t="s">
        <v>2551</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c r="A810" s="500"/>
      <c r="B810" s="501"/>
      <c r="C810" s="2509" t="s">
        <v>1977</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c r="A811" s="720" t="s">
        <v>2204</v>
      </c>
      <c r="B811" s="2482" t="s">
        <v>2552</v>
      </c>
      <c r="C811" s="2482"/>
      <c r="D811" s="2482"/>
      <c r="E811" s="2482"/>
      <c r="F811" s="2482"/>
      <c r="G811" s="2482"/>
      <c r="H811" s="2482"/>
      <c r="I811" s="2482"/>
      <c r="J811" s="2482"/>
      <c r="K811" s="2482"/>
      <c r="L811" s="2482"/>
      <c r="M811" s="2482"/>
      <c r="N811" s="2482"/>
      <c r="O811" s="2482"/>
      <c r="P811" s="2482"/>
      <c r="Q811" s="2482"/>
      <c r="R811" s="2482"/>
      <c r="S811" s="2483"/>
      <c r="T811" s="2508">
        <f>AK191</f>
        <v>10</v>
      </c>
      <c r="U811" s="2508"/>
      <c r="V811" s="2508"/>
      <c r="W811" s="2508"/>
      <c r="X811" s="2508"/>
      <c r="Y811" s="2508"/>
      <c r="Z811" s="2468">
        <v>10</v>
      </c>
      <c r="AA811" s="2468"/>
      <c r="AB811" s="2468"/>
      <c r="AC811" s="2468"/>
      <c r="AD811" s="2468"/>
      <c r="AE811" s="2468"/>
      <c r="AF811" s="2468">
        <f>IF(T811&gt;Z811,Z811,T811)</f>
        <v>10</v>
      </c>
      <c r="AG811" s="2468"/>
      <c r="AH811" s="2468"/>
      <c r="AI811" s="2468"/>
      <c r="AJ811" s="2468"/>
      <c r="AK811" s="2468"/>
      <c r="AL811" s="718"/>
      <c r="AM811" s="496"/>
    </row>
    <row r="812" spans="1:81">
      <c r="A812" s="719" t="s">
        <v>2214</v>
      </c>
      <c r="B812" s="2482" t="s">
        <v>2215</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idden="1">
      <c r="A813" s="720" t="s">
        <v>1009</v>
      </c>
      <c r="B813" s="2482" t="s">
        <v>2553</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2268</v>
      </c>
      <c r="B814" s="2482" t="s">
        <v>2554</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2272</v>
      </c>
      <c r="B815" s="2482" t="s">
        <v>2555</v>
      </c>
      <c r="C815" s="2482"/>
      <c r="D815" s="2482"/>
      <c r="E815" s="2482"/>
      <c r="F815" s="2482"/>
      <c r="G815" s="2482"/>
      <c r="H815" s="2482"/>
      <c r="I815" s="2482"/>
      <c r="J815" s="2482"/>
      <c r="K815" s="2482"/>
      <c r="L815" s="2482"/>
      <c r="M815" s="2482"/>
      <c r="N815" s="2482"/>
      <c r="O815" s="2482"/>
      <c r="P815" s="2482"/>
      <c r="Q815" s="2482"/>
      <c r="R815" s="2482"/>
      <c r="S815" s="2483"/>
      <c r="T815" s="2508">
        <f>AK338</f>
        <v>9</v>
      </c>
      <c r="U815" s="2508"/>
      <c r="V815" s="2508"/>
      <c r="W815" s="2508"/>
      <c r="X815" s="2508"/>
      <c r="Y815" s="2508"/>
      <c r="Z815" s="2514">
        <v>10</v>
      </c>
      <c r="AA815" s="2515"/>
      <c r="AB815" s="2515"/>
      <c r="AC815" s="2515"/>
      <c r="AD815" s="2515"/>
      <c r="AE815" s="2516"/>
      <c r="AF815" s="2514">
        <f>IF(T815&gt;Z815,Z815,T815)</f>
        <v>9</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2556</v>
      </c>
      <c r="D816" s="723"/>
      <c r="E816" s="723"/>
      <c r="F816" s="723"/>
      <c r="G816" s="723"/>
      <c r="H816" s="723"/>
      <c r="I816" s="723"/>
      <c r="J816" s="723"/>
      <c r="K816" s="723"/>
      <c r="L816" s="723"/>
      <c r="M816" s="723"/>
      <c r="N816" s="723"/>
      <c r="O816" s="723"/>
      <c r="P816" s="723"/>
      <c r="Q816" s="723"/>
      <c r="R816" s="721"/>
      <c r="S816" s="724"/>
      <c r="T816" s="2401">
        <f>AK338</f>
        <v>9</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2302</v>
      </c>
      <c r="B817" s="2482" t="s">
        <v>2303</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2419</v>
      </c>
      <c r="B818" s="2482" t="s">
        <v>2420</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2557</v>
      </c>
      <c r="B819" s="2482" t="s">
        <v>2558</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2" t="s">
        <v>2559</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2560</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17" t="s">
        <v>2561</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 ca="1">SUM(AF804:AK819)-AF820</f>
        <v>119</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1" ma:contentTypeDescription="Create a new document." ma:contentTypeScope="" ma:versionID="3dafd6a77cc17f6a48a24f66a565f91f">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761b2f466d1c3ed9dcd8d0c2a18c50b"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24D67D-90B1-42BE-BB93-7403D9B197CD}">
  <ds:schemaRefs>
    <ds:schemaRef ds:uri="http://schemas.microsoft.com/office/2006/metadata/properties"/>
    <ds:schemaRef ds:uri="http://schemas.microsoft.com/office/infopath/2007/PartnerControls"/>
    <ds:schemaRef ds:uri="b6c71981-935c-464a-b458-fb3cd932b4be"/>
    <ds:schemaRef ds:uri="90cbff21-57d0-4422-8a11-d62757ab185e"/>
  </ds:schemaRefs>
</ds:datastoreItem>
</file>

<file path=customXml/itemProps2.xml><?xml version="1.0" encoding="utf-8"?>
<ds:datastoreItem xmlns:ds="http://schemas.openxmlformats.org/officeDocument/2006/customXml" ds:itemID="{AF159EAC-6DA9-40BE-8FDB-14839FAFA9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63F101-F100-4C63-AF6E-81749B696292}">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Stephen Pelz</cp:lastModifiedBy>
  <cp:revision/>
  <cp:lastPrinted>2025-09-03T23:32:43Z</cp:lastPrinted>
  <dcterms:created xsi:type="dcterms:W3CDTF">2007-12-27T18:26:28Z</dcterms:created>
  <dcterms:modified xsi:type="dcterms:W3CDTF">2025-09-08T15:13:33Z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Order">
    <vt:r8>3568200</vt:r8>
  </property>
  <property fmtid="{D5CDD505-2E9C-101B-9397-08002B2CF9AE}" pid="4" name="MediaServiceImageTags">
    <vt:lpwstr/>
  </property>
</Properties>
</file>