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4689600983/WOPIServiceId_TP_BOX_2/WOPIUserId_-/"/>
    </mc:Choice>
  </mc:AlternateContent>
  <xr:revisionPtr revIDLastSave="4" documentId="13_ncr:1_{63234034-111C-4BBD-B378-E5CE2CE68515}" xr6:coauthVersionLast="47" xr6:coauthVersionMax="47" xr10:uidLastSave="{9985B6B4-4DA5-465F-BB47-55E2CE046588}"/>
  <bookViews>
    <workbookView xWindow="-90" yWindow="-90" windowWidth="19380" windowHeight="1026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9" i="3" l="1"/>
  <c r="AB72" i="15" l="1"/>
  <c r="AB50" i="15"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96" i="4"/>
  <c r="E96" i="13" s="1"/>
  <c r="E65" i="13"/>
  <c r="S54" i="4"/>
  <c r="E54" i="13" s="1"/>
  <c r="S42" i="4"/>
  <c r="E42" i="13" s="1"/>
  <c r="S38" i="4"/>
  <c r="E38" i="13" s="1"/>
  <c r="S81" i="4"/>
  <c r="E81" i="13" s="1"/>
  <c r="E86"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AJ621" i="20"/>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<sst xmlns="http://schemas.openxmlformats.org/spreadsheetml/2006/main" count="5011" uniqueCount="2765">
  <si>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</si>
  <si>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</si>
  <si>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</si>
  <si>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</si>
  <si>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</si>
  <si>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</si>
  <si>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</si>
  <si>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</si>
  <si>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</si>
  <si>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</si>
  <si>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</si>
  <si>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</si>
  <si>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</si>
  <si>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</si>
  <si>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</si>
  <si>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</si>
  <si>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</si>
  <si>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</si>
  <si>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</si>
  <si>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</si>
  <si>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</si>
  <si>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</si>
  <si>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</si>
  <si>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</si>
  <si>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</si>
  <si>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</si>
  <si>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</si>
  <si>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</si>
  <si>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</si>
  <si>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</si>
  <si>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</si>
  <si>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</si>
  <si>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</si>
  <si>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</si>
  <si>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</si>
  <si>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</si>
  <si>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</si>
  <si>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</si>
  <si>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</si>
  <si>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</si>
  <si>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</si>
  <si>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</si>
  <si>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</si>
  <si>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</si>
  <si>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</si>
  <si>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</si>
  <si>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</si>
  <si>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</si>
  <si>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</si>
  <si>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</si>
  <si>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</si>
  <si>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</si>
  <si>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</si>
  <si>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</si>
  <si>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</si>
  <si>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</si>
  <si>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</si>
  <si>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</si>
  <si>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</si>
  <si>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</si>
  <si>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</si>
  <si>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</si>
  <si>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</si>
  <si>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</si>
  <si>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</si>
  <si>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</si>
  <si>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</si>
  <si>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</si>
  <si>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</si>
  <si>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</si>
  <si>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</si>
  <si>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</si>
  <si>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</si>
  <si>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</si>
  <si>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</si>
  <si>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</si>
  <si>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</si>
  <si>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</si>
  <si>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</si>
  <si>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</si>
  <si>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</si>
  <si>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</si>
  <si>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</si>
  <si>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</si>
  <si>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</si>
  <si>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</si>
  <si>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</si>
  <si>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</si>
  <si>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</si>
  <si>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</si>
  <si>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</si>
  <si>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</si>
  <si>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</si>
  <si>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</si>
  <si>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</si>
  <si>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</si>
  <si>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</si>
  <si>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</si>
  <si>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</si>
  <si>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</si>
  <si>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</si>
  <si>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</si>
  <si>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</si>
  <si>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</si>
  <si>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</si>
  <si>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</si>
  <si>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</si>
  <si>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</si>
  <si>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</si>
  <si>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</si>
  <si>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</si>
  <si>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</si>
  <si>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</si>
  <si>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</si>
  <si>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</si>
  <si>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</si>
  <si>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</si>
  <si>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</si>
  <si>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</si>
  <si>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</si>
  <si>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</si>
  <si>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</si>
  <si>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</si>
  <si>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</si>
  <si>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</si>
  <si>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</si>
  <si>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</si>
  <si>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</si>
  <si>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</si>
  <si>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</si>
  <si>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</si>
  <si>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</si>
  <si>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</si>
  <si>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</si>
  <si>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</si>
  <si>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</si>
  <si>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</si>
  <si>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</si>
  <si>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</si>
  <si>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</si>
  <si>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</si>
  <si>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</si>
  <si>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</si>
  <si>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</si>
  <si>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</si>
  <si>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</si>
  <si>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</si>
  <si>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</si>
  <si>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</si>
  <si>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</si>
  <si>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</si>
  <si>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</si>
  <si>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</si>
  <si>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</si>
  <si>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</si>
  <si>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</si>
  <si>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</si>
  <si>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</si>
  <si>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</si>
  <si>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</si>
  <si>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</si>
  <si>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</si>
  <si>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</si>
  <si>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</si>
  <si>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</si>
  <si>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</si>
  <si>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</si>
  <si>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</si>
  <si>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</si>
  <si>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</si>
  <si>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</si>
  <si>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</si>
  <si>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</si>
  <si>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</si>
  <si>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</si>
  <si>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</si>
  <si>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</si>
  <si>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</si>
  <si>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</si>
  <si>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</si>
  <si>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</si>
  <si>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</si>
  <si>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</si>
  <si>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</si>
  <si>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</si>
  <si>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</si>
  <si>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</si>
  <si>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</si>
  <si>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</si>
  <si>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</si>
  <si>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</si>
  <si>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</si>
  <si>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</si>
  <si>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</si>
  <si>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</si>
  <si>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</si>
  <si>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</si>
  <si>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</si>
  <si>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</si>
  <si>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</si>
  <si>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</si>
  <si>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</si>
  <si>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</si>
  <si>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</si>
  <si>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</si>
  <si>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</si>
  <si>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</si>
  <si>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</si>
  <si>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</si>
  <si>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</si>
  <si>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</si>
  <si>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</si>
  <si>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</si>
  <si>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</si>
  <si>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</si>
  <si>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</si>
  <si>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</si>
  <si>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</si>
  <si>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</si>
  <si>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</si>
  <si>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</si>
  <si>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</si>
  <si>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</si>
  <si>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</si>
  <si>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</si>
  <si>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</si>
  <si>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</si>
  <si>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</si>
  <si>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</si>
  <si>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</si>
  <si>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</si>
  <si>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</si>
  <si>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</si>
  <si>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</si>
  <si>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</si>
  <si>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</si>
  <si>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</si>
  <si>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</si>
  <si>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</si>
  <si>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</si>
  <si>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</si>
  <si>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</si>
  <si>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</si>
  <si>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</si>
  <si>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</si>
  <si>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</si>
  <si>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</si>
  <si>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</si>
  <si>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</si>
  <si>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</si>
  <si>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</si>
  <si>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</si>
  <si>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</si>
  <si>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</si>
  <si>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</si>
  <si>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</si>
  <si>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</si>
  <si>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</si>
  <si>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</si>
  <si>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</si>
  <si>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</si>
  <si>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</si>
  <si>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</si>
  <si>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</si>
  <si>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</si>
  <si>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</si>
  <si>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</si>
  <si>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</si>
  <si>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</si>
  <si>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</si>
  <si>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</si>
  <si>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</si>
  <si>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</si>
  <si>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</si>
  <si>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</si>
  <si>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</si>
  <si>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</si>
  <si>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</si>
  <si>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</si>
  <si>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</si>
  <si>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</si>
  <si>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</si>
  <si>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</si>
  <si>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</si>
  <si>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</si>
  <si>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</si>
  <si>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</si>
  <si>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</si>
  <si>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</si>
  <si>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</si>
  <si>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</si>
  <si>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</si>
  <si>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</si>
  <si>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</si>
  <si>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</si>
  <si>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</si>
  <si>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</si>
  <si>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</si>
  <si>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</si>
  <si>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</si>
  <si>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</si>
  <si>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</si>
  <si>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</si>
  <si>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</si>
  <si>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</si>
  <si>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</si>
  <si>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</si>
  <si>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</si>
  <si>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</si>
  <si>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</si>
  <si>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</si>
  <si>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</si>
  <si>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</si>
  <si>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</si>
  <si>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</si>
  <si>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</si>
  <si>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</si>
  <si>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</si>
  <si>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</si>
  <si>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</si>
  <si>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</si>
  <si>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</si>
  <si>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</si>
  <si>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</si>
  <si>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</si>
  <si>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</si>
  <si>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</si>
  <si>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</si>
  <si>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</si>
  <si>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</si>
  <si>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</si>
  <si>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</si>
  <si>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</si>
  <si>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</si>
  <si>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</si>
  <si>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</si>
  <si>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</si>
  <si>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</si>
  <si>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</si>
  <si>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</si>
  <si>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</si>
  <si>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</si>
  <si>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</si>
  <si>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</si>
  <si>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</si>
  <si>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</si>
  <si>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</si>
  <si>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</si>
  <si>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</si>
  <si>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</si>
  <si>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</si>
  <si>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</si>
  <si>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</si>
  <si>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</si>
  <si>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</si>
  <si>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</si>
  <si>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</si>
  <si>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</si>
  <si>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</si>
  <si>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</si>
  <si>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</si>
  <si>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</si>
  <si>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</si>
  <si>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</si>
  <si>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</si>
  <si>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</si>
  <si>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</si>
  <si>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</si>
  <si>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</si>
  <si>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</si>
  <si>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</si>
  <si>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</si>
  <si>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</si>
  <si>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</si>
  <si>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</si>
  <si>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</si>
  <si>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</si>
  <si>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</si>
  <si>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</si>
  <si>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</si>
  <si>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</si>
  <si>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</si>
  <si>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</si>
  <si>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</si>
  <si>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</si>
  <si>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</si>
  <si>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</si>
  <si>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</si>
  <si>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</si>
  <si>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</si>
  <si>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</si>
  <si>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</si>
  <si>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</si>
  <si>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</si>
  <si>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</si>
  <si>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</si>
  <si>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</si>
  <si>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</si>
  <si>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</si>
  <si>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</si>
  <si>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</si>
  <si>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</si>
  <si>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</si>
  <si>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</si>
  <si>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</si>
  <si>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</si>
  <si>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</si>
  <si>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</si>
  <si>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</si>
  <si>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</si>
  <si>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</si>
  <si>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</si>
  <si>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</si>
  <si>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</si>
  <si>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</si>
  <si>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</si>
  <si>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</si>
  <si>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</si>
  <si>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</si>
  <si>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</si>
  <si>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</si>
  <si>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</si>
  <si>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</si>
  <si>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</si>
  <si>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</si>
  <si>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</si>
  <si>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</si>
  <si>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</si>
  <si>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</si>
  <si>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</si>
  <si>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</si>
  <si>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</si>
  <si>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</si>
  <si>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</si>
  <si>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</si>
  <si>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</si>
  <si>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</si>
  <si>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</si>
  <si>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</si>
  <si>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</si>
  <si>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</si>
  <si>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</si>
  <si>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</si>
  <si>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</si>
  <si>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</si>
  <si>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</si>
  <si>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</si>
  <si>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</si>
  <si>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</si>
  <si>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</si>
  <si>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</si>
  <si>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</si>
  <si>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</si>
  <si>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</si>
  <si>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</si>
  <si>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</si>
  <si>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</si>
  <si>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</si>
  <si>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</si>
  <si>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</si>
  <si>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</si>
  <si>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</si>
  <si>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</si>
  <si>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</si>
  <si>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</si>
  <si>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</si>
  <si>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</si>
  <si>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</si>
  <si>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</si>
  <si>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</si>
  <si>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</si>
  <si>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</si>
  <si>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</si>
  <si>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</si>
  <si>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</si>
  <si>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</si>
  <si>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</si>
  <si>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</si>
  <si>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</si>
  <si>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</si>
  <si>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</si>
  <si>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</si>
  <si>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</si>
  <si>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</si>
  <si>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</si>
  <si>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</si>
  <si>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</si>
  <si>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</si>
  <si>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</si>
  <si>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</si>
  <si>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</si>
  <si>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</si>
  <si>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</si>
  <si>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</si>
  <si>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</si>
  <si>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</si>
  <si>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</si>
  <si>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</si>
  <si>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</si>
  <si>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</si>
  <si>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</si>
  <si>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</si>
  <si>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</si>
  <si>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</si>
  <si>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</si>
  <si>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</si>
  <si>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</si>
  <si>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</si>
  <si>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</si>
  <si>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</si>
  <si>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</si>
  <si>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</si>
  <si>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</si>
  <si>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</si>
  <si>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</si>
  <si>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</si>
  <si>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</si>
  <si>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</si>
  <si>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</si>
  <si>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</si>
  <si>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</si>
  <si>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</si>
  <si>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</si>
  <si>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</si>
  <si>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</si>
  <si>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</si>
  <si>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</si>
  <si>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</si>
  <si>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</si>
  <si>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</si>
  <si>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</si>
  <si>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</si>
  <si>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</si>
  <si>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</si>
  <si>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</si>
  <si>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</si>
  <si>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</si>
  <si>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</si>
  <si>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</si>
  <si>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</si>
  <si>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</si>
  <si>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</si>
  <si>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</si>
  <si>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</si>
  <si>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</si>
  <si>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</si>
  <si>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</si>
  <si>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</si>
  <si>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</si>
  <si>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</si>
  <si>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</si>
  <si>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</si>
  <si>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</si>
  <si>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</si>
  <si>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</si>
  <si>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</si>
  <si>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</si>
  <si>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</si>
  <si>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</si>
  <si>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</si>
  <si>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</si>
  <si>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</si>
  <si>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</si>
  <si>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</si>
  <si>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</si>
  <si>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</si>
  <si>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</si>
  <si>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</si>
  <si>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</si>
  <si>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</si>
  <si>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</si>
  <si>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</si>
  <si>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</si>
  <si>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</si>
  <si>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</si>
  <si>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</si>
  <si>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</si>
  <si>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</si>
  <si>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</si>
  <si>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</si>
  <si>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</si>
  <si>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</si>
  <si>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</si>
  <si>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</si>
  <si>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</si>
  <si>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</si>
  <si>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</si>
  <si>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</si>
  <si>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</si>
  <si>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</si>
  <si>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</si>
  <si>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</si>
  <si>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</si>
  <si>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</si>
  <si>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</si>
  <si>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</si>
  <si>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</si>
  <si>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</si>
  <si>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</si>
  <si>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</si>
  <si>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</si>
  <si>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</si>
  <si>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</si>
  <si>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</si>
  <si>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</si>
  <si>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</si>
  <si>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</si>
  <si>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</si>
  <si>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</si>
  <si>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</si>
  <si>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</si>
  <si>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</si>
  <si>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</si>
  <si>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</si>
  <si>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</si>
  <si>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</si>
  <si>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</si>
  <si>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</si>
  <si>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</si>
  <si>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</si>
  <si>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</si>
  <si>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</si>
  <si>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</si>
  <si>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</si>
  <si>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</si>
  <si>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</si>
  <si>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</si>
  <si>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</si>
  <si>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</si>
  <si>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</si>
  <si>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</si>
  <si>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</si>
  <si>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</si>
  <si>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</si>
  <si>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</si>
  <si>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</si>
  <si>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</si>
  <si>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</si>
  <si>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</si>
  <si>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</si>
  <si>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</si>
  <si>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</si>
  <si>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</si>
  <si>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</si>
  <si>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</si>
  <si>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</si>
  <si>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</si>
  <si>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</si>
  <si>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</si>
  <si>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</si>
  <si>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</si>
  <si>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</si>
  <si>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</si>
  <si>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</si>
  <si>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</si>
  <si>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</si>
  <si>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</si>
  <si>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</si>
  <si>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</si>
  <si>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</si>
  <si>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</si>
  <si>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</si>
  <si>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</si>
  <si>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</si>
  <si>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</si>
  <si>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</si>
  <si>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</si>
  <si>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</si>
  <si>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</si>
  <si>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</si>
  <si>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</si>
  <si>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</si>
  <si>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</si>
  <si>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</si>
  <si>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</si>
  <si>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</si>
  <si>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</si>
  <si>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</si>
  <si>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</si>
  <si>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</si>
  <si>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</si>
  <si>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</si>
  <si>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</si>
  <si>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</si>
  <si>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</si>
  <si>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</si>
  <si>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</si>
  <si>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</si>
  <si>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</si>
  <si>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</si>
  <si>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</si>
  <si>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</si>
  <si>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</si>
  <si>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</si>
  <si>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</si>
  <si>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</si>
  <si>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</si>
  <si>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</si>
  <si>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</si>
  <si>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</si>
  <si>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</si>
  <si>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</si>
  <si>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</si>
  <si>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</si>
  <si>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</si>
  <si>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</si>
  <si>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</si>
  <si>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</si>
  <si>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</si>
  <si>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</si>
  <si>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</si>
  <si>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</si>
  <si>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</si>
  <si>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</si>
  <si>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</si>
  <si>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</si>
  <si>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</si>
  <si>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</si>
  <si>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</si>
  <si>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</si>
  <si>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</si>
  <si>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</si>
  <si>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</si>
  <si>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</si>
  <si>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</si>
  <si>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</si>
  <si>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</si>
  <si>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</si>
  <si>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</si>
  <si>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</si>
  <si>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</si>
  <si>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</si>
  <si>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</si>
  <si>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</si>
  <si>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</si>
  <si>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</si>
  <si>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</si>
  <si>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</si>
  <si>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</si>
  <si>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</si>
  <si>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</si>
  <si>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</si>
  <si>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</si>
  <si>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</si>
  <si>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</si>
  <si>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</si>
  <si>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</si>
  <si>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</si>
  <si>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</si>
  <si>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</si>
  <si>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</si>
  <si>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</si>
  <si>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</si>
  <si>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</si>
  <si>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</si>
  <si>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</si>
  <si>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</si>
  <si>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</si>
  <si>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</si>
  <si>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</si>
  <si>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</si>
  <si>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</si>
  <si>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</si>
  <si>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</si>
  <si>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</si>
  <si>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</si>
  <si>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</si>
  <si>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</si>
  <si>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</si>
  <si>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</si>
  <si>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</si>
  <si>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</si>
  <si>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</si>
  <si>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</si>
  <si>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</si>
  <si>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</si>
  <si>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</si>
  <si>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</si>
  <si>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</si>
  <si>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</si>
  <si>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</si>
  <si>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</si>
  <si>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</si>
  <si>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</si>
  <si>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</si>
  <si>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</si>
  <si>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</si>
  <si>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</si>
  <si>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</si>
  <si>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</si>
  <si>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</si>
  <si>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</si>
  <si>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</si>
  <si>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</si>
  <si>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</si>
  <si>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</si>
  <si>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</si>
  <si>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</si>
  <si>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</si>
  <si>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</si>
  <si>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</si>
  <si>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</si>
  <si>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</si>
  <si>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</si>
  <si>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</si>
  <si>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</si>
  <si>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</si>
  <si>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</si>
  <si>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</si>
  <si>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</si>
  <si>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</si>
  <si>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</si>
  <si>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</si>
  <si>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</si>
  <si>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</si>
  <si>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</si>
  <si>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</si>
  <si>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</si>
  <si>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</si>
  <si>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</si>
  <si>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</si>
  <si>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</si>
  <si>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</si>
  <si>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</si>
  <si>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</si>
  <si>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</si>
  <si>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</si>
  <si>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</si>
  <si>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</si>
  <si>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</si>
  <si>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</si>
  <si>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</si>
  <si>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</si>
  <si>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</si>
  <si>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</si>
  <si>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</si>
  <si>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</si>
  <si>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</si>
  <si>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</si>
  <si>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</si>
  <si>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</si>
  <si>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</si>
  <si>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</si>
  <si>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</si>
  <si>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</si>
  <si>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</si>
  <si>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</si>
  <si>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</si>
  <si>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</si>
  <si>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</si>
  <si>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</si>
  <si>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</si>
  <si>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</si>
  <si>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</si>
  <si>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</si>
  <si>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</si>
  <si>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</si>
  <si>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</si>
  <si>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</si>
  <si>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</si>
  <si>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</si>
  <si>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</si>
  <si>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</si>
  <si>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</si>
  <si>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</si>
  <si>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</si>
  <si>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</si>
  <si>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</si>
  <si>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</si>
  <si>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</si>
  <si>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</si>
  <si>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</si>
  <si>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</si>
  <si>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</si>
  <si>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</si>
  <si>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</si>
  <si>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</si>
  <si>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</si>
  <si>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</si>
  <si>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</si>
  <si>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</si>
  <si>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</si>
  <si>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</si>
  <si>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</si>
  <si>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</si>
  <si>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</si>
  <si>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</si>
  <si>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</si>
  <si>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</si>
  <si>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</si>
  <si>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</si>
  <si>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</si>
  <si>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</si>
  <si>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</si>
  <si>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</si>
  <si>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</si>
  <si>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</si>
  <si>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</si>
  <si>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</si>
  <si>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</si>
  <si>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</si>
  <si>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</si>
  <si>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</si>
  <si>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</si>
  <si>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</si>
  <si>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</si>
  <si>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</si>
  <si>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</si>
  <si>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</si>
  <si>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</si>
  <si>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</si>
  <si>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</si>
  <si>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</si>
  <si>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</si>
  <si>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</si>
  <si>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</si>
  <si>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</si>
  <si>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</si>
  <si>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</si>
  <si>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</si>
  <si>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</si>
  <si>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</si>
  <si>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</si>
  <si>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</si>
  <si>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</si>
  <si>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</si>
  <si>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</si>
  <si>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</si>
  <si>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</si>
  <si>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</si>
  <si>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</si>
  <si>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</si>
  <si>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</si>
  <si>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</si>
  <si>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</si>
  <si>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</si>
  <si>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</si>
  <si>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</si>
  <si>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</si>
  <si>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</si>
  <si>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</si>
  <si>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</si>
  <si>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</si>
  <si>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</si>
  <si>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</si>
  <si>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</si>
  <si>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</si>
  <si>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</si>
  <si>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</si>
  <si>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</si>
  <si>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</si>
  <si>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</si>
  <si>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</si>
  <si>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</si>
  <si>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</si>
  <si>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</si>
  <si>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</si>
  <si>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</si>
  <si>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</si>
  <si>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</si>
  <si>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</si>
  <si>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</si>
  <si>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</si>
  <si>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</si>
  <si>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</si>
  <si>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</si>
  <si>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</si>
  <si>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</si>
  <si>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</si>
  <si>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</si>
  <si>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</si>
  <si>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</si>
  <si>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</si>
  <si>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</si>
  <si>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</si>
  <si>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</si>
  <si>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</si>
  <si>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</si>
  <si>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</si>
  <si>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</si>
  <si>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</si>
  <si>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</si>
  <si>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</si>
  <si>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</si>
  <si>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</si>
  <si>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</si>
  <si>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</si>
  <si>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</si>
  <si>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</si>
  <si>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</si>
  <si>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</si>
  <si>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</si>
  <si>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</si>
  <si>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</si>
  <si>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</si>
  <si>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</si>
  <si>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</si>
  <si>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</si>
  <si>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</si>
  <si>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</si>
  <si>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</si>
  <si>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</si>
  <si>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</si>
  <si>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</si>
  <si>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</si>
  <si>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</si>
  <si>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</si>
  <si>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</si>
  <si>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</si>
  <si>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</si>
  <si>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</si>
  <si>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</si>
  <si>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</si>
  <si>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</si>
  <si>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</si>
  <si>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</si>
  <si>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</si>
  <si>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</si>
  <si>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</si>
  <si>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</si>
  <si>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</si>
  <si>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</si>
  <si>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</si>
  <si>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</si>
  <si>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</si>
  <si>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</si>
  <si>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</si>
  <si>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</si>
  <si>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</si>
  <si>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</si>
  <si>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</si>
  <si>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</si>
  <si>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</si>
  <si>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</si>
  <si>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</si>
  <si>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</si>
  <si>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</si>
  <si>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</si>
  <si>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</si>
  <si>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</si>
  <si>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</si>
  <si>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</si>
  <si>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</si>
  <si>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</si>
  <si>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</si>
  <si>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</si>
  <si>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</si>
  <si>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</si>
  <si>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</si>
  <si>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</si>
  <si>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</si>
  <si>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</si>
  <si>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</si>
  <si>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</si>
  <si>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</si>
  <si>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</si>
  <si>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</si>
  <si>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</si>
  <si>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</si>
  <si>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</si>
  <si>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</si>
  <si>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</si>
  <si>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</si>
  <si>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</si>
  <si>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</si>
  <si>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</si>
  <si>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</si>
  <si>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</si>
  <si>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</si>
  <si>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</si>
  <si>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</si>
  <si>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</si>
  <si>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</si>
  <si>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</si>
  <si>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</si>
  <si>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</si>
  <si>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</si>
  <si>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</si>
  <si>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</si>
  <si>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</si>
  <si>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</si>
  <si>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</si>
  <si>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</si>
  <si>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</si>
  <si>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</si>
  <si>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</si>
  <si>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</si>
  <si>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</si>
  <si>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</si>
  <si>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</si>
  <si>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</si>
  <si>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</si>
  <si>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</si>
  <si>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</si>
  <si>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</si>
  <si>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</si>
  <si>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</si>
  <si>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</si>
  <si>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</si>
  <si>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</si>
  <si>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</si>
  <si>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</si>
  <si>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</si>
  <si>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</si>
  <si>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</si>
  <si>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</si>
  <si>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</si>
  <si>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</si>
  <si>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</si>
  <si>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</si>
  <si>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</si>
  <si>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</si>
  <si>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</si>
  <si>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</si>
  <si>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</si>
  <si>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</si>
  <si>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</si>
  <si>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</si>
  <si>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</si>
  <si>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</si>
  <si>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</si>
  <si>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</si>
  <si>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</si>
  <si>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</si>
  <si>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</si>
  <si>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</si>
  <si>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</si>
  <si>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</si>
  <si>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</si>
  <si>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</si>
  <si>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</si>
  <si>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</si>
  <si>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</si>
  <si>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</si>
  <si>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</si>
  <si>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</si>
  <si>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</si>
  <si>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</si>
  <si>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</si>
  <si>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</si>
  <si>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</si>
  <si>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</si>
  <si>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</si>
  <si>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</si>
  <si>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</si>
  <si>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</si>
  <si>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</si>
  <si>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</si>
  <si>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</si>
  <si>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</si>
  <si>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</si>
  <si>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</si>
  <si>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</si>
  <si>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</si>
  <si>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</si>
  <si>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</si>
  <si>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</si>
  <si>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</si>
  <si>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</si>
  <si>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</si>
  <si>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</si>
  <si>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</si>
  <si>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</si>
  <si>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</si>
  <si>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</si>
  <si>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</si>
  <si>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</si>
  <si>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</si>
  <si>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</si>
  <si>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</si>
  <si>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</si>
  <si>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</si>
  <si>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</si>
  <si>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</si>
  <si>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</si>
  <si>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</si>
  <si>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</si>
  <si>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</si>
  <si>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</si>
  <si>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</si>
  <si>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</si>
  <si>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</si>
  <si>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</si>
  <si>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</si>
  <si>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</si>
  <si>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</si>
  <si>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</si>
  <si>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</si>
  <si>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</si>
  <si>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</si>
  <si>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</si>
  <si>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</si>
  <si>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</si>
  <si>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</si>
  <si>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</si>
  <si>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</si>
  <si>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</si>
  <si>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</si>
  <si>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</si>
  <si>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</si>
  <si>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</si>
  <si>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</si>
  <si>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</si>
  <si>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</si>
  <si>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</si>
  <si>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</si>
  <si>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</si>
  <si>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</si>
  <si>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</si>
  <si>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</si>
  <si>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</si>
  <si>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</si>
  <si>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</si>
  <si>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</si>
  <si>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</si>
  <si>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</si>
  <si>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</si>
  <si>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</si>
  <si>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</si>
  <si>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</si>
  <si>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</si>
  <si>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</si>
  <si>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</si>
  <si>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</si>
  <si>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</si>
  <si>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</si>
  <si>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</si>
  <si>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</si>
  <si>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</si>
  <si>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</si>
  <si>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</si>
  <si>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</si>
  <si>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</si>
  <si>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</si>
  <si>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</si>
  <si>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</si>
  <si>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</si>
  <si>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</si>
  <si>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</si>
  <si>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</si>
  <si>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</si>
  <si>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</si>
  <si>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</si>
  <si>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</si>
  <si>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</si>
  <si>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</si>
  <si>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</si>
  <si>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</si>
  <si>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</si>
  <si>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</si>
  <si>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</si>
  <si>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</si>
  <si>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</si>
  <si>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</si>
  <si>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</si>
  <si>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</si>
  <si>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</si>
  <si>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</si>
  <si>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</si>
  <si>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</si>
  <si>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</si>
  <si>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</si>
  <si>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</si>
  <si>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</si>
  <si>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</si>
  <si>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</si>
  <si>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</si>
  <si>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</si>
  <si>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</si>
  <si>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</si>
  <si>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</si>
  <si>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</si>
  <si>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</si>
  <si>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</si>
  <si>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</si>
  <si>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</si>
  <si>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</si>
  <si>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</si>
  <si>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</si>
  <si>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</si>
  <si>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</si>
  <si>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</si>
  <si>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</si>
  <si>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</si>
  <si>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</si>
  <si>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</si>
  <si>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</si>
  <si>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</si>
  <si>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</si>
  <si>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</si>
  <si>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</si>
  <si>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</si>
  <si>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</si>
  <si>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</si>
  <si>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</si>
  <si>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</si>
  <si>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</si>
  <si>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</si>
  <si>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</si>
  <si>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</si>
  <si>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</si>
  <si>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</si>
  <si>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</si>
  <si>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</si>
  <si>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</si>
  <si>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</si>
  <si>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</si>
  <si>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</si>
  <si>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</si>
  <si>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</si>
  <si>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</si>
  <si>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</si>
  <si>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</si>
  <si>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</si>
  <si>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</si>
  <si>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</si>
  <si>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</si>
  <si>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</si>
  <si>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</si>
  <si>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</si>
  <si>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</si>
  <si>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</si>
  <si>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</si>
  <si>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</si>
  <si>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</si>
  <si>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</si>
  <si>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</si>
  <si>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</si>
  <si>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</si>
  <si>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</si>
  <si>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</si>
  <si>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</si>
  <si>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</si>
  <si>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</si>
  <si>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</si>
  <si>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</si>
  <si>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</si>
  <si>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</si>
  <si>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</si>
  <si>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</si>
  <si>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</si>
  <si>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</si>
  <si>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</si>
  <si>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</si>
  <si>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</si>
  <si>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</si>
  <si>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</si>
  <si>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</si>
  <si>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</si>
  <si>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</si>
  <si>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</si>
  <si>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</si>
  <si>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</si>
  <si>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</si>
  <si>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</si>
  <si>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</si>
  <si>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</si>
  <si>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</si>
  <si>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</si>
  <si>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</si>
  <si>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</si>
  <si>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</si>
  <si>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</si>
  <si>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</si>
  <si>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</si>
  <si>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</si>
  <si>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</si>
  <si>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</si>
  <si>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</si>
  <si>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</si>
  <si>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</si>
  <si>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</si>
  <si>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</si>
  <si>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</si>
  <si>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</si>
  <si>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</si>
  <si>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</si>
  <si>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</si>
  <si>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</si>
  <si>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</si>
  <si>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</si>
  <si>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</si>
  <si>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</si>
  <si>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</si>
  <si>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</si>
  <si>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</si>
  <si>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</si>
  <si>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</si>
  <si>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</si>
  <si>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</si>
  <si>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</si>
  <si>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</si>
  <si>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</si>
  <si>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</si>
  <si>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</si>
  <si>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</si>
  <si>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</si>
  <si>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</si>
  <si>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</si>
  <si>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</si>
  <si>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</si>
  <si>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</si>
  <si>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</si>
  <si>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</si>
  <si>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</si>
  <si>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</si>
  <si>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</si>
  <si>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</si>
  <si>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</si>
  <si>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</si>
  <si>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</si>
  <si>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</si>
  <si>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</si>
  <si>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</si>
  <si>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</si>
  <si>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</si>
  <si>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</si>
  <si>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</si>
  <si>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</si>
  <si>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</si>
  <si>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</si>
  <si>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</si>
  <si>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</si>
  <si>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</si>
  <si>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</si>
  <si>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</si>
  <si>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</si>
  <si>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</si>
  <si>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</si>
  <si>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</si>
  <si>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</si>
  <si>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</si>
  <si>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</si>
  <si>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</si>
  <si>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</si>
  <si>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</si>
  <si>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</si>
  <si>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</si>
  <si>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</si>
  <si>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</si>
  <si>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</si>
  <si>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</si>
  <si>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</si>
  <si>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</si>
  <si>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</si>
  <si>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</si>
  <si>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</si>
  <si>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</si>
  <si>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</si>
  <si>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</si>
  <si>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</si>
  <si>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</si>
  <si>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</si>
  <si>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</si>
  <si>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</si>
  <si>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</si>
  <si>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</si>
  <si>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</si>
  <si>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</si>
  <si>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</si>
  <si>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</si>
  <si>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</si>
  <si>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</si>
  <si>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</si>
  <si>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</si>
  <si>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</si>
  <si>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</si>
  <si>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</si>
  <si>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</si>
  <si>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</si>
  <si>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</si>
  <si>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</si>
  <si>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</si>
  <si>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</si>
  <si>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</si>
  <si>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</si>
  <si>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</si>
  <si>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</si>
  <si>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</si>
  <si>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</si>
  <si>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</si>
  <si>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</si>
  <si>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</si>
  <si>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</si>
  <si>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</si>
  <si>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</si>
  <si>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</si>
  <si>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</si>
  <si>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</si>
  <si>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</si>
  <si>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</si>
  <si>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</si>
  <si>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</si>
  <si>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</si>
  <si>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</si>
  <si>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</si>
  <si>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</si>
  <si>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</si>
  <si>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</si>
  <si>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</si>
  <si>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</si>
  <si>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</si>
  <si>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</si>
  <si>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</si>
  <si>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</si>
  <si>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</si>
  <si>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</si>
  <si>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</si>
  <si>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</si>
  <si>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</si>
  <si>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</si>
  <si>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</si>
  <si>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</si>
  <si>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</si>
  <si>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</si>
  <si>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</si>
  <si>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</si>
  <si>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</si>
  <si>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</si>
  <si>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</si>
  <si>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</si>
  <si>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</si>
  <si>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</si>
  <si>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</si>
  <si>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</si>
  <si>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</si>
  <si>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</si>
  <si>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</si>
  <si>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</si>
  <si>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</si>
  <si>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</si>
  <si>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</si>
  <si>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</si>
  <si>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</si>
  <si>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</si>
  <si>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</si>
  <si>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</si>
  <si>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</si>
  <si>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</si>
  <si>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</si>
  <si>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</si>
  <si>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</si>
  <si>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</si>
  <si>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</si>
  <si>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</si>
  <si>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</si>
  <si>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</si>
  <si>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</si>
  <si>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</si>
  <si>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</si>
  <si>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</si>
  <si>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</si>
  <si>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</si>
  <si>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</si>
  <si>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</si>
  <si>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</si>
  <si>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</si>
  <si>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</si>
  <si>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</si>
  <si>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</si>
  <si>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</si>
  <si>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</si>
  <si>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</si>
  <si>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</si>
  <si>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</si>
  <si>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</si>
  <si>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</si>
  <si>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</si>
  <si>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</si>
  <si>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</si>
  <si>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</si>
  <si>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</si>
  <si>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</si>
  <si>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</si>
  <si>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</si>
  <si>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</si>
  <si>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</si>
  <si>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</si>
  <si>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</si>
  <si>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</si>
  <si>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</si>
  <si>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</si>
  <si>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</si>
  <si>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</si>
  <si>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</si>
  <si>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</si>
  <si>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</si>
  <si>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</si>
  <si>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</si>
  <si>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</si>
  <si>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</si>
  <si>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</si>
  <si>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</si>
  <si>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</si>
  <si>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</si>
  <si>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</si>
  <si>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</si>
  <si>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</si>
  <si>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</si>
  <si>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</si>
  <si>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</si>
  <si>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</si>
  <si>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</si>
  <si>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</si>
  <si>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</si>
  <si>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</si>
  <si>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</si>
  <si>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</si>
  <si>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</si>
  <si>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</si>
  <si>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</si>
  <si>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</si>
  <si>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</si>
  <si>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</si>
  <si>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</si>
  <si>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</si>
  <si>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</si>
  <si>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</si>
  <si>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</si>
  <si>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</si>
  <si>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</si>
  <si>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</si>
  <si>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</si>
  <si>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</si>
  <si>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</si>
  <si>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</si>
  <si>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</si>
  <si>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</si>
  <si>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</si>
  <si>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</si>
  <si>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</si>
  <si>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</si>
  <si>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</si>
  <si>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</si>
  <si>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</si>
  <si>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</si>
  <si>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</si>
  <si>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</si>
  <si>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</si>
  <si>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</si>
  <si>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</si>
  <si>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</si>
  <si>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</si>
  <si>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</si>
  <si>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</si>
  <si>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</si>
  <si>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</si>
  <si>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</si>
  <si>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</si>
  <si>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</si>
  <si>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</si>
  <si>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</si>
  <si>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</si>
  <si>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</si>
  <si>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</si>
  <si>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</si>
  <si>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</si>
  <si>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</si>
  <si>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</si>
  <si>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</si>
  <si>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</si>
  <si>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</si>
  <si>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</si>
  <si>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</si>
  <si>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</si>
  <si>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</si>
  <si>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</si>
  <si>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</si>
  <si>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</si>
  <si>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</si>
  <si>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</si>
  <si>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</si>
  <si>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</si>
  <si>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</si>
  <si>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</si>
  <si>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</si>
  <si>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</si>
  <si>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</si>
  <si>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</si>
  <si>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</si>
  <si>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</si>
  <si>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</si>
  <si>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</si>
  <si>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</si>
  <si>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</si>
  <si>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</si>
  <si>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</si>
  <si>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</si>
  <si>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</si>
  <si>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</si>
  <si>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</si>
  <si>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</si>
  <si>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</si>
  <si>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</si>
  <si>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</si>
  <si>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</si>
  <si>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</si>
  <si>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</si>
  <si>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</si>
  <si>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</si>
  <si>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</si>
  <si>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</si>
  <si>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</si>
  <si>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</si>
  <si>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</si>
  <si>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</si>
  <si>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</si>
  <si>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</si>
  <si>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</si>
  <si>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</si>
  <si>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</si>
  <si>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</si>
  <si>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</si>
  <si>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</si>
  <si>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</si>
  <si>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</si>
  <si>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</si>
  <si>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</si>
  <si>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</si>
  <si>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</si>
  <si>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</si>
  <si>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</si>
  <si>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</si>
  <si>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</si>
  <si>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</si>
  <si>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</si>
  <si>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</si>
  <si>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</si>
  <si>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</si>
  <si>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</si>
  <si>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</si>
  <si>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</si>
  <si>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</si>
  <si>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</si>
  <si>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</si>
  <si>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</si>
  <si>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</si>
  <si>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</si>
  <si>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</si>
  <si>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</si>
  <si>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</si>
  <si>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</si>
  <si>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</si>
  <si>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</si>
  <si>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</si>
  <si>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</si>
  <si>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</si>
  <si>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</si>
  <si>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</si>
  <si>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</si>
  <si>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</si>
  <si>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</si>
  <si>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</si>
  <si>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</si>
  <si>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</si>
  <si>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</si>
  <si>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</si>
  <si>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</si>
  <si>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</si>
  <si>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</si>
  <si>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</si>
  <si>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</si>
  <si>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</si>
  <si>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</si>
  <si>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</si>
  <si>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</si>
  <si>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</si>
  <si>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</si>
  <si>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</si>
  <si>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</si>
  <si>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</si>
  <si>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</si>
  <si>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</si>
  <si>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</si>
  <si>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</si>
  <si>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</si>
  <si>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</si>
  <si>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</si>
  <si>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</si>
  <si>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</si>
  <si>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</si>
  <si>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</si>
  <si>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</si>
  <si>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</si>
  <si>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</si>
  <si>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</si>
  <si>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</si>
  <si>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</si>
  <si>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</si>
  <si>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</si>
  <si>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</si>
  <si>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</si>
  <si>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</si>
  <si>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</si>
  <si>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</si>
  <si>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</si>
  <si>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</si>
  <si>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</si>
  <si>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</si>
  <si>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</si>
  <si>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</si>
  <si>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</si>
  <si>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</si>
  <si>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</si>
  <si>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</si>
  <si>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</si>
  <si>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</si>
  <si>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</si>
  <si>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</si>
  <si>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</si>
  <si>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</si>
  <si>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</si>
  <si>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</si>
  <si>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</si>
  <si>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</si>
  <si>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</si>
  <si>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</si>
  <si>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</si>
  <si>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</si>
  <si>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</si>
  <si>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</si>
  <si>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</si>
  <si>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</si>
  <si>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</si>
  <si>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</si>
  <si>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</si>
  <si>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</si>
  <si>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</si>
  <si>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</si>
  <si>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</si>
  <si>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</si>
  <si>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</si>
  <si>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</si>
  <si>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</si>
  <si>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</si>
  <si>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</si>
  <si>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</si>
  <si>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</si>
  <si>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</si>
  <si>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</si>
  <si>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</si>
  <si>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</si>
  <si>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</si>
  <si>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</si>
  <si>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</si>
  <si>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</si>
  <si>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</si>
  <si>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</si>
  <si>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</si>
  <si>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</si>
  <si>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</si>
  <si>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</si>
  <si>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</si>
  <si>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</si>
  <si>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</si>
  <si>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</si>
  <si>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</si>
  <si>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</si>
  <si>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</si>
  <si>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</si>
  <si>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</si>
  <si>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</si>
  <si>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</si>
  <si>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</si>
  <si>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</si>
  <si>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</si>
  <si>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</si>
  <si>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</si>
  <si>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</si>
  <si>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</si>
  <si>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</si>
  <si>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</si>
  <si>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</si>
  <si>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</si>
  <si>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</si>
  <si>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</si>
  <si>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</si>
  <si>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</si>
  <si>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</si>
  <si>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</si>
  <si>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</si>
  <si>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</si>
  <si>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</si>
  <si>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</si>
  <si>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</si>
  <si>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</si>
  <si>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</si>
  <si>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</si>
  <si>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</si>
  <si>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</si>
  <si>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</si>
  <si>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</si>
  <si>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</si>
  <si>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</si>
  <si>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</si>
  <si>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</si>
  <si>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</si>
  <si>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</si>
  <si>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</si>
  <si>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</si>
  <si>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</si>
  <si>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</si>
  <si>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</si>
  <si>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</si>
  <si>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</si>
  <si>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</si>
  <si>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</si>
  <si>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</si>
  <si>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</si>
  <si>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</si>
  <si>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</si>
  <si>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</si>
  <si>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</si>
  <si>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</si>
  <si>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</si>
  <si>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</si>
  <si>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</si>
  <si>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</si>
  <si>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</si>
  <si>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</si>
  <si>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</si>
  <si>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</si>
  <si>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</si>
  <si>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</si>
  <si>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</si>
  <si>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</si>
  <si>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</si>
  <si>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</si>
  <si>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</si>
  <si>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</si>
  <si>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</si>
  <si>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</si>
  <si>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</si>
  <si>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</si>
  <si>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</si>
  <si>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</si>
  <si>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</si>
  <si>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</si>
  <si>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</si>
  <si>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</si>
  <si>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</si>
  <si>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</si>
  <si>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</si>
  <si>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</si>
  <si>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</si>
  <si>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</si>
  <si>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</si>
  <si>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</si>
  <si>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</si>
  <si>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</si>
  <si>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</si>
  <si>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</si>
  <si>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</si>
  <si>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</si>
  <si>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</si>
  <si>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</si>
  <si>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</si>
  <si>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</si>
  <si>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</si>
  <si>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</si>
  <si>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</si>
  <si>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</si>
  <si>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</si>
  <si>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</si>
  <si>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</si>
  <si>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</si>
  <si>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</si>
  <si>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</si>
  <si>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</si>
  <si>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</si>
  <si>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</si>
  <si>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</si>
  <si>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</si>
  <si>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</si>
  <si>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</si>
  <si>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</si>
  <si>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</si>
  <si>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</si>
  <si>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</si>
  <si>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</si>
  <si>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</si>
  <si>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</si>
  <si>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</si>
  <si>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</si>
  <si>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</si>
  <si>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</si>
  <si>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</si>
  <si>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</si>
  <si>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</si>
  <si>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</si>
  <si>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</si>
  <si>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</si>
  <si>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</si>
  <si>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</si>
  <si>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</si>
  <si>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</si>
  <si>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</si>
  <si>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</si>
  <si>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</si>
  <si>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</si>
  <si>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</si>
  <si>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</si>
  <si>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</si>
  <si>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</si>
  <si>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</si>
  <si>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</si>
  <si>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</si>
  <si>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</si>
  <si>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</si>
  <si>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</si>
  <si>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</si>
  <si>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</si>
  <si>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</si>
  <si>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</si>
  <si>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</si>
  <si>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</si>
  <si>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</si>
  <si>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</si>
  <si>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</si>
  <si>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</si>
  <si>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</si>
  <si>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</si>
  <si>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</si>
  <si>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</si>
  <si>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</si>
  <si>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</si>
  <si>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</si>
  <si>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</si>
  <si>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</si>
  <si>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</si>
  <si>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</si>
  <si>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</si>
  <si>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</si>
  <si>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</si>
  <si>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</si>
  <si>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</si>
  <si>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</si>
  <si>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</si>
  <si>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</si>
  <si>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</si>
  <si>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</si>
  <si>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</si>
  <si>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</si>
  <si>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</si>
  <si>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</si>
  <si>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</si>
  <si>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</si>
  <si>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</si>
  <si>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</si>
  <si>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</si>
  <si>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</si>
  <si>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</si>
  <si>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</si>
  <si>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</si>
  <si>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</si>
  <si>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</si>
  <si>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</si>
  <si>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</si>
  <si>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</si>
  <si>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</si>
  <si>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</si>
  <si>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</si>
  <si>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</si>
  <si>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</si>
  <si>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</si>
  <si>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</si>
  <si>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</si>
  <si>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</si>
  <si>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</si>
  <si>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</si>
  <si>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</si>
  <si>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</si>
  <si>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</si>
  <si>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</si>
  <si>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</si>
  <si>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</si>
  <si>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</si>
  <si>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</si>
  <si>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</si>
  <si>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</si>
  <si>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</si>
  <si>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</si>
  <si>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</si>
  <si>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</si>
  <si>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</si>
  <si>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</si>
  <si>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</si>
  <si>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</si>
  <si>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</si>
  <si>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</si>
  <si>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</si>
  <si>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</si>
  <si>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</si>
  <si>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</si>
  <si>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</si>
  <si>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</si>
  <si>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</si>
  <si>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</si>
  <si>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</si>
  <si>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</si>
  <si>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</si>
  <si>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</si>
  <si>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</si>
  <si>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</si>
  <si>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</si>
  <si>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</si>
  <si>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</si>
  <si>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</si>
  <si>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</si>
  <si>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</si>
  <si>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</si>
  <si>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</si>
  <si>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</si>
  <si>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</si>
  <si>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</si>
  <si>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</si>
  <si>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</si>
  <si>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</si>
  <si>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</si>
  <si>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</si>
  <si>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</si>
  <si>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</si>
  <si>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</si>
  <si>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</si>
  <si>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</si>
  <si>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</si>
  <si>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</si>
  <si>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</si>
  <si>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</si>
  <si>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</si>
  <si>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</si>
  <si>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</si>
  <si>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</si>
  <si>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</si>
  <si>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</si>
  <si>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</si>
  <si>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</si>
  <si>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</si>
  <si>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</si>
  <si>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</si>
  <si>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</si>
  <si>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</si>
  <si>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</si>
  <si>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</si>
  <si>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</si>
  <si>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</si>
  <si>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</si>
  <si>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</si>
  <si>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</si>
  <si>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</si>
  <si>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</si>
  <si>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</si>
  <si>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</si>
  <si>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</si>
  <si>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</si>
  <si>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</si>
  <si>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</si>
  <si>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</si>
  <si>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</si>
  <si>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</si>
  <si>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</si>
  <si>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</si>
  <si>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</si>
  <si>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</si>
  <si>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</si>
  <si>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</si>
  <si>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</si>
  <si>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</si>
  <si>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</si>
  <si>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</si>
  <si>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</si>
  <si>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</si>
  <si>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</si>
  <si>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</si>
  <si>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</si>
  <si>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</si>
  <si>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</si>
  <si>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</si>
  <si>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</si>
  <si>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</si>
  <si>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</si>
  <si>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</si>
  <si>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</si>
  <si>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</si>
  <si>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</si>
  <si>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</si>
  <si>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</si>
  <si>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</si>
  <si>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</si>
  <si>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</si>
  <si>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</si>
  <si>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</si>
  <si>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</si>
  <si>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</si>
  <si>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</si>
  <si>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</si>
  <si>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</si>
  <si>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</si>
  <si>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</si>
  <si>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</si>
  <si>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</si>
  <si>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</si>
  <si>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</si>
  <si>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</si>
  <si>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</si>
  <si>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</si>
  <si>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</si>
  <si>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</si>
  <si>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</si>
  <si>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</si>
  <si>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</si>
  <si>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</si>
  <si>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</si>
  <si>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</si>
  <si>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</si>
  <si>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</si>
  <si>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</si>
  <si>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</si>
  <si>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</si>
  <si>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</si>
  <si>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</si>
  <si>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</si>
  <si>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</si>
  <si>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</si>
  <si>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</si>
  <si>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</si>
  <si>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</si>
  <si>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</si>
  <si>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</si>
  <si>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</si>
  <si>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</si>
  <si>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</si>
  <si>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</si>
  <si>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</si>
  <si>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</si>
  <si>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</si>
  <si>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</si>
  <si>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</si>
  <si>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</si>
  <si>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</si>
  <si>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</si>
  <si>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</si>
  <si>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</si>
  <si>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</si>
  <si>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</si>
  <si>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</si>
  <si>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</si>
  <si>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</si>
  <si>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</si>
  <si>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</si>
  <si>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</si>
  <si>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</si>
  <si>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</si>
  <si>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</si>
  <si>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</si>
  <si>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</si>
  <si>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</si>
  <si>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</si>
  <si>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</si>
  <si>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</si>
  <si>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</si>
  <si>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</si>
  <si>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</si>
  <si>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</si>
  <si>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</si>
  <si>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</si>
  <si>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</si>
  <si>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</si>
  <si>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</si>
  <si>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</si>
  <si>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</si>
  <si>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</si>
  <si>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</si>
  <si>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</si>
  <si>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</si>
  <si>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</si>
  <si>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</si>
  <si>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</si>
  <si>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</si>
  <si>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</si>
  <si>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</si>
  <si>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</si>
  <si>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</si>
  <si>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</si>
  <si>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</si>
  <si>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</si>
  <si>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</si>
  <si>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</si>
  <si>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</si>
  <si>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</si>
  <si>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</si>
  <si>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</si>
  <si>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</si>
  <si>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</si>
  <si>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</si>
  <si>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</si>
  <si>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</si>
  <si>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</si>
  <si>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</si>
  <si>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</si>
  <si>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</si>
  <si>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</si>
  <si>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</si>
  <si>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</si>
  <si>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</si>
  <si>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</si>
  <si>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</si>
  <si>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</si>
  <si>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</si>
  <si>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</si>
  <si>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</si>
  <si>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</si>
  <si>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</si>
  <si>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</si>
  <si>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</si>
  <si>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</si>
  <si>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</si>
  <si>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</si>
  <si>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</si>
  <si>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</si>
  <si>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</si>
  <si>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</si>
  <si>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</si>
  <si>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</si>
  <si>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</si>
  <si>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</si>
  <si>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</si>
  <si>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</si>
  <si>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</si>
  <si>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</si>
  <si>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</si>
  <si>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</si>
  <si>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</si>
  <si>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</si>
  <si>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</si>
  <si>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</si>
  <si>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</si>
  <si>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</si>
  <si>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</si>
  <si>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</si>
  <si>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</si>
  <si>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</si>
  <si>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</si>
  <si>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</si>
  <si>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</si>
  <si>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</si>
  <si>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</si>
  <si>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</si>
  <si>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</si>
  <si>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</si>
  <si>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</si>
  <si>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</si>
  <si>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</si>
  <si>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</si>
  <si>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</si>
  <si>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</si>
  <si>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</si>
  <si>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</si>
  <si>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</si>
  <si>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</si>
  <si>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</si>
  <si>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</si>
  <si>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</si>
  <si>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</si>
  <si>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</si>
  <si>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</si>
  <si>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</si>
  <si>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</si>
  <si>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</si>
  <si>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</si>
  <si>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</si>
  <si>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</si>
  <si>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</si>
  <si>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</si>
  <si>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</si>
  <si>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</si>
  <si>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</si>
  <si>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</si>
  <si>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</si>
  <si>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</si>
  <si>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</si>
  <si>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</si>
  <si>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</si>
  <si>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</si>
  <si>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</si>
  <si>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</si>
  <si>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</si>
  <si>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</si>
  <si>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</si>
  <si>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</si>
  <si>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</si>
  <si>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</si>
  <si>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</si>
  <si>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</si>
  <si>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</si>
  <si>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</si>
  <si>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</si>
  <si>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</si>
  <si>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</si>
  <si>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</si>
  <si>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</si>
  <si>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</si>
  <si>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</si>
  <si>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</si>
  <si>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</si>
  <si>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</si>
  <si>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</si>
  <si>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</si>
  <si>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</si>
  <si>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</si>
  <si>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</si>
  <si>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</si>
  <si>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</si>
  <si>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</si>
  <si>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</si>
  <si>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</si>
  <si>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</si>
  <si>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</si>
  <si>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</si>
  <si>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</si>
  <si>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</si>
  <si>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</si>
  <si>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</si>
  <si>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</si>
  <si>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</si>
  <si>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</si>
  <si>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</si>
  <si>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</si>
  <si>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</si>
  <si>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</si>
  <si>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</si>
  <si>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</si>
  <si>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</si>
  <si>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</si>
  <si>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</si>
  <si>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</si>
  <si>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</si>
  <si>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</si>
  <si>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</si>
  <si>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</si>
  <si>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</si>
  <si>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</si>
  <si>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</si>
  <si>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</si>
  <si>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</si>
  <si>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</si>
  <si>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</si>
  <si>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</si>
  <si>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</si>
  <si>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</si>
  <si>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</si>
  <si>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</si>
  <si>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</si>
  <si>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</si>
  <si>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</si>
  <si>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</si>
  <si>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</si>
  <si>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</si>
  <si>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</si>
  <si>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</si>
  <si>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</si>
  <si>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</si>
  <si>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</si>
  <si>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</si>
  <si>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</si>
  <si>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</si>
  <si>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</si>
  <si>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</si>
  <si>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</si>
  <si>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</si>
  <si>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</si>
  <si>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</si>
  <si>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</si>
  <si>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</si>
  <si>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</si>
  <si>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</si>
  <si>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</si>
  <si>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</si>
  <si>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</si>
  <si>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</si>
  <si>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</si>
  <si>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</si>
  <si>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</si>
  <si>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</si>
  <si>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</si>
  <si>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</si>
  <si>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</si>
  <si>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</si>
  <si>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</si>
  <si>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</si>
  <si>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</si>
  <si>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</si>
  <si>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</si>
  <si>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</si>
  <si>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</si>
  <si>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</si>
  <si>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</si>
  <si>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</si>
  <si>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</si>
  <si>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</si>
  <si>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</si>
  <si>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</si>
  <si>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</si>
  <si>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</si>
  <si>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</si>
  <si>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</si>
  <si>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</si>
  <si>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</si>
  <si>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</si>
  <si>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</si>
  <si>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</si>
  <si>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</si>
  <si>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</si>
  <si>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</si>
  <si>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</si>
  <si>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</si>
  <si>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</si>
  <si>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</si>
  <si>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</si>
  <si>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</si>
  <si>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</si>
  <si>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</si>
  <si>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</si>
  <si>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</si>
  <si>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</si>
  <si>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</si>
  <si>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</si>
  <si>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</si>
  <si>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</si>
  <si>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</si>
  <si>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</si>
  <si>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</si>
  <si>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</si>
  <si>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</si>
  <si>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</si>
  <si>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</si>
  <si>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</si>
  <si>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</si>
  <si>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</si>
  <si>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</si>
  <si>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</si>
  <si>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</si>
  <si>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</si>
  <si>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</si>
  <si>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</si>
  <si>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</si>
  <si>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</si>
  <si>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</si>
  <si>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</si>
  <si>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</si>
  <si>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</si>
  <si>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</si>
  <si>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</si>
  <si>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</si>
  <si>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</si>
  <si>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</si>
  <si>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</si>
  <si>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</si>
  <si>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</si>
  <si>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</si>
  <si>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</si>
  <si>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</si>
  <si>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</si>
  <si>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</si>
  <si>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</si>
  <si>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</si>
  <si>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</si>
  <si>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</si>
  <si>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</si>
  <si>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</si>
  <si>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</si>
  <si>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</si>
  <si>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</si>
  <si>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</si>
  <si>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</si>
  <si>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</si>
  <si>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</si>
  <si>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</si>
  <si>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</si>
  <si>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</si>
  <si>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</si>
  <si>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</si>
  <si>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</si>
  <si>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</si>
  <si>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</si>
  <si>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</si>
  <si>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</si>
  <si>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</si>
  <si>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</si>
  <si>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</si>
  <si>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</si>
  <si>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</si>
  <si>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</si>
  <si>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</si>
  <si>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</si>
  <si>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</si>
  <si>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</si>
  <si>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</si>
  <si>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</si>
  <si>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</si>
  <si>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</si>
  <si>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</si>
  <si>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</si>
  <si>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</si>
  <si>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</si>
  <si>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</si>
  <si>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</si>
  <si>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</si>
  <si>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</si>
  <si>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</si>
  <si>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</si>
  <si>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</si>
  <si>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Caleb Roope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</si>
  <si>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</si>
  <si>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</si>
  <si>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</si>
  <si>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</si>
  <si>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</si>
  <si>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</si>
  <si>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</si>
  <si>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</si>
  <si>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</si>
  <si>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</si>
  <si>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</si>
  <si>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</si>
  <si>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</si>
  <si>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</si>
  <si>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</si>
  <si>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</si>
  <si>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</si>
  <si>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</si>
  <si>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</si>
  <si>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</si>
  <si>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</si>
  <si>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</si>
  <si>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</si>
  <si>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</si>
  <si>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</si>
  <si>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</si>
  <si>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</si>
  <si>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</si>
  <si>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</si>
  <si>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</si>
  <si>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</si>
  <si>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</si>
  <si>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</si>
  <si>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</si>
  <si>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</si>
  <si>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</si>
  <si>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</si>
  <si>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</si>
  <si>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</si>
  <si>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</si>
  <si>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</si>
  <si>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</si>
  <si>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</si>
  <si>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</si>
  <si>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</si>
  <si>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</si>
  <si>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</si>
  <si>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</si>
  <si>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</si>
  <si>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</si>
  <si>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</si>
  <si>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</si>
  <si>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</si>
  <si>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</si>
  <si>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</si>
  <si>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</si>
  <si>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</si>
  <si>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</si>
  <si>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</si>
  <si>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</si>
  <si>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</si>
  <si>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</si>
  <si>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</si>
  <si>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</si>
  <si>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</si>
  <si>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</si>
  <si>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</si>
  <si>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</si>
  <si>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</si>
  <si>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</si>
  <si>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</si>
  <si>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</si>
  <si>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</si>
  <si>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</si>
  <si>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</si>
  <si>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</si>
  <si>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</si>
  <si>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</si>
  <si>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</si>
  <si>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</si>
  <si>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</si>
  <si>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</si>
  <si>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</si>
  <si>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</si>
  <si>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Below residual receipts line for cash flow</t>
  </si>
  <si>
    <t>City Manager</t>
  </si>
  <si>
    <t>Architects Orange dba AO</t>
  </si>
  <si>
    <t>144 N. Orange</t>
  </si>
  <si>
    <t>Orange, CA 92866</t>
  </si>
  <si>
    <t>RC Alley</t>
  </si>
  <si>
    <t>714.639.9860</t>
  </si>
  <si>
    <t>714.221.4584</t>
  </si>
  <si>
    <t>rca@architectsorange.com</t>
  </si>
  <si>
    <t>Secured by Leasehold Interest</t>
  </si>
  <si>
    <t>Inner City Infill Site</t>
  </si>
  <si>
    <t>One (1) six-story elevator-serviced residential building (five residential stories over one-level of podium parking).</t>
  </si>
  <si>
    <t>Common areas / community space included within residential building.</t>
  </si>
  <si>
    <t>Air Conditioning</t>
  </si>
  <si>
    <t>Annual Ground Lease Payment:</t>
  </si>
  <si>
    <t>3901 S. 147th Street, Suite 144</t>
  </si>
  <si>
    <t>Central Valley Coalition for Affordable Housing, a CA Nonprofit Public Benefit Corp.</t>
  </si>
  <si>
    <t>Metrowalk at Richmond Station</t>
  </si>
  <si>
    <t>, California.</t>
  </si>
  <si>
    <t>Chief Executive Officer</t>
  </si>
  <si>
    <t>City of Richmond</t>
  </si>
  <si>
    <t>Shasa Curl</t>
  </si>
  <si>
    <t>450 Civic Center Plaza, Suite 300</t>
  </si>
  <si>
    <t>Richmond</t>
  </si>
  <si>
    <t>510.620.6512</t>
  </si>
  <si>
    <t>510.620.6542</t>
  </si>
  <si>
    <t>shasa_curl@ci.richmond.ca.us</t>
  </si>
  <si>
    <t>Nevin Avenue &amp; 19th Street</t>
  </si>
  <si>
    <t>514-050-010-8</t>
  </si>
  <si>
    <t>40%/60%</t>
  </si>
  <si>
    <t>E3 CA, Inc.</t>
  </si>
  <si>
    <t>2701 Cottage Way, Suite 3</t>
  </si>
  <si>
    <t>Sacramento, CA 95825</t>
  </si>
  <si>
    <t>Mark Silva</t>
  </si>
  <si>
    <t>916.382.7862</t>
  </si>
  <si>
    <t>msilva@e3cainc.com</t>
  </si>
  <si>
    <t>N/A (Public Entity)</t>
  </si>
  <si>
    <t>Executive Director of HA &amp; City Mgr.</t>
  </si>
  <si>
    <t>450 Civic Center Plaza, Ste. 300</t>
  </si>
  <si>
    <t>Richmond, CA 94804</t>
  </si>
  <si>
    <t>High-Intensity Mixed-Use (Major Activity Center)</t>
  </si>
  <si>
    <t>CM-5 (Commercial Mixed-Use, Activity Center) / 135 dupa</t>
  </si>
  <si>
    <t>Affordability restrictions due to density bonus. Restrictions align with the CTCAC/HCD AMI mix.</t>
  </si>
  <si>
    <t>135' maximum</t>
  </si>
  <si>
    <t>0.5 spaces per unit</t>
  </si>
  <si>
    <t>HCD - AHSC Loan</t>
  </si>
  <si>
    <t>HCD - IIG Loan</t>
  </si>
  <si>
    <t>City of Richmond - City Loan</t>
  </si>
  <si>
    <t>Richmond Metrowalk Associates</t>
  </si>
  <si>
    <t>651 Bannon Street</t>
  </si>
  <si>
    <t>Sacramento, CA 95811</t>
  </si>
  <si>
    <t>Hector Leyva</t>
  </si>
  <si>
    <t>916.490.9313</t>
  </si>
  <si>
    <t>Infill Infrastructure Grant (IIG) Program Loan</t>
  </si>
  <si>
    <t>Alisha Senter</t>
  </si>
  <si>
    <t>916.776.7588</t>
  </si>
  <si>
    <t>Affordable Housing &amp; Sustainable Communities (AHSC) Program Loan</t>
  </si>
  <si>
    <t>450 Civic Center Plaza</t>
  </si>
  <si>
    <t>Hector Veyva</t>
  </si>
  <si>
    <t>Lina Velasco</t>
  </si>
  <si>
    <t>510.620.6841</t>
  </si>
  <si>
    <t>City Loan</t>
  </si>
  <si>
    <t>Housing Authority of the County of Contra Costa (*no tenant allowance for water heating because of central electric boiler)</t>
  </si>
  <si>
    <t>HCD (IIG Program Loan), Ground Lease with City &amp; SB 35 (State Prevailing Wages)</t>
  </si>
  <si>
    <t>HCD (IIG Program Loan) / Ground Lease &amp; DDA with City of Richmond / SB 35 (State PW)</t>
  </si>
  <si>
    <t>HCD - AHSC Loan (Hard Payment)</t>
  </si>
  <si>
    <t>HCD - AHSC Loan (Residual Receipts)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</si>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</sst>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7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651</v>
      </c>
      <c r="F40" s="1262" t="s">
        <v>1162</v>
      </c>
    </row>
    <row r="41" spans="1:38" s="1262" customFormat="1" ht="13.2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5" sqref="K5"/>
    </sheetView>
  </sheetViews>
  <sheetFormatPr defaultColWidth="9.08984375" defaultRowHeight="14.25"/>
  <cols>
    <col min="1" max="1" width="2.453125" style="1044" customWidth="1"/>
    <col min="2" max="9" width="14.7265625" style="1044" customWidth="1"/>
    <col min="10" max="10" width="2.1796875" style="1044" customWidth="1"/>
    <col min="11" max="11" width="11.81640625" style="1045" customWidth="1"/>
    <col min="12" max="12" width="10.7265625" style="1044" customWidth="1"/>
    <col min="13" max="13" width="10.453125" style="1044" customWidth="1"/>
    <col min="14" max="14" width="10.81640625" style="1044" customWidth="1"/>
    <col min="15" max="18" width="9.08984375" style="1044"/>
    <col min="19" max="19" width="9.453125" style="1044" bestFit="1" customWidth="1"/>
    <col min="20" max="16384" width="9.08984375" style="1044"/>
  </cols>
  <sheetData>
    <row r="1" spans="1:13" ht="30" customHeight="1">
      <c r="A1" s="2661" t="s">
        <v>1583</v>
      </c>
      <c r="B1" s="2661"/>
      <c r="C1" s="2661"/>
      <c r="D1" s="2661"/>
      <c r="E1" s="2661"/>
      <c r="F1" s="2661"/>
      <c r="G1" s="2661"/>
      <c r="H1" s="2661"/>
      <c r="I1" s="2661"/>
      <c r="J1" s="2661"/>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57856654</v>
      </c>
      <c r="I3" s="1105"/>
    </row>
    <row r="4" spans="1:13" s="1051" customFormat="1" ht="20.149999999999999" customHeight="1">
      <c r="B4" s="1094"/>
      <c r="D4" s="1108"/>
      <c r="F4" s="1092" t="s">
        <v>1989</v>
      </c>
      <c r="G4" s="1091" t="s">
        <v>1988</v>
      </c>
      <c r="H4" s="1093">
        <f>I18</f>
        <v>27767099.673202615</v>
      </c>
      <c r="I4" s="1095"/>
      <c r="K4" s="1055"/>
    </row>
    <row r="5" spans="1:13" s="1051" customFormat="1" ht="20.149999999999999" customHeight="1" thickBot="1">
      <c r="B5" s="1096"/>
      <c r="C5" s="1097"/>
      <c r="D5" s="1109"/>
      <c r="E5" s="1098"/>
      <c r="F5" s="1109" t="s">
        <v>1939</v>
      </c>
      <c r="G5" s="1110"/>
      <c r="H5" s="1106">
        <f>IFERROR(H3/H4,0)</f>
        <v>2.0836405199292787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1937</v>
      </c>
      <c r="C8" s="2665"/>
      <c r="D8" s="2665"/>
      <c r="E8" s="2666"/>
      <c r="G8" s="2667" t="s">
        <v>1938</v>
      </c>
      <c r="H8" s="2668"/>
      <c r="I8" s="2669"/>
      <c r="K8" s="1057"/>
    </row>
    <row r="9" spans="1:13" ht="15" customHeight="1">
      <c r="A9" s="1046"/>
      <c r="B9" s="2662" t="s">
        <v>1971</v>
      </c>
      <c r="C9" s="2662"/>
      <c r="D9" s="2662"/>
      <c r="E9" s="1059">
        <f>G33</f>
        <v>9352500</v>
      </c>
      <c r="G9" s="2670" t="s">
        <v>1969</v>
      </c>
      <c r="H9" s="2670"/>
      <c r="I9" s="1060">
        <f>SUMIF(Application!M554:M565,"Loan, Tax-Exempt",Application!AM554:AM565)</f>
        <v>30000000</v>
      </c>
      <c r="K9" s="1061"/>
      <c r="M9" s="1062"/>
    </row>
    <row r="10" spans="1:13" ht="15" customHeight="1" thickBot="1">
      <c r="A10" s="1046"/>
      <c r="B10" s="2662" t="s">
        <v>1972</v>
      </c>
      <c r="C10" s="2662"/>
      <c r="D10" s="2662"/>
      <c r="E10" s="1060">
        <f>G47</f>
        <v>34117704</v>
      </c>
      <c r="G10" s="2674" t="s">
        <v>1940</v>
      </c>
      <c r="H10" s="2674"/>
      <c r="I10" s="1140">
        <f>'Basis &amp; Credits'!AB78</f>
        <v>8900000</v>
      </c>
      <c r="M10" s="1062"/>
    </row>
    <row r="11" spans="1:13" ht="15" customHeight="1">
      <c r="A11" s="1046"/>
      <c r="B11" s="2678" t="s">
        <v>2260</v>
      </c>
      <c r="C11" s="2679"/>
      <c r="D11" s="2680"/>
      <c r="E11" s="1060">
        <f>SUM(E12,E13)</f>
        <v>1480000</v>
      </c>
      <c r="G11" s="2677" t="s">
        <v>1980</v>
      </c>
      <c r="H11" s="2677"/>
      <c r="I11" s="1139">
        <f>I9+I10</f>
        <v>38900000</v>
      </c>
      <c r="M11" s="1062"/>
    </row>
    <row r="12" spans="1:13" ht="15" customHeight="1">
      <c r="A12" s="1063"/>
      <c r="B12" s="2663" t="s">
        <v>2262</v>
      </c>
      <c r="C12" s="2663"/>
      <c r="D12" s="2663"/>
      <c r="E12" s="1165">
        <f>G56</f>
        <v>0</v>
      </c>
      <c r="M12" s="1062"/>
    </row>
    <row r="13" spans="1:13" ht="15" customHeight="1">
      <c r="A13" s="1049"/>
      <c r="B13" s="2663" t="s">
        <v>2263</v>
      </c>
      <c r="C13" s="2663"/>
      <c r="D13" s="2663"/>
      <c r="E13" s="1165">
        <f>G65</f>
        <v>1480000</v>
      </c>
      <c r="G13" s="2667" t="s">
        <v>2003</v>
      </c>
      <c r="H13" s="2668"/>
      <c r="I13" s="2669"/>
      <c r="M13" s="1062"/>
    </row>
    <row r="14" spans="1:13" ht="15" customHeight="1">
      <c r="A14" s="1049"/>
      <c r="B14" s="2678" t="s">
        <v>2261</v>
      </c>
      <c r="C14" s="2679"/>
      <c r="D14" s="2680"/>
      <c r="E14" s="1167">
        <f>MAX(E15,E16)+E17</f>
        <v>12906450</v>
      </c>
      <c r="G14" s="2670" t="s">
        <v>139</v>
      </c>
      <c r="H14" s="2670"/>
      <c r="I14" s="1064">
        <f>15%*(AND(G120="Yes",G122&lt;&gt;""))</f>
        <v>0.15</v>
      </c>
      <c r="M14" s="1062"/>
    </row>
    <row r="15" spans="1:13" ht="15" customHeight="1">
      <c r="A15" s="1049"/>
      <c r="B15" s="2681" t="s">
        <v>2267</v>
      </c>
      <c r="C15" s="2682"/>
      <c r="D15" s="2683"/>
      <c r="E15" s="1165">
        <f>G80</f>
        <v>0</v>
      </c>
      <c r="G15" s="1137" t="s">
        <v>1981</v>
      </c>
      <c r="H15" s="1137"/>
      <c r="I15" s="1064">
        <f>IF(Application!AJ1032&gt;0,10%,IF(Application!AJ1036&gt;0,5%,0))</f>
        <v>0.05</v>
      </c>
      <c r="M15" s="1062"/>
    </row>
    <row r="16" spans="1:13" ht="15" customHeight="1">
      <c r="A16" s="1049"/>
      <c r="B16" s="2681" t="s">
        <v>2266</v>
      </c>
      <c r="C16" s="2682"/>
      <c r="D16" s="2683"/>
      <c r="E16" s="1165">
        <f>G90</f>
        <v>0</v>
      </c>
      <c r="G16" s="2670" t="s">
        <v>1982</v>
      </c>
      <c r="H16" s="2670"/>
      <c r="I16" s="1064">
        <f>G132</f>
        <v>8.6192810457516339E-2</v>
      </c>
    </row>
    <row r="17" spans="1:21" ht="15" customHeight="1" thickBot="1">
      <c r="A17" s="1049"/>
      <c r="B17" s="2681" t="s">
        <v>2265</v>
      </c>
      <c r="C17" s="2682"/>
      <c r="D17" s="2683"/>
      <c r="E17" s="1165">
        <f>G115</f>
        <v>12906450</v>
      </c>
      <c r="G17" s="2670" t="s">
        <v>2275</v>
      </c>
      <c r="H17" s="2670"/>
      <c r="I17" s="1064">
        <f>IF(AND(G139="Yes",OR(G136,G137)),IF(G143&gt;15%,15%,G143),0)</f>
        <v>0</v>
      </c>
    </row>
    <row r="18" spans="1:21" ht="15" customHeight="1">
      <c r="A18" s="1046"/>
      <c r="B18" s="2673" t="s">
        <v>1936</v>
      </c>
      <c r="C18" s="2673"/>
      <c r="D18" s="2673"/>
      <c r="E18" s="1111">
        <f>SUM(E9:E11,E14)</f>
        <v>57856654</v>
      </c>
      <c r="G18" s="1138" t="s">
        <v>1970</v>
      </c>
      <c r="H18" s="1138"/>
      <c r="I18" s="1112">
        <f>I11-((I11*I14)+(I11*I15)+(I11*I16)+(I11*I17))</f>
        <v>27767099.673202615</v>
      </c>
      <c r="M18" s="1065">
        <f>SUM(Cdlac[Quantity])</f>
        <v>149</v>
      </c>
      <c r="O18" s="1084" t="s">
        <v>581</v>
      </c>
      <c r="P18" s="1044">
        <f>MATCH(Application!T189,Application!CB160:CB217,0)</f>
        <v>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1398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539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1" t="s">
        <v>1984</v>
      </c>
      <c r="D22" s="2671" t="s">
        <v>1985</v>
      </c>
      <c r="E22" s="2671" t="s">
        <v>1986</v>
      </c>
      <c r="F22" s="2671" t="s">
        <v>2606</v>
      </c>
      <c r="G22" s="2671" t="s">
        <v>1983</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1677.6</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259.40000000000009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1</v>
      </c>
      <c r="M23" s="1065">
        <f>Application!G721</f>
        <v>8</v>
      </c>
      <c r="N23" s="1071">
        <f>Application!AC721</f>
        <v>0.3</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22</v>
      </c>
      <c r="F24" s="1072">
        <f>E24</f>
        <v>22</v>
      </c>
      <c r="G24" s="1072">
        <f>D24*F24</f>
        <v>19.8</v>
      </c>
      <c r="L24" s="1044">
        <f>IFERROR(MIN(4,MATCH(Application!B722,UnitSizes,0)-1),"")</f>
        <v>1</v>
      </c>
      <c r="M24" s="1065">
        <f>Application!G722</f>
        <v>1</v>
      </c>
      <c r="N24" s="1071">
        <f>Application!AC722</f>
        <v>0.5</v>
      </c>
      <c r="O24" s="1071">
        <f>IF(Cdlac[[#This Row],[Quantity]]&gt;0,IF(Cdlac[[#This Row],[Federal]],30%,IF(AND(OR(NOT($G$38),$G$38=""),$G$43),40%,Cdlac[[#This Row],[iAMI]])),"")</f>
        <v>0.5</v>
      </c>
      <c r="P24" s="1065" cm="1">
        <f t="array" ref="P24">IF(Cdlac[[#This Row],[Quantity]]&gt;0,INDEX(TcacRents,$P$18,Cdlac[[#This Row],[Bedrooms]]+1)*Cdlac[[#This Row],[AMI]],"")</f>
        <v>1498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703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f>IFERROR(MIN(4,MATCH(Application!B723,UnitSizes,0)-1),"")</f>
        <v>1</v>
      </c>
      <c r="M25" s="1065">
        <f>Application!G723</f>
        <v>1</v>
      </c>
      <c r="N25" s="1071">
        <f>Application!AC723</f>
        <v>0.6</v>
      </c>
      <c r="O25" s="1071">
        <f>IF(Cdlac[[#This Row],[Quantity]]&gt;0,IF(Cdlac[[#This Row],[Federal]],30%,IF(AND(OR(NOT($G$38),$G$38=""),$G$43),40%,Cdlac[[#This Row],[iAMI]])),"")</f>
        <v>0.6</v>
      </c>
      <c r="P25" s="1065" cm="1">
        <f t="array" ref="P25">IF(Cdlac[[#This Row],[Quantity]]&gt;0,INDEX(TcacRents,$P$18,Cdlac[[#This Row],[Bedrooms]]+1)*Cdlac[[#This Row],[AMI]],"")</f>
        <v>1797.6</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403.40000000000009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73</v>
      </c>
      <c r="G26" s="1072">
        <f>D26*F26</f>
        <v>91.25</v>
      </c>
      <c r="H26" s="1074"/>
      <c r="I26" s="1074"/>
      <c r="L26" s="1044">
        <f>IFERROR(MIN(4,MATCH(Application!B724,UnitSizes,0)-1),"")</f>
        <v>2</v>
      </c>
      <c r="M26" s="1065">
        <f>Application!G724</f>
        <v>33</v>
      </c>
      <c r="N26" s="1071">
        <f>Application!AC724</f>
        <v>0.3</v>
      </c>
      <c r="O26" s="1071">
        <f>IF(Cdlac[[#This Row],[Quantity]]&gt;0,IF(Cdlac[[#This Row],[Federal]],30%,IF(AND(OR(NOT($G$38),$G$38=""),$G$43),40%,Cdlac[[#This Row],[iAMI]])),"")</f>
        <v>0.3</v>
      </c>
      <c r="P26" s="1065" cm="1">
        <f t="array" ref="P26">IF(Cdlac[[#This Row],[Quantity]]&gt;0,INDEX(TcacRents,$P$18,Cdlac[[#This Row],[Bedrooms]]+1)*Cdlac[[#This Row],[AMI]],"")</f>
        <v>1078.8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1603.2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49</v>
      </c>
      <c r="F27" s="1075">
        <f>MIN(E27,ROUNDDOWN(E29*30%,0))</f>
        <v>44</v>
      </c>
      <c r="G27" s="1072">
        <f>D27*F27</f>
        <v>66</v>
      </c>
      <c r="H27" s="1074"/>
      <c r="I27" s="1074"/>
      <c r="L27" s="1044">
        <f>IFERROR(MIN(4,MATCH(Application!B725,UnitSizes,0)-1),"")</f>
        <v>2</v>
      </c>
      <c r="M27" s="1065">
        <f>Application!G725</f>
        <v>27</v>
      </c>
      <c r="N27" s="1071">
        <f>Application!AC725</f>
        <v>0.5</v>
      </c>
      <c r="O27" s="1071">
        <f>IF(Cdlac[[#This Row],[Quantity]]&gt;0,IF(Cdlac[[#This Row],[Federal]],30%,IF(AND(OR(NOT($G$38),$G$38=""),$G$43),40%,Cdlac[[#This Row],[iAMI]])),"")</f>
        <v>0.5</v>
      </c>
      <c r="P27" s="1065" cm="1">
        <f t="array" ref="P27">IF(Cdlac[[#This Row],[Quantity]]&gt;0,INDEX(TcacRents,$P$18,Cdlac[[#This Row],[Bedrooms]]+1)*Cdlac[[#This Row],[AMI]],"")</f>
        <v>1798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884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8</v>
      </c>
      <c r="N28" s="1071">
        <f>Application!AC726</f>
        <v>0.6</v>
      </c>
      <c r="O28" s="1071">
        <f>IF(Cdlac[[#This Row],[Quantity]]&gt;0,IF(Cdlac[[#This Row],[Federal]],30%,IF(AND(OR(NOT($G$38),$G$38=""),$G$43),40%,Cdlac[[#This Row],[iAMI]])),"")</f>
        <v>0.6</v>
      </c>
      <c r="P28" s="1065" cm="1">
        <f t="array" ref="P28">IF(Cdlac[[#This Row],[Quantity]]&gt;0,INDEX(TcacRents,$P$18,Cdlac[[#This Row],[Bedrooms]]+1)*Cdlac[[#This Row],[AMI]],"")</f>
        <v>2157.6</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524.40000000000009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1584</v>
      </c>
      <c r="D29" s="2686"/>
      <c r="E29" s="1089">
        <f>SUM(E24:E28)</f>
        <v>149</v>
      </c>
      <c r="F29" s="1089">
        <f>SUM(F24:F28)</f>
        <v>149</v>
      </c>
      <c r="G29" s="1090">
        <f>SUMPRODUCT(D24:D28,F24:F28)</f>
        <v>187.05</v>
      </c>
      <c r="H29" s="1074"/>
      <c r="I29" s="1074"/>
      <c r="L29" s="1044">
        <f>IFERROR(MIN(4,MATCH(Application!B727,UnitSizes,0)-1),"")</f>
        <v>3</v>
      </c>
      <c r="M29" s="1065">
        <f>Application!G727</f>
        <v>13</v>
      </c>
      <c r="N29" s="1071">
        <f>Application!AC727</f>
        <v>0.3</v>
      </c>
      <c r="O29" s="1071">
        <f>IF(Cdlac[[#This Row],[Quantity]]&gt;0,IF(Cdlac[[#This Row],[Federal]],30%,IF(AND(OR(NOT($G$38),$G$38=""),$G$43),40%,Cdlac[[#This Row],[iAMI]])),"")</f>
        <v>0.3</v>
      </c>
      <c r="P29" s="1065" cm="1">
        <f t="array" ref="P29">IF(Cdlac[[#This Row],[Quantity]]&gt;0,INDEX(TcacRents,$P$18,Cdlac[[#This Row],[Bedrooms]]+1)*Cdlac[[#This Row],[AMI]],"")</f>
        <v>1246.2</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2185.8000000000002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29</v>
      </c>
      <c r="N30" s="1071">
        <f>Application!AC728</f>
        <v>0.5</v>
      </c>
      <c r="O30" s="1071">
        <f>IF(Cdlac[[#This Row],[Quantity]]&gt;0,IF(Cdlac[[#This Row],[Federal]],30%,IF(AND(OR(NOT($G$38),$G$38=""),$G$43),40%,Cdlac[[#This Row],[iAMI]])),"")</f>
        <v>0.5</v>
      </c>
      <c r="P30" s="1065" cm="1">
        <f t="array" ref="P30">IF(Cdlac[[#This Row],[Quantity]]&gt;0,INDEX(TcacRents,$P$18,Cdlac[[#This Row],[Bedrooms]]+1)*Cdlac[[#This Row],[AMI]],"")</f>
        <v>2077</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1355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187.05</v>
      </c>
      <c r="H31" s="1074"/>
      <c r="I31" s="1074"/>
      <c r="L31" s="1044">
        <f>IFERROR(MIN(4,MATCH(Application!B729,UnitSizes,0)-1),"")</f>
        <v>3</v>
      </c>
      <c r="M31" s="1065">
        <f>Application!G729</f>
        <v>7</v>
      </c>
      <c r="N31" s="1071">
        <f>Application!AC729</f>
        <v>0.6</v>
      </c>
      <c r="O31" s="1071">
        <f>IF(Cdlac[[#This Row],[Quantity]]&gt;0,IF(Cdlac[[#This Row],[Federal]],30%,IF(AND(OR(NOT($G$38),$G$38=""),$G$43),40%,Cdlac[[#This Row],[iAMI]])),"")</f>
        <v>0.6</v>
      </c>
      <c r="P31" s="1065" cm="1">
        <f t="array" ref="P31">IF(Cdlac[[#This Row],[Quantity]]&gt;0,INDEX(TcacRents,$P$18,Cdlac[[#This Row],[Bedrooms]]+1)*Cdlac[[#This Row],[AMI]],"")</f>
        <v>2492.4</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939.59999999999991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9352500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0.41208053691275165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189542.80000000002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34117704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74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74</v>
      </c>
    </row>
    <row r="61" spans="2:21" ht="15" customHeight="1">
      <c r="E61" s="1117" t="s">
        <v>1992</v>
      </c>
      <c r="G61" s="1079">
        <f>ROUNDDOWN(E29*50%,0)</f>
        <v>74</v>
      </c>
    </row>
    <row r="62" spans="2:21" ht="15" customHeight="1">
      <c r="E62" s="1117"/>
      <c r="G62" s="1079"/>
    </row>
    <row r="63" spans="2:21" ht="15" customHeight="1">
      <c r="E63" s="1117" t="s">
        <v>1952</v>
      </c>
      <c r="G63" s="1114">
        <f>MIN(G60:G61)</f>
        <v>74</v>
      </c>
    </row>
    <row r="64" spans="2:21" ht="15" customHeight="1">
      <c r="E64" s="1117" t="s">
        <v>1942</v>
      </c>
      <c r="F64" s="1113" t="s">
        <v>1990</v>
      </c>
      <c r="G64" s="1124">
        <v>20000</v>
      </c>
    </row>
    <row r="65" spans="2:14" ht="15" customHeight="1">
      <c r="E65" s="1118" t="s">
        <v>1974</v>
      </c>
      <c r="F65" s="1046"/>
      <c r="G65" s="1123">
        <f>G63*G64</f>
        <v>1480000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Low Resource</v>
      </c>
      <c r="L72" s="2658" t="s">
        <v>1967</v>
      </c>
      <c r="M72" s="2659"/>
      <c r="N72" s="1131">
        <v>30000</v>
      </c>
    </row>
    <row r="73" spans="2:14" ht="15" customHeight="1">
      <c r="C73" s="2660" t="s">
        <v>2259</v>
      </c>
      <c r="D73" s="2660"/>
      <c r="E73" s="2660"/>
      <c r="F73" s="2660"/>
      <c r="G73" s="1043" t="s">
        <v>667</v>
      </c>
      <c r="L73" s="2675" t="s">
        <v>1935</v>
      </c>
      <c r="M73" s="2676"/>
      <c r="N73" s="1132">
        <v>20000</v>
      </c>
    </row>
    <row r="74" spans="2:14" ht="15" customHeight="1" thickBot="1">
      <c r="C74" s="2660"/>
      <c r="D74" s="2660"/>
      <c r="E74" s="2660"/>
      <c r="F74" s="2660"/>
      <c r="L74" s="2650" t="s">
        <v>1968</v>
      </c>
      <c r="M74" s="2651"/>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0</v>
      </c>
    </row>
    <row r="79" spans="2:14" ht="15" customHeight="1">
      <c r="E79" s="1084" t="str">
        <f>E96</f>
        <v>Bedroom-Adjusted Low-Income Units</v>
      </c>
      <c r="F79" s="1113" t="s">
        <v>1990</v>
      </c>
      <c r="G79" s="1114">
        <f>G29</f>
        <v>187.05</v>
      </c>
    </row>
    <row r="80" spans="2:14" ht="15" customHeight="1">
      <c r="D80" s="1046"/>
      <c r="E80" s="1118" t="s">
        <v>2264</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187.05</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187.05</v>
      </c>
    </row>
    <row r="97" spans="2:14" ht="15" customHeight="1">
      <c r="E97" s="1118" t="s">
        <v>1959</v>
      </c>
      <c r="F97" s="1046"/>
      <c r="G97" s="1123">
        <f>G94*G95*G96</f>
        <v>5237400</v>
      </c>
      <c r="L97" s="1127" t="str">
        <f>'Points System'!H638</f>
        <v>(ii)</v>
      </c>
      <c r="M97" s="2656" t="s">
        <v>1403</v>
      </c>
      <c r="N97" s="2657"/>
    </row>
    <row r="98" spans="2:14" ht="15" customHeight="1">
      <c r="C98" s="1077"/>
      <c r="G98" s="1114"/>
      <c r="L98" s="1128" t="str">
        <f>'Points System'!H650</f>
        <v>(i)</v>
      </c>
      <c r="M98" s="2652" t="s">
        <v>1954</v>
      </c>
      <c r="N98" s="2653"/>
    </row>
    <row r="99" spans="2:14" ht="15" customHeight="1">
      <c r="E99" s="1084" t="s">
        <v>1995</v>
      </c>
      <c r="G99" s="1126">
        <f>COUNTIFS(L97:L104,"(i)")</f>
        <v>4</v>
      </c>
      <c r="L99" s="1128" t="str">
        <f>'Points System'!H685</f>
        <v>(i)</v>
      </c>
      <c r="M99" s="2652" t="s">
        <v>1955</v>
      </c>
      <c r="N99" s="2653"/>
    </row>
    <row r="100" spans="2:14" ht="15" customHeight="1">
      <c r="E100" s="1084" t="s">
        <v>1942</v>
      </c>
      <c r="F100" s="1113" t="s">
        <v>1990</v>
      </c>
      <c r="G100" s="1124">
        <v>4000</v>
      </c>
      <c r="L100" s="1128" t="str">
        <f>IF(OR('Points System'!H709="(ii)",'Points System'!H709="(i)"),"(i)","N/A")</f>
        <v>N/A</v>
      </c>
      <c r="M100" s="2652" t="s">
        <v>1956</v>
      </c>
      <c r="N100" s="2653"/>
    </row>
    <row r="101" spans="2:14" ht="15" customHeight="1">
      <c r="E101" s="1118" t="s">
        <v>1960</v>
      </c>
      <c r="F101" s="1046"/>
      <c r="G101" s="1123">
        <f>G96*G99*G100</f>
        <v>2992800</v>
      </c>
      <c r="L101" s="1129" t="str">
        <f>'Points System'!H723</f>
        <v>N/A</v>
      </c>
      <c r="M101" s="2652" t="s">
        <v>1429</v>
      </c>
      <c r="N101" s="2653"/>
    </row>
    <row r="102" spans="2:14" ht="15" customHeight="1">
      <c r="L102" s="1128" t="str">
        <f>'Points System'!H735</f>
        <v>N/A</v>
      </c>
      <c r="M102" s="2652" t="s">
        <v>1957</v>
      </c>
      <c r="N102" s="2653"/>
    </row>
    <row r="103" spans="2:14" ht="15" customHeight="1">
      <c r="C103" s="1080" t="s">
        <v>1962</v>
      </c>
      <c r="L103" s="1128" t="str">
        <f>'Points System'!H751</f>
        <v>(i)</v>
      </c>
      <c r="M103" s="2652" t="s">
        <v>1958</v>
      </c>
      <c r="N103" s="2653"/>
    </row>
    <row r="104" spans="2:14" ht="15" customHeight="1" thickBot="1">
      <c r="C104" s="1077" t="s">
        <v>1963</v>
      </c>
      <c r="G104" s="1043"/>
      <c r="L104" s="1130" t="str">
        <f>'Points System'!H763</f>
        <v>(i)</v>
      </c>
      <c r="M104" s="2654" t="s">
        <v>1432</v>
      </c>
      <c r="N104" s="2655"/>
    </row>
    <row r="105" spans="2:14" ht="15" customHeight="1">
      <c r="C105" s="1077" t="s">
        <v>1964</v>
      </c>
      <c r="G105" s="1043" t="s">
        <v>544</v>
      </c>
    </row>
    <row r="106" spans="2:14" ht="15" customHeight="1">
      <c r="C106" s="1077" t="s">
        <v>2137</v>
      </c>
      <c r="G106" s="1043" t="s">
        <v>544</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187.05</v>
      </c>
    </row>
    <row r="112" spans="2:14" ht="15" customHeight="1">
      <c r="E112" s="1084" t="s">
        <v>1942</v>
      </c>
      <c r="F112" s="1113" t="s">
        <v>1990</v>
      </c>
      <c r="G112" s="1124">
        <v>25000</v>
      </c>
    </row>
    <row r="113" spans="2:9" ht="15" customHeight="1">
      <c r="E113" s="1118" t="s">
        <v>1961</v>
      </c>
      <c r="F113" s="1046"/>
      <c r="G113" s="1123">
        <f>G109*G112*G96</f>
        <v>4676250</v>
      </c>
    </row>
    <row r="114" spans="2:9" ht="15" customHeight="1">
      <c r="C114" s="1077"/>
      <c r="E114" s="1077"/>
    </row>
    <row r="115" spans="2:9" ht="15" customHeight="1">
      <c r="E115" s="1118" t="s">
        <v>2269</v>
      </c>
      <c r="G115" s="1123">
        <f>G113+G101+G97</f>
        <v>12906450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2224</v>
      </c>
      <c r="D119" s="2687"/>
      <c r="E119" s="2687"/>
      <c r="F119" s="2687"/>
    </row>
    <row r="120" spans="2:9" ht="15" customHeight="1">
      <c r="C120" s="2687"/>
      <c r="D120" s="2687"/>
      <c r="E120" s="2687"/>
      <c r="F120" s="2687"/>
      <c r="G120" s="1043" t="s">
        <v>544</v>
      </c>
    </row>
    <row r="121" spans="2:9" ht="15" customHeight="1"/>
    <row r="122" spans="2:9" ht="15" customHeight="1">
      <c r="C122" s="1044" t="s">
        <v>2226</v>
      </c>
      <c r="G122" s="2689" t="s">
        <v>2761</v>
      </c>
      <c r="H122" s="2689"/>
    </row>
    <row r="123" spans="2:9" ht="15" customHeight="1">
      <c r="G123" s="2689"/>
      <c r="H123" s="2689"/>
    </row>
    <row r="124" spans="2:9" ht="15" customHeight="1">
      <c r="G124" s="2690"/>
      <c r="H124" s="2690"/>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1998</v>
      </c>
      <c r="G131" s="1078">
        <f>MEDIAN((Application!CU160:CU217))</f>
        <v>489600</v>
      </c>
    </row>
    <row r="132" spans="2:9" ht="14.5">
      <c r="D132" s="1046"/>
      <c r="E132" s="1118" t="s">
        <v>2000</v>
      </c>
      <c r="F132" s="1134"/>
      <c r="G132" s="1135">
        <f>((G130-G131)/G131)*0.25</f>
        <v>8.6192810457516339E-2</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84" t="s">
        <v>2272</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4500000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089843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1796875" style="304" customWidth="1"/>
    <col min="12" max="17" width="15.7265625" style="304" customWidth="1"/>
    <col min="18" max="16384" width="9.08984375" style="304"/>
  </cols>
  <sheetData>
    <row r="1" spans="1:12">
      <c r="A1" s="2691" t="s">
        <v>907</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SRO/Studio</v>
      </c>
      <c r="B4" s="1082">
        <f>Application!G718</f>
        <v>20</v>
      </c>
      <c r="C4" s="1162"/>
      <c r="D4" s="428">
        <f>Application!O718</f>
        <v>768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1327</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1607</v>
      </c>
      <c r="E6" s="429"/>
      <c r="F6" s="1083"/>
      <c r="G6" s="428">
        <f t="shared" si="2"/>
        <v>0</v>
      </c>
      <c r="H6" s="429"/>
      <c r="I6" s="428" t="str">
        <f t="shared" si="0"/>
        <v/>
      </c>
      <c r="J6" s="428" t="str">
        <f t="shared" si="1"/>
        <v/>
      </c>
      <c r="K6" s="204"/>
      <c r="L6" s="305"/>
    </row>
    <row r="7" spans="1:12">
      <c r="A7" s="428" t="str">
        <f>Application!B721</f>
        <v>1 Bedroom</v>
      </c>
      <c r="B7" s="1082">
        <f>Application!G721</f>
        <v>8</v>
      </c>
      <c r="C7" s="1162"/>
      <c r="D7" s="428">
        <f>Application!O721</f>
        <v>814</v>
      </c>
      <c r="E7" s="429"/>
      <c r="F7" s="1083"/>
      <c r="G7" s="428">
        <f t="shared" si="2"/>
        <v>0</v>
      </c>
      <c r="H7" s="429"/>
      <c r="I7" s="428" t="str">
        <f t="shared" si="0"/>
        <v/>
      </c>
      <c r="J7" s="428" t="str">
        <f t="shared" si="1"/>
        <v/>
      </c>
      <c r="K7" s="204"/>
      <c r="L7" s="305"/>
    </row>
    <row r="8" spans="1:12">
      <c r="A8" s="428" t="str">
        <f>Application!B722</f>
        <v>1 Bedroom</v>
      </c>
      <c r="B8" s="1082">
        <f>Application!G722</f>
        <v>1</v>
      </c>
      <c r="C8" s="1162"/>
      <c r="D8" s="428">
        <f>Application!O722</f>
        <v>1413</v>
      </c>
      <c r="E8" s="429"/>
      <c r="F8" s="1083"/>
      <c r="G8" s="428">
        <f t="shared" si="2"/>
        <v>0</v>
      </c>
      <c r="H8" s="429"/>
      <c r="I8" s="428" t="str">
        <f t="shared" si="0"/>
        <v/>
      </c>
      <c r="J8" s="428" t="str">
        <f t="shared" si="1"/>
        <v/>
      </c>
      <c r="K8" s="204"/>
      <c r="L8" s="305"/>
    </row>
    <row r="9" spans="1:12">
      <c r="A9" s="428" t="str">
        <f>Application!B723</f>
        <v>1 Bedroom</v>
      </c>
      <c r="B9" s="1082">
        <f>Application!G723</f>
        <v>1</v>
      </c>
      <c r="C9" s="1162"/>
      <c r="D9" s="428">
        <f>Application!O723</f>
        <v>1713</v>
      </c>
      <c r="E9" s="429"/>
      <c r="F9" s="1083"/>
      <c r="G9" s="428">
        <f t="shared" si="2"/>
        <v>0</v>
      </c>
      <c r="H9" s="429"/>
      <c r="I9" s="428" t="str">
        <f t="shared" si="0"/>
        <v/>
      </c>
      <c r="J9" s="428" t="str">
        <f t="shared" si="1"/>
        <v/>
      </c>
      <c r="K9" s="204"/>
      <c r="L9" s="305"/>
    </row>
    <row r="10" spans="1:12">
      <c r="A10" s="428" t="str">
        <f>Application!B724</f>
        <v>2 Bedrooms</v>
      </c>
      <c r="B10" s="1082">
        <f>Application!G724</f>
        <v>33</v>
      </c>
      <c r="C10" s="1162"/>
      <c r="D10" s="428">
        <f>Application!O724</f>
        <v>959</v>
      </c>
      <c r="E10" s="429"/>
      <c r="F10" s="1083"/>
      <c r="G10" s="428">
        <f t="shared" si="2"/>
        <v>0</v>
      </c>
      <c r="H10" s="429"/>
      <c r="I10" s="428" t="str">
        <f t="shared" si="0"/>
        <v/>
      </c>
      <c r="J10" s="428" t="str">
        <f t="shared" si="1"/>
        <v/>
      </c>
      <c r="K10" s="204"/>
      <c r="L10" s="305"/>
    </row>
    <row r="11" spans="1:12">
      <c r="A11" s="428" t="str">
        <f>Application!B725</f>
        <v>2 Bedrooms</v>
      </c>
      <c r="B11" s="1082">
        <f>Application!G725</f>
        <v>27</v>
      </c>
      <c r="C11" s="1162"/>
      <c r="D11" s="428">
        <f>Application!O725</f>
        <v>1678</v>
      </c>
      <c r="E11" s="429"/>
      <c r="F11" s="1083"/>
      <c r="G11" s="428">
        <f t="shared" si="2"/>
        <v>0</v>
      </c>
      <c r="H11" s="429"/>
      <c r="I11" s="428" t="str">
        <f t="shared" si="0"/>
        <v/>
      </c>
      <c r="J11" s="428" t="str">
        <f t="shared" si="1"/>
        <v/>
      </c>
      <c r="K11" s="204"/>
      <c r="L11" s="305"/>
    </row>
    <row r="12" spans="1:12">
      <c r="A12" s="428" t="str">
        <f>Application!B726</f>
        <v>2 Bedrooms</v>
      </c>
      <c r="B12" s="1082">
        <f>Application!G726</f>
        <v>8</v>
      </c>
      <c r="C12" s="1162"/>
      <c r="D12" s="428">
        <f>Application!O726</f>
        <v>2038</v>
      </c>
      <c r="E12" s="429"/>
      <c r="F12" s="1083"/>
      <c r="G12" s="428">
        <f t="shared" si="2"/>
        <v>0</v>
      </c>
      <c r="H12" s="429"/>
      <c r="I12" s="428" t="str">
        <f t="shared" si="0"/>
        <v/>
      </c>
      <c r="J12" s="428" t="str">
        <f t="shared" si="1"/>
        <v/>
      </c>
      <c r="K12" s="204"/>
      <c r="L12" s="305"/>
    </row>
    <row r="13" spans="1:12">
      <c r="A13" s="428" t="str">
        <f>Application!B727</f>
        <v>3 Bedrooms</v>
      </c>
      <c r="B13" s="1082">
        <f>Application!G727</f>
        <v>13</v>
      </c>
      <c r="C13" s="1162"/>
      <c r="D13" s="428">
        <f>Application!O727</f>
        <v>1092</v>
      </c>
      <c r="E13" s="429"/>
      <c r="F13" s="1083"/>
      <c r="G13" s="428">
        <f t="shared" si="2"/>
        <v>0</v>
      </c>
      <c r="H13" s="429"/>
      <c r="I13" s="428" t="str">
        <f t="shared" si="0"/>
        <v/>
      </c>
      <c r="J13" s="428" t="str">
        <f t="shared" si="1"/>
        <v/>
      </c>
      <c r="K13" s="204"/>
      <c r="L13" s="305"/>
    </row>
    <row r="14" spans="1:12">
      <c r="A14" s="428" t="str">
        <f>Application!B728</f>
        <v>3 Bedrooms</v>
      </c>
      <c r="B14" s="1082">
        <f>Application!G728</f>
        <v>29</v>
      </c>
      <c r="C14" s="1162"/>
      <c r="D14" s="428">
        <f>Application!O728</f>
        <v>1923</v>
      </c>
      <c r="E14" s="429"/>
      <c r="F14" s="1083"/>
      <c r="G14" s="428">
        <f t="shared" si="2"/>
        <v>0</v>
      </c>
      <c r="H14" s="429"/>
      <c r="I14" s="428" t="str">
        <f t="shared" si="0"/>
        <v/>
      </c>
      <c r="J14" s="428" t="str">
        <f t="shared" si="1"/>
        <v/>
      </c>
      <c r="K14" s="204"/>
      <c r="L14" s="305"/>
    </row>
    <row r="15" spans="1:12">
      <c r="A15" s="428" t="str">
        <f>Application!B729</f>
        <v>3 Bedrooms</v>
      </c>
      <c r="B15" s="1082">
        <f>Application!G729</f>
        <v>7</v>
      </c>
      <c r="C15" s="1162"/>
      <c r="D15" s="428">
        <f>Application!O729</f>
        <v>2339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207525</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2" t="s">
        <v>2493</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2255</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3" zeroHeight="1"/>
  <cols>
    <col min="1" max="1" width="3.7265625" customWidth="1"/>
    <col min="2" max="2" width="30.54296875" customWidth="1"/>
    <col min="3" max="3" width="9.089843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2490300</v>
      </c>
      <c r="G4" s="219">
        <f>E4*$C$4</f>
        <v>2552557.5</v>
      </c>
      <c r="I4" s="219">
        <f>G4*$C$4</f>
        <v>2616371.4375</v>
      </c>
      <c r="K4" s="219">
        <f>I4*$C$4</f>
        <v>2681780.7234374997</v>
      </c>
      <c r="M4" s="219">
        <f>K4*$C$4</f>
        <v>2748825.2415234372</v>
      </c>
      <c r="O4" s="219">
        <f>M4*$C$4</f>
        <v>2817545.8725615228</v>
      </c>
      <c r="Q4" s="219">
        <f>O4*$C$4</f>
        <v>2887984.5193755608</v>
      </c>
      <c r="S4" s="219">
        <f>Q4*$C$4</f>
        <v>2960184.1323599494</v>
      </c>
      <c r="U4" s="219">
        <f>S4*$C$4</f>
        <v>3034188.7356689479</v>
      </c>
      <c r="W4" s="219">
        <f>U4*$C$4</f>
        <v>3110043.4540606714</v>
      </c>
      <c r="Y4" s="219">
        <f>W4*$C$4</f>
        <v>3187794.540412188</v>
      </c>
      <c r="AA4" s="219">
        <f>Y4*$C$4</f>
        <v>3267489.4039224926</v>
      </c>
      <c r="AC4" s="219">
        <f>AA4*$C$4</f>
        <v>3349176.6390205547</v>
      </c>
      <c r="AE4" s="219">
        <f>AC4*$C$4</f>
        <v>3432906.0549960681</v>
      </c>
      <c r="AG4" s="219">
        <f>AE4*$C$4</f>
        <v>3518728.7063709693</v>
      </c>
    </row>
    <row r="5" spans="1:34" s="210" customFormat="1" ht="14.25">
      <c r="B5" s="210" t="s">
        <v>836</v>
      </c>
      <c r="C5" s="238">
        <f>IF(Application!$D$211="Special Needs",(((0.1*Application!$T$212)+(0.05*(1-Application!$T$212)))),0.05)</f>
        <v>0.05</v>
      </c>
      <c r="E5" s="221">
        <f>-E4*$C$5</f>
        <v>-124515</v>
      </c>
      <c r="F5" s="221"/>
      <c r="G5" s="221">
        <f>-G4*$C$5</f>
        <v>-127627.875</v>
      </c>
      <c r="H5" s="221"/>
      <c r="I5" s="221">
        <f>-I4*$C$5</f>
        <v>-130818.57187500001</v>
      </c>
      <c r="J5" s="221"/>
      <c r="K5" s="221">
        <f>-K4*$C$5</f>
        <v>-134089.03617187499</v>
      </c>
      <c r="L5" s="221"/>
      <c r="M5" s="221">
        <f>-M4*$C$5</f>
        <v>-137441.26207617187</v>
      </c>
      <c r="N5" s="221"/>
      <c r="O5" s="221">
        <f>-O4*$C$5</f>
        <v>-140877.29362807615</v>
      </c>
      <c r="P5" s="221"/>
      <c r="Q5" s="221">
        <f>-Q4*$C$5</f>
        <v>-144399.22596877805</v>
      </c>
      <c r="R5" s="221"/>
      <c r="S5" s="221">
        <f>-S4*$C$5</f>
        <v>-148009.20661799746</v>
      </c>
      <c r="T5" s="221"/>
      <c r="U5" s="221">
        <f>-U4*$C$5</f>
        <v>-151709.4367834474</v>
      </c>
      <c r="V5" s="221"/>
      <c r="W5" s="221">
        <f>-W4*$C$5</f>
        <v>-155502.17270303358</v>
      </c>
      <c r="X5" s="221"/>
      <c r="Y5" s="221">
        <f>-Y4*$C$5</f>
        <v>-159389.72702060943</v>
      </c>
      <c r="Z5" s="221"/>
      <c r="AA5" s="221">
        <f>-AA4*$C$5</f>
        <v>-163374.47019612463</v>
      </c>
      <c r="AB5" s="221"/>
      <c r="AC5" s="221">
        <f>-AC4*$C$5</f>
        <v>-167458.83195102774</v>
      </c>
      <c r="AD5" s="221"/>
      <c r="AE5" s="221">
        <f>-AE4*$C$5</f>
        <v>-171645.30274980341</v>
      </c>
      <c r="AF5" s="221"/>
      <c r="AG5" s="221">
        <f>-AG4*$C$5</f>
        <v>-175936.43531854847</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22500</v>
      </c>
      <c r="F8" s="222"/>
      <c r="G8" s="222">
        <f>E8*$C$8</f>
        <v>23062.499999999996</v>
      </c>
      <c r="H8" s="222"/>
      <c r="I8" s="222">
        <f>G8*$C$8</f>
        <v>23639.062499999993</v>
      </c>
      <c r="J8" s="222"/>
      <c r="K8" s="222">
        <f>I8*$C$8</f>
        <v>24230.039062499989</v>
      </c>
      <c r="L8" s="222"/>
      <c r="M8" s="222">
        <f>K8*$C$8</f>
        <v>24835.790039062485</v>
      </c>
      <c r="N8" s="222"/>
      <c r="O8" s="222">
        <f>M8*$C$8</f>
        <v>25456.684790039046</v>
      </c>
      <c r="P8" s="222"/>
      <c r="Q8" s="222">
        <f>O8*$C$8</f>
        <v>26093.101909790021</v>
      </c>
      <c r="R8" s="222"/>
      <c r="S8" s="222">
        <f>Q8*$C$8</f>
        <v>26745.42945753477</v>
      </c>
      <c r="T8" s="222"/>
      <c r="U8" s="222">
        <f>S8*$C$8</f>
        <v>27414.065193973136</v>
      </c>
      <c r="V8" s="222"/>
      <c r="W8" s="222">
        <f>U8*$C$8</f>
        <v>28099.416823822463</v>
      </c>
      <c r="X8" s="222"/>
      <c r="Y8" s="222">
        <f>W8*$C$8</f>
        <v>28801.902244418023</v>
      </c>
      <c r="Z8" s="222"/>
      <c r="AA8" s="222">
        <f>Y8*$C$8</f>
        <v>29521.949800528469</v>
      </c>
      <c r="AB8" s="222"/>
      <c r="AC8" s="222">
        <f>AA8*$C$8</f>
        <v>30259.998545541679</v>
      </c>
      <c r="AD8" s="222"/>
      <c r="AE8" s="222">
        <f>AC8*$C$8</f>
        <v>31016.498509180219</v>
      </c>
      <c r="AF8" s="222"/>
      <c r="AG8" s="222">
        <f>AE8*$C$8</f>
        <v>31791.910971909721</v>
      </c>
    </row>
    <row r="9" spans="1:34" s="210" customFormat="1" ht="14.25">
      <c r="B9" s="210" t="s">
        <v>836</v>
      </c>
      <c r="C9" s="238">
        <f>IF(Application!$D$211="Special Needs",(((0.1*Application!$T$212)+(0.05*(1-Application!$T$212)))),0.05)</f>
        <v>0.05</v>
      </c>
      <c r="E9" s="221">
        <f>-E8*$C$9</f>
        <v>-1125</v>
      </c>
      <c r="F9" s="221"/>
      <c r="G9" s="221">
        <f>-G8*$C$9</f>
        <v>-1153.1249999999998</v>
      </c>
      <c r="H9" s="221"/>
      <c r="I9" s="221">
        <f>-I8*$C$9</f>
        <v>-1181.9531249999998</v>
      </c>
      <c r="J9" s="221"/>
      <c r="K9" s="221">
        <f>-K8*$C$9</f>
        <v>-1211.5019531249995</v>
      </c>
      <c r="L9" s="221"/>
      <c r="M9" s="221">
        <f>-M8*$C$9</f>
        <v>-1241.7895019531243</v>
      </c>
      <c r="N9" s="221"/>
      <c r="O9" s="221">
        <f>-O8*$C$9</f>
        <v>-1272.8342395019524</v>
      </c>
      <c r="P9" s="221"/>
      <c r="Q9" s="221">
        <f>-Q8*$C$9</f>
        <v>-1304.655095489501</v>
      </c>
      <c r="R9" s="221"/>
      <c r="S9" s="221">
        <f>-S8*$C$9</f>
        <v>-1337.2714728767387</v>
      </c>
      <c r="T9" s="221"/>
      <c r="U9" s="221">
        <f>-U8*$C$9</f>
        <v>-1370.7032596986569</v>
      </c>
      <c r="V9" s="221"/>
      <c r="W9" s="221">
        <f>-W8*$C$9</f>
        <v>-1404.9708411911233</v>
      </c>
      <c r="X9" s="221"/>
      <c r="Y9" s="221">
        <f>-Y8*$C$9</f>
        <v>-1440.0951122209012</v>
      </c>
      <c r="Z9" s="221"/>
      <c r="AA9" s="221">
        <f>-AA8*$C$9</f>
        <v>-1476.0974900264237</v>
      </c>
      <c r="AB9" s="221"/>
      <c r="AC9" s="221">
        <f>-AC8*$C$9</f>
        <v>-1512.999927277084</v>
      </c>
      <c r="AD9" s="221"/>
      <c r="AE9" s="221">
        <f>-AE8*$C$9</f>
        <v>-1550.824925459011</v>
      </c>
      <c r="AF9" s="221"/>
      <c r="AG9" s="221">
        <f>-AG8*$C$9</f>
        <v>-1589.5955485954862</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2387160</v>
      </c>
      <c r="G11" s="223">
        <f>SUM(G4:G10)</f>
        <v>2446839</v>
      </c>
      <c r="I11" s="223">
        <f>SUM(I4:I10)</f>
        <v>2508009.9750000001</v>
      </c>
      <c r="K11" s="223">
        <f>SUM(K4:K10)</f>
        <v>2570710.2243749998</v>
      </c>
      <c r="M11" s="223">
        <f>SUM(M4:M10)</f>
        <v>2634977.9799843747</v>
      </c>
      <c r="O11" s="223">
        <f>SUM(O4:O10)</f>
        <v>2700852.4294839837</v>
      </c>
      <c r="Q11" s="223">
        <f>SUM(Q4:Q10)</f>
        <v>2768373.7402210832</v>
      </c>
      <c r="S11" s="223">
        <f>SUM(S4:S10)</f>
        <v>2837583.0837266096</v>
      </c>
      <c r="U11" s="223">
        <f>SUM(U4:U10)</f>
        <v>2908522.660819775</v>
      </c>
      <c r="W11" s="223">
        <f>SUM(W4:W10)</f>
        <v>2981235.7273402689</v>
      </c>
      <c r="Y11" s="223">
        <f>SUM(Y4:Y10)</f>
        <v>3055766.6205237755</v>
      </c>
      <c r="AA11" s="223">
        <f>SUM(AA4:AA10)</f>
        <v>3132160.78603687</v>
      </c>
      <c r="AC11" s="223">
        <f>SUM(AC4:AC10)</f>
        <v>3210464.8056877917</v>
      </c>
      <c r="AE11" s="223">
        <f>SUM(AE4:AE10)</f>
        <v>3290726.4258299861</v>
      </c>
      <c r="AG11" s="223">
        <f>SUM(AG4:AG10)</f>
        <v>3372994.5864757355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28999</v>
      </c>
      <c r="G15" s="219">
        <f>E15*$C$14</f>
        <v>30013.964999999997</v>
      </c>
      <c r="I15" s="219">
        <f>G15*$C$14</f>
        <v>31064.453774999994</v>
      </c>
      <c r="K15" s="219">
        <f>I15*$C$14</f>
        <v>32151.709657124993</v>
      </c>
      <c r="M15" s="219">
        <f>K15*$C$14</f>
        <v>33277.019495124368</v>
      </c>
      <c r="O15" s="219">
        <f>M15*$C$14</f>
        <v>34441.71517745372</v>
      </c>
      <c r="Q15" s="219">
        <f>O15*$C$14</f>
        <v>35647.175208664594</v>
      </c>
      <c r="S15" s="219">
        <f>Q15*$C$14</f>
        <v>36894.826340967855</v>
      </c>
      <c r="U15" s="219">
        <f>S15*$C$14</f>
        <v>38186.145262901729</v>
      </c>
      <c r="W15" s="219">
        <f>U15*$C$14</f>
        <v>39522.660347103287</v>
      </c>
      <c r="Y15" s="219">
        <f>W15*$C$14</f>
        <v>40905.953459251898</v>
      </c>
      <c r="AA15" s="219">
        <f>Y15*$C$14</f>
        <v>42337.661830325713</v>
      </c>
      <c r="AC15" s="219">
        <f>AA15*$C$14</f>
        <v>43819.479994387111</v>
      </c>
      <c r="AE15" s="219">
        <f>AC15*$C$14</f>
        <v>45353.161794190659</v>
      </c>
      <c r="AG15" s="219">
        <f>AE15*$C$14</f>
        <v>46940.522456987332</v>
      </c>
    </row>
    <row r="16" spans="1:34" s="210" customFormat="1" ht="14.25">
      <c r="A16" s="210" t="s">
        <v>343</v>
      </c>
      <c r="C16" s="233"/>
      <c r="E16" s="222">
        <f>Application!W849</f>
        <v>94600</v>
      </c>
      <c r="F16" s="222"/>
      <c r="G16" s="222">
        <f t="shared" ref="G16:AG21" si="0">E16*$C$14</f>
        <v>97910.999999999985</v>
      </c>
      <c r="H16" s="222"/>
      <c r="I16" s="222">
        <f t="shared" si="0"/>
        <v>101337.88499999998</v>
      </c>
      <c r="J16" s="222"/>
      <c r="K16" s="222">
        <f t="shared" si="0"/>
        <v>104884.71097499997</v>
      </c>
      <c r="L16" s="222"/>
      <c r="M16" s="222">
        <f t="shared" si="0"/>
        <v>108555.67585912495</v>
      </c>
      <c r="N16" s="222"/>
      <c r="O16" s="222">
        <f t="shared" si="0"/>
        <v>112355.12451419432</v>
      </c>
      <c r="P16" s="222"/>
      <c r="Q16" s="222">
        <f t="shared" si="0"/>
        <v>116287.55387219111</v>
      </c>
      <c r="R16" s="222"/>
      <c r="S16" s="222">
        <f t="shared" si="0"/>
        <v>120357.6182577178</v>
      </c>
      <c r="T16" s="222"/>
      <c r="U16" s="222">
        <f t="shared" si="0"/>
        <v>124570.13489673792</v>
      </c>
      <c r="V16" s="222"/>
      <c r="W16" s="222">
        <f t="shared" si="0"/>
        <v>128930.08961812373</v>
      </c>
      <c r="X16" s="222"/>
      <c r="Y16" s="222">
        <f t="shared" si="0"/>
        <v>133442.64275475807</v>
      </c>
      <c r="Z16" s="222"/>
      <c r="AA16" s="222">
        <f t="shared" si="0"/>
        <v>138113.13525117459</v>
      </c>
      <c r="AB16" s="222"/>
      <c r="AC16" s="222">
        <f t="shared" si="0"/>
        <v>142947.09498496569</v>
      </c>
      <c r="AD16" s="222"/>
      <c r="AE16" s="222">
        <f t="shared" si="0"/>
        <v>147950.24330943948</v>
      </c>
      <c r="AF16" s="222"/>
      <c r="AG16" s="222">
        <f t="shared" si="0"/>
        <v>153128.50182526984</v>
      </c>
    </row>
    <row r="17" spans="1:33" s="210" customFormat="1" ht="14.25">
      <c r="A17" s="210" t="s">
        <v>560</v>
      </c>
      <c r="C17" s="233"/>
      <c r="E17" s="222">
        <f>Application!W855</f>
        <v>261600</v>
      </c>
      <c r="F17" s="222"/>
      <c r="G17" s="222">
        <f t="shared" si="0"/>
        <v>270756</v>
      </c>
      <c r="H17" s="222"/>
      <c r="I17" s="222">
        <f t="shared" si="0"/>
        <v>280232.45999999996</v>
      </c>
      <c r="J17" s="222"/>
      <c r="K17" s="222">
        <f t="shared" si="0"/>
        <v>290040.59609999997</v>
      </c>
      <c r="L17" s="222"/>
      <c r="M17" s="222">
        <f t="shared" si="0"/>
        <v>300192.01696349995</v>
      </c>
      <c r="N17" s="222"/>
      <c r="O17" s="222">
        <f t="shared" si="0"/>
        <v>310698.73755722243</v>
      </c>
      <c r="P17" s="222"/>
      <c r="Q17" s="222">
        <f t="shared" si="0"/>
        <v>321573.19337172521</v>
      </c>
      <c r="R17" s="222"/>
      <c r="S17" s="222">
        <f t="shared" si="0"/>
        <v>332828.25513973559</v>
      </c>
      <c r="T17" s="222"/>
      <c r="U17" s="222">
        <f t="shared" si="0"/>
        <v>344477.24406962632</v>
      </c>
      <c r="V17" s="222"/>
      <c r="W17" s="222">
        <f t="shared" si="0"/>
        <v>356533.9476120632</v>
      </c>
      <c r="X17" s="222"/>
      <c r="Y17" s="222">
        <f t="shared" si="0"/>
        <v>369012.63577848539</v>
      </c>
      <c r="Z17" s="222"/>
      <c r="AA17" s="222">
        <f t="shared" si="0"/>
        <v>381928.07803073234</v>
      </c>
      <c r="AB17" s="222"/>
      <c r="AC17" s="222">
        <f t="shared" si="0"/>
        <v>395295.56076180795</v>
      </c>
      <c r="AD17" s="222"/>
      <c r="AE17" s="222">
        <f t="shared" si="0"/>
        <v>409130.9053884712</v>
      </c>
      <c r="AF17" s="222"/>
      <c r="AG17" s="222">
        <f t="shared" si="0"/>
        <v>423450.48707706766</v>
      </c>
    </row>
    <row r="18" spans="1:33" s="210" customFormat="1" ht="14.25">
      <c r="A18" s="210" t="s">
        <v>840</v>
      </c>
      <c r="C18" s="233"/>
      <c r="E18" s="222">
        <f>Application!W862</f>
        <v>203000</v>
      </c>
      <c r="F18" s="222"/>
      <c r="G18" s="222">
        <f t="shared" si="0"/>
        <v>210104.99999999997</v>
      </c>
      <c r="H18" s="222"/>
      <c r="I18" s="222">
        <f t="shared" si="0"/>
        <v>217458.67499999996</v>
      </c>
      <c r="J18" s="222"/>
      <c r="K18" s="222">
        <f t="shared" si="0"/>
        <v>225069.72862499993</v>
      </c>
      <c r="L18" s="222"/>
      <c r="M18" s="222">
        <f t="shared" si="0"/>
        <v>232947.16912687491</v>
      </c>
      <c r="N18" s="222"/>
      <c r="O18" s="222">
        <f t="shared" si="0"/>
        <v>241100.32004631552</v>
      </c>
      <c r="P18" s="222"/>
      <c r="Q18" s="222">
        <f t="shared" si="0"/>
        <v>249538.83124793656</v>
      </c>
      <c r="R18" s="222"/>
      <c r="S18" s="222">
        <f t="shared" si="0"/>
        <v>258272.6903416143</v>
      </c>
      <c r="T18" s="222"/>
      <c r="U18" s="222">
        <f t="shared" si="0"/>
        <v>267312.23450357077</v>
      </c>
      <c r="V18" s="222"/>
      <c r="W18" s="222">
        <f t="shared" si="0"/>
        <v>276668.16271119571</v>
      </c>
      <c r="X18" s="222"/>
      <c r="Y18" s="222">
        <f t="shared" si="0"/>
        <v>286351.54840608756</v>
      </c>
      <c r="Z18" s="222"/>
      <c r="AA18" s="222">
        <f t="shared" si="0"/>
        <v>296373.85260030063</v>
      </c>
      <c r="AB18" s="222"/>
      <c r="AC18" s="222">
        <f t="shared" si="0"/>
        <v>306746.93744131114</v>
      </c>
      <c r="AD18" s="222"/>
      <c r="AE18" s="222">
        <f t="shared" si="0"/>
        <v>317483.080251757</v>
      </c>
      <c r="AF18" s="222"/>
      <c r="AG18" s="222">
        <f t="shared" si="0"/>
        <v>328594.98806056846</v>
      </c>
    </row>
    <row r="19" spans="1:33" s="210" customFormat="1" ht="14.25">
      <c r="A19" s="210" t="s">
        <v>155</v>
      </c>
      <c r="C19" s="233"/>
      <c r="E19" s="222">
        <f>Application!W863</f>
        <v>67500</v>
      </c>
      <c r="F19" s="222"/>
      <c r="G19" s="222">
        <f t="shared" si="0"/>
        <v>69862.5</v>
      </c>
      <c r="H19" s="222"/>
      <c r="I19" s="222">
        <f t="shared" si="0"/>
        <v>72307.6875</v>
      </c>
      <c r="J19" s="222"/>
      <c r="K19" s="222">
        <f t="shared" si="0"/>
        <v>74838.456562499996</v>
      </c>
      <c r="L19" s="222"/>
      <c r="M19" s="222">
        <f t="shared" si="0"/>
        <v>77457.802542187492</v>
      </c>
      <c r="N19" s="222"/>
      <c r="O19" s="222">
        <f t="shared" si="0"/>
        <v>80168.825631164043</v>
      </c>
      <c r="P19" s="222"/>
      <c r="Q19" s="222">
        <f t="shared" si="0"/>
        <v>82974.734528254776</v>
      </c>
      <c r="R19" s="222"/>
      <c r="S19" s="222">
        <f t="shared" si="0"/>
        <v>85878.850236743689</v>
      </c>
      <c r="T19" s="222"/>
      <c r="U19" s="222">
        <f t="shared" si="0"/>
        <v>88884.609995029707</v>
      </c>
      <c r="V19" s="222"/>
      <c r="W19" s="222">
        <f t="shared" si="0"/>
        <v>91995.571344855736</v>
      </c>
      <c r="X19" s="222"/>
      <c r="Y19" s="222">
        <f t="shared" si="0"/>
        <v>95215.41634192568</v>
      </c>
      <c r="Z19" s="222"/>
      <c r="AA19" s="222">
        <f t="shared" si="0"/>
        <v>98547.955913893078</v>
      </c>
      <c r="AB19" s="222"/>
      <c r="AC19" s="222">
        <f t="shared" si="0"/>
        <v>101997.13437087933</v>
      </c>
      <c r="AD19" s="222"/>
      <c r="AE19" s="222">
        <f t="shared" si="0"/>
        <v>105567.03407386009</v>
      </c>
      <c r="AF19" s="222"/>
      <c r="AG19" s="222">
        <f t="shared" si="0"/>
        <v>109261.88026644519</v>
      </c>
    </row>
    <row r="20" spans="1:33" s="210" customFormat="1" ht="14.25">
      <c r="A20" s="210" t="s">
        <v>389</v>
      </c>
      <c r="C20" s="233"/>
      <c r="E20" s="222">
        <f>Application!W872</f>
        <v>367500</v>
      </c>
      <c r="F20" s="222"/>
      <c r="G20" s="222">
        <f t="shared" si="0"/>
        <v>380362.49999999994</v>
      </c>
      <c r="H20" s="222"/>
      <c r="I20" s="222">
        <f t="shared" si="0"/>
        <v>393675.18749999988</v>
      </c>
      <c r="J20" s="222"/>
      <c r="K20" s="222">
        <f t="shared" si="0"/>
        <v>407453.81906249985</v>
      </c>
      <c r="L20" s="222"/>
      <c r="M20" s="222">
        <f t="shared" si="0"/>
        <v>421714.70272968733</v>
      </c>
      <c r="N20" s="222"/>
      <c r="O20" s="222">
        <f t="shared" si="0"/>
        <v>436474.71732522635</v>
      </c>
      <c r="P20" s="222"/>
      <c r="Q20" s="222">
        <f t="shared" si="0"/>
        <v>451751.33243160922</v>
      </c>
      <c r="R20" s="222"/>
      <c r="S20" s="222">
        <f t="shared" si="0"/>
        <v>467562.62906671548</v>
      </c>
      <c r="T20" s="222"/>
      <c r="U20" s="222">
        <f t="shared" si="0"/>
        <v>483927.32108405046</v>
      </c>
      <c r="V20" s="222"/>
      <c r="W20" s="222">
        <f t="shared" si="0"/>
        <v>500864.77732199221</v>
      </c>
      <c r="X20" s="222"/>
      <c r="Y20" s="222">
        <f t="shared" si="0"/>
        <v>518395.04452826187</v>
      </c>
      <c r="Z20" s="222"/>
      <c r="AA20" s="222">
        <f t="shared" si="0"/>
        <v>536538.87108675099</v>
      </c>
      <c r="AB20" s="222"/>
      <c r="AC20" s="222">
        <f t="shared" si="0"/>
        <v>555317.73157478729</v>
      </c>
      <c r="AD20" s="222"/>
      <c r="AE20" s="222">
        <f t="shared" si="0"/>
        <v>574753.85217990482</v>
      </c>
      <c r="AF20" s="222"/>
      <c r="AG20" s="222">
        <f t="shared" si="0"/>
        <v>594870.23700620141</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1023199</v>
      </c>
      <c r="G22" s="223">
        <f>SUM(G15:G21)</f>
        <v>1059010.9649999999</v>
      </c>
      <c r="I22" s="223">
        <f>SUM(I15:I21)</f>
        <v>1096076.3487749998</v>
      </c>
      <c r="K22" s="223">
        <f>SUM(K15:K21)</f>
        <v>1134439.0209821246</v>
      </c>
      <c r="M22" s="223">
        <f>SUM(M15:M21)</f>
        <v>1174144.386716499</v>
      </c>
      <c r="O22" s="223">
        <f>SUM(O15:O21)</f>
        <v>1215239.4402515762</v>
      </c>
      <c r="Q22" s="223">
        <f>SUM(Q15:Q21)</f>
        <v>1257772.8206603816</v>
      </c>
      <c r="S22" s="223">
        <f>SUM(S15:S21)</f>
        <v>1301794.8693834948</v>
      </c>
      <c r="U22" s="223">
        <f>SUM(U15:U21)</f>
        <v>1347357.689811917</v>
      </c>
      <c r="W22" s="223">
        <f>SUM(W15:W21)</f>
        <v>1394515.2089553338</v>
      </c>
      <c r="Y22" s="223">
        <f>SUM(Y15:Y21)</f>
        <v>1443323.2412687703</v>
      </c>
      <c r="AA22" s="223">
        <f>SUM(AA15:AA21)</f>
        <v>1493839.5547131773</v>
      </c>
      <c r="AC22" s="223">
        <f>SUM(AC15:AC21)</f>
        <v>1546123.9391281384</v>
      </c>
      <c r="AE22" s="223">
        <f>SUM(AE15:AE21)</f>
        <v>1600238.2769976235</v>
      </c>
      <c r="AG22" s="223">
        <f>SUM(AG15:AG21)</f>
        <v>1656246.6166925398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7">
        <v>1.02</v>
      </c>
      <c r="E24" s="910">
        <v>1</v>
      </c>
      <c r="F24" s="222"/>
      <c r="G24" s="222">
        <f>E24*$C$24</f>
        <v>1.02</v>
      </c>
      <c r="H24" s="222"/>
      <c r="I24" s="222">
        <f>G24*$C$24</f>
        <v>1.0404</v>
      </c>
      <c r="J24" s="222"/>
      <c r="K24" s="222">
        <f>I24*$C$24</f>
        <v>1.0612079999999999</v>
      </c>
      <c r="L24" s="222"/>
      <c r="M24" s="222">
        <f>K24*$C$24</f>
        <v>1.08243216</v>
      </c>
      <c r="N24" s="222"/>
      <c r="O24" s="222">
        <f>M24*$C$24</f>
        <v>1.1040808032</v>
      </c>
      <c r="P24" s="222"/>
      <c r="Q24" s="222">
        <f>O24*$C$24</f>
        <v>1.1261624192640001</v>
      </c>
      <c r="R24" s="222"/>
      <c r="S24" s="222">
        <f>Q24*$C$24</f>
        <v>1.14868566764928</v>
      </c>
      <c r="T24" s="222"/>
      <c r="U24" s="222">
        <f>S24*$C$24</f>
        <v>1.1716593810022657</v>
      </c>
      <c r="V24" s="222"/>
      <c r="W24" s="222">
        <f>U24*$C$24</f>
        <v>1.1950925686223111</v>
      </c>
      <c r="X24" s="222"/>
      <c r="Y24" s="222">
        <f>W24*$C$24</f>
        <v>1.2189944199947573</v>
      </c>
      <c r="Z24" s="222"/>
      <c r="AA24" s="222">
        <f>Y24*$C$24</f>
        <v>1.2433743083946525</v>
      </c>
      <c r="AB24" s="222"/>
      <c r="AC24" s="222">
        <f>AA24*$C$24</f>
        <v>1.2682417945625455</v>
      </c>
      <c r="AD24" s="222"/>
      <c r="AE24" s="222">
        <f>AC24*$C$24</f>
        <v>1.2936066304537963</v>
      </c>
      <c r="AF24" s="222"/>
      <c r="AG24" s="222">
        <f>AE24*$C$24</f>
        <v>1.3194787630628724</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844</v>
      </c>
      <c r="C28" s="237"/>
      <c r="E28" s="222">
        <f>Application!AC889</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4.25">
      <c r="A29" s="210" t="s">
        <v>1678</v>
      </c>
      <c r="C29" s="237"/>
      <c r="E29" s="222">
        <f>Application!AC890</f>
        <v>20000</v>
      </c>
      <c r="F29" s="222"/>
      <c r="G29" s="222">
        <f>$E$29</f>
        <v>20000</v>
      </c>
      <c r="H29" s="222"/>
      <c r="I29" s="222">
        <f>$E$29</f>
        <v>20000</v>
      </c>
      <c r="J29" s="222"/>
      <c r="K29" s="222">
        <f>$E$29</f>
        <v>20000</v>
      </c>
      <c r="L29" s="222"/>
      <c r="M29" s="222">
        <f>$E$29</f>
        <v>20000</v>
      </c>
      <c r="N29" s="222"/>
      <c r="O29" s="222">
        <f>$E$29</f>
        <v>20000</v>
      </c>
      <c r="P29" s="222"/>
      <c r="Q29" s="222">
        <f>$E$29</f>
        <v>20000</v>
      </c>
      <c r="R29" s="222"/>
      <c r="S29" s="222">
        <f>$E$29</f>
        <v>20000</v>
      </c>
      <c r="T29" s="222"/>
      <c r="U29" s="222">
        <f>$E$29</f>
        <v>20000</v>
      </c>
      <c r="V29" s="222"/>
      <c r="W29" s="222">
        <f>$E$29</f>
        <v>20000</v>
      </c>
      <c r="X29" s="222"/>
      <c r="Y29" s="222">
        <f>$E$29</f>
        <v>20000</v>
      </c>
      <c r="Z29" s="222"/>
      <c r="AA29" s="222">
        <f>$E$29</f>
        <v>20000</v>
      </c>
      <c r="AB29" s="222"/>
      <c r="AC29" s="222">
        <f>$E$29</f>
        <v>20000</v>
      </c>
      <c r="AD29" s="222"/>
      <c r="AE29" s="222">
        <f>$E$29</f>
        <v>20000</v>
      </c>
      <c r="AF29" s="222"/>
      <c r="AG29" s="222">
        <f>$E$29</f>
        <v>20000</v>
      </c>
    </row>
    <row r="30" spans="1:33" s="210" customFormat="1" ht="14.25">
      <c r="A30" s="210" t="s">
        <v>842</v>
      </c>
      <c r="C30" s="237">
        <v>1.02</v>
      </c>
      <c r="E30" s="222">
        <f>Application!AC891</f>
        <v>15050</v>
      </c>
      <c r="F30" s="222"/>
      <c r="G30" s="222">
        <f>E30*$C$30</f>
        <v>15351</v>
      </c>
      <c r="H30" s="222"/>
      <c r="I30" s="222">
        <f>G30*$C$30</f>
        <v>15658.02</v>
      </c>
      <c r="J30" s="222"/>
      <c r="K30" s="222">
        <f>I30*$C$30</f>
        <v>15971.180400000001</v>
      </c>
      <c r="L30" s="222"/>
      <c r="M30" s="222">
        <f>K30*$C$30</f>
        <v>16290.604008000002</v>
      </c>
      <c r="N30" s="222"/>
      <c r="O30" s="222">
        <f>M30*$C$30</f>
        <v>16616.416088160004</v>
      </c>
      <c r="P30" s="222"/>
      <c r="Q30" s="222">
        <f>O30*$C$30</f>
        <v>16948.744409923205</v>
      </c>
      <c r="R30" s="222"/>
      <c r="S30" s="222">
        <f>Q30*$C$30</f>
        <v>17287.719298121669</v>
      </c>
      <c r="T30" s="222"/>
      <c r="U30" s="222">
        <f>S30*$C$30</f>
        <v>17633.473684084103</v>
      </c>
      <c r="V30" s="222"/>
      <c r="W30" s="222">
        <f>U30*$C$30</f>
        <v>17986.143157765786</v>
      </c>
      <c r="X30" s="222"/>
      <c r="Y30" s="222">
        <f>W30*$C$30</f>
        <v>18345.866020921101</v>
      </c>
      <c r="Z30" s="222"/>
      <c r="AA30" s="222">
        <f>Y30*$C$30</f>
        <v>18712.783341339524</v>
      </c>
      <c r="AB30" s="222"/>
      <c r="AC30" s="222">
        <f>AA30*$C$30</f>
        <v>19087.039008166314</v>
      </c>
      <c r="AD30" s="222"/>
      <c r="AE30" s="222">
        <f>AC30*$C$30</f>
        <v>19468.779788329641</v>
      </c>
      <c r="AF30" s="222"/>
      <c r="AG30" s="222">
        <f>AE30*$C$30</f>
        <v>19858.155384096233</v>
      </c>
    </row>
    <row r="31" spans="1:33" s="210" customFormat="1" ht="14.25">
      <c r="A31" s="210" t="s">
        <v>1679</v>
      </c>
      <c r="C31" s="237">
        <v>1.02</v>
      </c>
      <c r="E31" s="222">
        <f>Application!AC893</f>
        <v>146000</v>
      </c>
      <c r="F31" s="222"/>
      <c r="G31" s="222">
        <f>E31*$C$31</f>
        <v>148920</v>
      </c>
      <c r="H31" s="222"/>
      <c r="I31" s="222">
        <f>G31*$C$31</f>
        <v>151898.4</v>
      </c>
      <c r="J31" s="222"/>
      <c r="K31" s="222">
        <f>I31*$C$31</f>
        <v>154936.36799999999</v>
      </c>
      <c r="L31" s="222"/>
      <c r="M31" s="222">
        <f>K31*$C$31</f>
        <v>158035.09535999998</v>
      </c>
      <c r="N31" s="222"/>
      <c r="O31" s="222">
        <f>M31*$C$31</f>
        <v>161195.79726719999</v>
      </c>
      <c r="P31" s="222"/>
      <c r="Q31" s="222">
        <f>O31*$C$31</f>
        <v>164419.71321254398</v>
      </c>
      <c r="R31" s="222"/>
      <c r="S31" s="222">
        <f>Q31*$C$31</f>
        <v>167708.10747679486</v>
      </c>
      <c r="T31" s="222"/>
      <c r="U31" s="222">
        <f>S31*$C$31</f>
        <v>171062.26962633076</v>
      </c>
      <c r="V31" s="222"/>
      <c r="W31" s="222">
        <f>U31*$C$31</f>
        <v>174483.51501885738</v>
      </c>
      <c r="X31" s="222"/>
      <c r="Y31" s="222">
        <f>W31*$C$31</f>
        <v>177973.18531923453</v>
      </c>
      <c r="Z31" s="222"/>
      <c r="AA31" s="222">
        <f>Y31*$C$31</f>
        <v>181532.64902561923</v>
      </c>
      <c r="AB31" s="222"/>
      <c r="AC31" s="222">
        <f>AA31*$C$31</f>
        <v>185163.30200613162</v>
      </c>
      <c r="AD31" s="222"/>
      <c r="AE31" s="222">
        <f>AC31*$C$31</f>
        <v>188866.56804625425</v>
      </c>
      <c r="AF31" s="222"/>
      <c r="AG31" s="222">
        <f>AE31*$C$31</f>
        <v>192643.89940717933</v>
      </c>
    </row>
    <row r="32" spans="1:33" s="210" customFormat="1" ht="14.25">
      <c r="A32" s="210" t="str">
        <f>Application!C894</f>
        <v>Annual Issuer &amp; Trustee Fees:</v>
      </c>
      <c r="C32" s="316">
        <v>1</v>
      </c>
      <c r="E32" s="222">
        <f>Application!AC894</f>
        <v>5750</v>
      </c>
      <c r="F32" s="222"/>
      <c r="G32" s="222">
        <f>E32*$C$32</f>
        <v>5750</v>
      </c>
      <c r="H32" s="222"/>
      <c r="I32" s="222">
        <f>G32*$C$32</f>
        <v>5750</v>
      </c>
      <c r="J32" s="222"/>
      <c r="K32" s="222">
        <f>I32*$C$32</f>
        <v>5750</v>
      </c>
      <c r="L32" s="222"/>
      <c r="M32" s="222">
        <f>K32*$C$32</f>
        <v>5750</v>
      </c>
      <c r="N32" s="222"/>
      <c r="O32" s="222">
        <f>M32*$C$32</f>
        <v>5750</v>
      </c>
      <c r="P32" s="222"/>
      <c r="Q32" s="222">
        <f>O32*$C$32</f>
        <v>5750</v>
      </c>
      <c r="R32" s="222"/>
      <c r="S32" s="222">
        <f>Q32*$C$32</f>
        <v>5750</v>
      </c>
      <c r="T32" s="222"/>
      <c r="U32" s="222">
        <f>S32*$C$32</f>
        <v>5750</v>
      </c>
      <c r="V32" s="222"/>
      <c r="W32" s="222">
        <f>U32*$C$32</f>
        <v>5750</v>
      </c>
      <c r="X32" s="222"/>
      <c r="Y32" s="222">
        <f>W32*$C$32</f>
        <v>5750</v>
      </c>
      <c r="Z32" s="222"/>
      <c r="AA32" s="222">
        <f>Y32*$C$32</f>
        <v>5750</v>
      </c>
      <c r="AB32" s="222"/>
      <c r="AC32" s="222">
        <f>AA32*$C$32</f>
        <v>5750</v>
      </c>
      <c r="AD32" s="222"/>
      <c r="AE32" s="222">
        <f>AC32*$C$32</f>
        <v>5750</v>
      </c>
      <c r="AF32" s="222"/>
      <c r="AG32" s="222">
        <f>AE32*$C$32</f>
        <v>5750</v>
      </c>
    </row>
    <row r="33" spans="1:33" s="210" customFormat="1" ht="14.25">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1305000</v>
      </c>
      <c r="G35" s="223">
        <f>SUM(G22:G33)</f>
        <v>1344732.9849999999</v>
      </c>
      <c r="I35" s="223">
        <f>SUM(I22:I33)</f>
        <v>1385808.3091749998</v>
      </c>
      <c r="K35" s="223">
        <f>SUM(K22:K33)</f>
        <v>1428271.9880901244</v>
      </c>
      <c r="M35" s="223">
        <f>SUM(M22:M33)</f>
        <v>1472171.6285291589</v>
      </c>
      <c r="O35" s="223">
        <f>SUM(O22:O33)</f>
        <v>1517556.4838006769</v>
      </c>
      <c r="Q35" s="223">
        <f>SUM(Q22:Q33)</f>
        <v>1564477.5109721585</v>
      </c>
      <c r="S35" s="223">
        <f>SUM(S22:S33)</f>
        <v>1612987.4300994105</v>
      </c>
      <c r="U35" s="223">
        <f>SUM(U22:U33)</f>
        <v>1663140.7855209808</v>
      </c>
      <c r="W35" s="223">
        <f>SUM(W22:W33)</f>
        <v>1714994.0092896679</v>
      </c>
      <c r="Y35" s="223">
        <f>SUM(Y22:Y33)</f>
        <v>1768605.4868157685</v>
      </c>
      <c r="AA35" s="223">
        <f>SUM(AA22:AA33)</f>
        <v>1824035.6247993016</v>
      </c>
      <c r="AC35" s="223">
        <f>SUM(AC22:AC33)</f>
        <v>1881346.921531158</v>
      </c>
      <c r="AE35" s="223">
        <f>SUM(AE22:AE33)</f>
        <v>1940604.0396459077</v>
      </c>
      <c r="AG35" s="223">
        <f>SUM(AG22:AG33)</f>
        <v>2001873.8814118956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1082160</v>
      </c>
      <c r="G37" s="223">
        <f>G11-G35</f>
        <v>1102106.0150000001</v>
      </c>
      <c r="I37" s="223">
        <f>I11-I35</f>
        <v>1122201.6658250003</v>
      </c>
      <c r="K37" s="223">
        <f>K11-K35</f>
        <v>1142438.2362848753</v>
      </c>
      <c r="M37" s="223">
        <f>M11-M35</f>
        <v>1162806.3514552158</v>
      </c>
      <c r="O37" s="223">
        <f>O11-O35</f>
        <v>1183295.9456833068</v>
      </c>
      <c r="Q37" s="223">
        <f>Q11-Q35</f>
        <v>1203896.2292489246</v>
      </c>
      <c r="S37" s="223">
        <f>S11-S35</f>
        <v>1224595.6536271991</v>
      </c>
      <c r="U37" s="223">
        <f>U11-U35</f>
        <v>1245381.8752987941</v>
      </c>
      <c r="W37" s="223">
        <f>W11-W35</f>
        <v>1266241.718050601</v>
      </c>
      <c r="Y37" s="223">
        <f>Y11-Y35</f>
        <v>1287161.1337080069</v>
      </c>
      <c r="AA37" s="223">
        <f>AA11-AA35</f>
        <v>1308125.1612375684</v>
      </c>
      <c r="AC37" s="223">
        <f>AC11-AC35</f>
        <v>1329117.8841566336</v>
      </c>
      <c r="AE37" s="223">
        <f>AE11-AE35</f>
        <v>1350122.3861840784</v>
      </c>
      <c r="AG37" s="223">
        <f>AG11-AG35</f>
        <v>1371120.7050638399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783480</v>
      </c>
      <c r="F40" s="222"/>
      <c r="G40" s="222">
        <f>$E$40</f>
        <v>783480</v>
      </c>
      <c r="H40" s="222"/>
      <c r="I40" s="222">
        <f>$E$40</f>
        <v>783480</v>
      </c>
      <c r="J40" s="222"/>
      <c r="K40" s="222">
        <f>$E$40</f>
        <v>783480</v>
      </c>
      <c r="L40" s="222"/>
      <c r="M40" s="222">
        <f>$E$40</f>
        <v>783480</v>
      </c>
      <c r="N40" s="222"/>
      <c r="O40" s="222">
        <f>$E$40</f>
        <v>783480</v>
      </c>
      <c r="P40" s="222"/>
      <c r="Q40" s="222">
        <f>$E$40</f>
        <v>783480</v>
      </c>
      <c r="R40" s="222"/>
      <c r="S40" s="222">
        <f>$E$40</f>
        <v>783480</v>
      </c>
      <c r="T40" s="222"/>
      <c r="U40" s="222">
        <f>$E$40</f>
        <v>783480</v>
      </c>
      <c r="V40" s="222"/>
      <c r="W40" s="222">
        <f>$E$40</f>
        <v>783480</v>
      </c>
      <c r="X40" s="222"/>
      <c r="Y40" s="222">
        <f>$E$40</f>
        <v>783480</v>
      </c>
      <c r="Z40" s="222"/>
      <c r="AA40" s="222">
        <f>$E$40</f>
        <v>783480</v>
      </c>
      <c r="AB40" s="222"/>
      <c r="AC40" s="222">
        <f>$E$40</f>
        <v>783480</v>
      </c>
      <c r="AD40" s="222"/>
      <c r="AE40" s="222">
        <f>$E$40</f>
        <v>783480</v>
      </c>
      <c r="AF40" s="222"/>
      <c r="AG40" s="222">
        <f>$E$40</f>
        <v>783480</v>
      </c>
    </row>
    <row r="41" spans="1:33" s="210" customFormat="1" ht="14.25">
      <c r="A41" s="225" t="s">
        <v>2762</v>
      </c>
      <c r="B41" s="226"/>
      <c r="C41" s="220"/>
      <c r="E41" s="222">
        <v>116815</v>
      </c>
      <c r="F41" s="222"/>
      <c r="G41" s="222">
        <v>116815</v>
      </c>
      <c r="H41" s="222"/>
      <c r="I41" s="222">
        <v>116815</v>
      </c>
      <c r="J41" s="222"/>
      <c r="K41" s="222">
        <v>116815</v>
      </c>
      <c r="L41" s="222"/>
      <c r="M41" s="222">
        <v>116815</v>
      </c>
      <c r="N41" s="222"/>
      <c r="O41" s="222">
        <v>116815</v>
      </c>
      <c r="P41" s="222"/>
      <c r="Q41" s="222">
        <v>116815</v>
      </c>
      <c r="R41" s="222"/>
      <c r="S41" s="222">
        <v>116815</v>
      </c>
      <c r="T41" s="222"/>
      <c r="U41" s="222">
        <v>116815</v>
      </c>
      <c r="V41" s="222"/>
      <c r="W41" s="222">
        <v>116815</v>
      </c>
      <c r="X41" s="222"/>
      <c r="Y41" s="222">
        <v>116815</v>
      </c>
      <c r="Z41" s="222"/>
      <c r="AA41" s="222">
        <v>116815</v>
      </c>
      <c r="AB41" s="222"/>
      <c r="AC41" s="222">
        <v>116815</v>
      </c>
      <c r="AD41" s="222"/>
      <c r="AE41" s="222">
        <v>116815</v>
      </c>
      <c r="AF41" s="222"/>
      <c r="AG41" s="222">
        <v>116815</v>
      </c>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900295</v>
      </c>
      <c r="G43" s="223">
        <f>SUM(G40:G42)</f>
        <v>900295</v>
      </c>
      <c r="I43" s="223">
        <f>SUM(I40:I42)</f>
        <v>900295</v>
      </c>
      <c r="K43" s="223">
        <f>SUM(K40:K42)</f>
        <v>900295</v>
      </c>
      <c r="M43" s="223">
        <f>SUM(M40:M42)</f>
        <v>900295</v>
      </c>
      <c r="O43" s="223">
        <f>SUM(O40:O42)</f>
        <v>900295</v>
      </c>
      <c r="Q43" s="223">
        <f>SUM(Q40:Q42)</f>
        <v>900295</v>
      </c>
      <c r="S43" s="223">
        <f>SUM(S40:S42)</f>
        <v>900295</v>
      </c>
      <c r="U43" s="223">
        <f>SUM(U40:U42)</f>
        <v>900295</v>
      </c>
      <c r="W43" s="223">
        <f>SUM(W40:W42)</f>
        <v>900295</v>
      </c>
      <c r="Y43" s="223">
        <f>SUM(Y40:Y42)</f>
        <v>900295</v>
      </c>
      <c r="AA43" s="223">
        <f>SUM(AA40:AA42)</f>
        <v>900295</v>
      </c>
      <c r="AC43" s="223">
        <f>SUM(AC40:AC42)</f>
        <v>900295</v>
      </c>
      <c r="AE43" s="223">
        <f>SUM(AE40:AE42)</f>
        <v>900295</v>
      </c>
      <c r="AG43" s="223">
        <f>SUM(AG40:AG42)</f>
        <v>900295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181865</v>
      </c>
      <c r="G45" s="223">
        <f>G37-G43</f>
        <v>201811.01500000013</v>
      </c>
      <c r="I45" s="223">
        <f>I37-I43</f>
        <v>221906.66582500027</v>
      </c>
      <c r="K45" s="223">
        <f>K37-K43</f>
        <v>242143.23628487531</v>
      </c>
      <c r="M45" s="223">
        <f>M37-M43</f>
        <v>262511.35145521583</v>
      </c>
      <c r="O45" s="223">
        <f>O37-O43</f>
        <v>283000.94568330678</v>
      </c>
      <c r="Q45" s="223">
        <f>Q37-Q43</f>
        <v>303601.22924892465</v>
      </c>
      <c r="S45" s="223">
        <f>S37-S43</f>
        <v>324300.65362719912</v>
      </c>
      <c r="U45" s="223">
        <f>U37-U43</f>
        <v>345086.87529879413</v>
      </c>
      <c r="W45" s="223">
        <f>W37-W43</f>
        <v>365946.71805060096</v>
      </c>
      <c r="Y45" s="223">
        <f>Y37-Y43</f>
        <v>386866.13370800694</v>
      </c>
      <c r="AA45" s="223">
        <f>AA37-AA43</f>
        <v>407830.16123756836</v>
      </c>
      <c r="AC45" s="223">
        <f>AC37-AC43</f>
        <v>428822.88415663363</v>
      </c>
      <c r="AE45" s="223">
        <f>AE37-AE43</f>
        <v>449827.38618407841</v>
      </c>
      <c r="AG45" s="223">
        <f>AG37-AG43</f>
        <v>470825.70506383991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7.2375437758675581E-2</v>
      </c>
      <c r="G47" s="227">
        <f>G45/(G4+G6+G8)</f>
        <v>7.8354343808481122E-2</v>
      </c>
      <c r="I47" s="227">
        <f>I45/(I4+I6+I8)</f>
        <v>8.4055220926204752E-2</v>
      </c>
      <c r="K47" s="227">
        <f>K45/(K4+K6+K8)</f>
        <v>8.9483471256103453E-2</v>
      </c>
      <c r="M47" s="227">
        <f>M45/(M4+M6+M8)</f>
        <v>9.4644352164162629E-2</v>
      </c>
      <c r="O47" s="227">
        <f>O45/(O4+O6+O8)</f>
        <v>9.9542979640138002E-2</v>
      </c>
      <c r="Q47" s="227">
        <f>Q45/(Q4+Q6+Q8)</f>
        <v>0.10418433161537105</v>
      </c>
      <c r="S47" s="227">
        <f>S45/(S4+S6+S8)</f>
        <v>0.10857325119842096</v>
      </c>
      <c r="U47" s="227">
        <f>U45/(U4+U6+U8)</f>
        <v>0.11271444983050397</v>
      </c>
      <c r="W47" s="227">
        <f>W45/(W4+W6+W8)</f>
        <v>0.116612510362684</v>
      </c>
      <c r="Y47" s="227">
        <f>Y45/(Y4+Y6+Y8)</f>
        <v>0.12027189005671221</v>
      </c>
      <c r="AA47" s="227">
        <f>AA45/(AA4+AA6+AA8)</f>
        <v>0.12369692351136191</v>
      </c>
      <c r="AC47" s="227">
        <f>AC45/(AC4+AC6+AC8)</f>
        <v>0.12689182551606473</v>
      </c>
      <c r="AE47" s="227">
        <f>AE45/(AE4+AE6+AE8)</f>
        <v>0.12986069383360907</v>
      </c>
      <c r="AG47" s="227">
        <f>AG45/(AG4+AG6+AG8)</f>
        <v>0.13260751191361736</v>
      </c>
    </row>
    <row r="48" spans="1:33" s="227" customFormat="1" ht="14.25">
      <c r="A48" s="227" t="s">
        <v>850</v>
      </c>
      <c r="C48" s="220"/>
      <c r="E48" s="227">
        <f>E45/E43</f>
        <v>0.20200600914144809</v>
      </c>
      <c r="G48" s="227">
        <f>G45/G43</f>
        <v>0.22416098612121596</v>
      </c>
      <c r="I48" s="227">
        <f>I45/I43</f>
        <v>0.24648217064962069</v>
      </c>
      <c r="K48" s="227">
        <f>K45/K43</f>
        <v>0.2689598812443425</v>
      </c>
      <c r="M48" s="227">
        <f>M45/M43</f>
        <v>0.29158370473590972</v>
      </c>
      <c r="O48" s="227">
        <f>O45/O43</f>
        <v>0.31434246073043476</v>
      </c>
      <c r="Q48" s="227">
        <f>Q45/Q43</f>
        <v>0.33722416457819343</v>
      </c>
      <c r="S48" s="227">
        <f>S45/S43</f>
        <v>0.36021598878945138</v>
      </c>
      <c r="U48" s="227">
        <f>U45/U43</f>
        <v>0.38330422283673032</v>
      </c>
      <c r="W48" s="227">
        <f>W45/W43</f>
        <v>0.40647423128041471</v>
      </c>
      <c r="Y48" s="227">
        <f>Y45/Y43</f>
        <v>0.4297104101522356</v>
      </c>
      <c r="AA48" s="227">
        <f>AA45/AA43</f>
        <v>0.452996141528686</v>
      </c>
      <c r="AC48" s="227">
        <f>AC45/AC43</f>
        <v>0.47631374622388623</v>
      </c>
      <c r="AE48" s="227">
        <f>AE45/AE43</f>
        <v>0.49964443452876933</v>
      </c>
      <c r="AG48" s="227">
        <f>AG45/AG43</f>
        <v>0.5229682549207092</v>
      </c>
    </row>
    <row r="49" spans="1:34" s="228" customFormat="1" ht="14.25">
      <c r="A49" s="228" t="s">
        <v>848</v>
      </c>
      <c r="C49" s="229"/>
      <c r="E49" s="228">
        <f>E37/E43</f>
        <v>1.2020060091414482</v>
      </c>
      <c r="G49" s="228">
        <f>G37/G43</f>
        <v>1.2241609861212159</v>
      </c>
      <c r="I49" s="228">
        <f>I37/I43</f>
        <v>1.2464821706496207</v>
      </c>
      <c r="K49" s="228">
        <f>K37/K43</f>
        <v>1.2689598812443426</v>
      </c>
      <c r="M49" s="228">
        <f>M37/M43</f>
        <v>1.2915837047359098</v>
      </c>
      <c r="O49" s="228">
        <f>O37/O43</f>
        <v>1.3143424607304348</v>
      </c>
      <c r="Q49" s="228">
        <f>Q37/Q43</f>
        <v>1.3372241645781935</v>
      </c>
      <c r="S49" s="228">
        <f>S37/S43</f>
        <v>1.3602159887894514</v>
      </c>
      <c r="U49" s="228">
        <f>U37/U43</f>
        <v>1.3833042228367303</v>
      </c>
      <c r="W49" s="228">
        <f>W37/W43</f>
        <v>1.4064742312804146</v>
      </c>
      <c r="Y49" s="228">
        <f>Y37/Y43</f>
        <v>1.4297104101522355</v>
      </c>
      <c r="AA49" s="228">
        <f>AA37/AA43</f>
        <v>1.4529961415286861</v>
      </c>
      <c r="AC49" s="228">
        <f>AC37/AC43</f>
        <v>1.4763137462238862</v>
      </c>
      <c r="AE49" s="228">
        <f>AE37/AE43</f>
        <v>1.4996444345287694</v>
      </c>
      <c r="AG49" s="228">
        <f>AG37/AG43</f>
        <v>1.5229682549207093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2696</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22500</v>
      </c>
      <c r="F58" s="960"/>
      <c r="G58" s="960">
        <f>SUM(G53:G57)</f>
        <v>22500</v>
      </c>
      <c r="H58" s="960"/>
      <c r="I58" s="960">
        <f>SUM(I53:I57)</f>
        <v>22500</v>
      </c>
      <c r="J58" s="960"/>
      <c r="K58" s="960">
        <f>SUM(K53:K57)</f>
        <v>22500</v>
      </c>
      <c r="L58" s="960"/>
      <c r="M58" s="960">
        <f>SUM(M53:M57)</f>
        <v>22500</v>
      </c>
      <c r="N58" s="960"/>
      <c r="O58" s="960">
        <f>SUM(O53:O57)</f>
        <v>22500</v>
      </c>
      <c r="P58" s="960"/>
      <c r="Q58" s="960">
        <f>SUM(Q53:Q57)</f>
        <v>22500</v>
      </c>
      <c r="R58" s="960"/>
      <c r="S58" s="960">
        <f>SUM(S53:S57)</f>
        <v>22500</v>
      </c>
      <c r="T58" s="960"/>
      <c r="U58" s="960">
        <f>SUM(U53:U57)</f>
        <v>22500</v>
      </c>
      <c r="V58" s="960"/>
      <c r="W58" s="960">
        <f>SUM(W53:W57)</f>
        <v>22500</v>
      </c>
      <c r="X58" s="960"/>
      <c r="Y58" s="960">
        <f>SUM(Y53:Y57)</f>
        <v>22500</v>
      </c>
      <c r="Z58" s="960"/>
      <c r="AA58" s="960">
        <f>SUM(AA53:AA57)</f>
        <v>22500</v>
      </c>
      <c r="AB58" s="960"/>
      <c r="AC58" s="960">
        <f>SUM(AC53:AC57)</f>
        <v>22500</v>
      </c>
      <c r="AD58" s="960"/>
      <c r="AE58" s="960">
        <f>SUM(AE53:AE57)</f>
        <v>22500</v>
      </c>
      <c r="AF58" s="960"/>
      <c r="AG58" s="960">
        <f>SUM(AG53:AG57)</f>
        <v>22500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159365</v>
      </c>
      <c r="G60" s="962">
        <f>G45-G58</f>
        <v>179311.01500000013</v>
      </c>
      <c r="I60" s="962">
        <f>I45-I58</f>
        <v>199406.66582500027</v>
      </c>
      <c r="K60" s="962">
        <f>K45-K58</f>
        <v>219643.23628487531</v>
      </c>
      <c r="M60" s="962">
        <f>M45-M58</f>
        <v>240011.35145521583</v>
      </c>
      <c r="O60" s="962">
        <f>O45-O58</f>
        <v>260500.94568330678</v>
      </c>
      <c r="Q60" s="962">
        <f>Q45-Q58</f>
        <v>281101.22924892465</v>
      </c>
      <c r="S60" s="962">
        <f>S45-S58</f>
        <v>301800.65362719912</v>
      </c>
      <c r="U60" s="962">
        <f>U45-U58</f>
        <v>322586.87529879413</v>
      </c>
      <c r="W60" s="962">
        <f>W45-W58</f>
        <v>343446.71805060096</v>
      </c>
      <c r="Y60" s="962">
        <f>Y45-Y58</f>
        <v>364366.13370800694</v>
      </c>
      <c r="AA60" s="962">
        <f>AA45-AA58</f>
        <v>385330.16123756836</v>
      </c>
      <c r="AC60" s="962">
        <f>AC45-AC58</f>
        <v>406322.88415663363</v>
      </c>
      <c r="AE60" s="962">
        <f>AE45-AE58</f>
        <v>427327.38618407841</v>
      </c>
      <c r="AG60" s="962">
        <f>AG45-AG58</f>
        <v>448325.70506383991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1</v>
      </c>
      <c r="E62" s="964">
        <f>E60*$C$62</f>
        <v>159365</v>
      </c>
      <c r="G62" s="962">
        <f>G60*$C$62</f>
        <v>179311.01500000013</v>
      </c>
      <c r="I62" s="962">
        <f>I60*$C$62</f>
        <v>199406.66582500027</v>
      </c>
      <c r="K62" s="962">
        <f>K60*$C$62</f>
        <v>219643.23628487531</v>
      </c>
      <c r="M62" s="962">
        <f>M60*$C$62</f>
        <v>240011.35145521583</v>
      </c>
      <c r="O62" s="962">
        <f>O60*$C$62</f>
        <v>260500.94568330678</v>
      </c>
      <c r="Q62" s="962">
        <f>Q60*$C$62</f>
        <v>281101.22924892465</v>
      </c>
      <c r="S62" s="962">
        <f>S60*$C$62</f>
        <v>301800.65362719912</v>
      </c>
      <c r="U62" s="962">
        <f>U60*$C$62</f>
        <v>322586.87529879413</v>
      </c>
      <c r="W62" s="962">
        <f>W60*$C$62</f>
        <v>343446.71805060096</v>
      </c>
      <c r="Y62" s="962">
        <f>Y60*$C$62</f>
        <v>364366.13370800694</v>
      </c>
      <c r="AA62" s="962">
        <f>AA60*$C$62</f>
        <v>385330.16123756836</v>
      </c>
      <c r="AC62" s="962">
        <f>AC60*$C$62</f>
        <v>406322.88415663363</v>
      </c>
      <c r="AE62" s="962">
        <f>AE60*$C$62</f>
        <v>427327.38618407841</v>
      </c>
      <c r="AG62" s="962">
        <f>AG60*$C$62</f>
        <v>448325.70506383991</v>
      </c>
    </row>
    <row r="63" spans="1:34" s="962" customFormat="1">
      <c r="A63" s="2695" t="s">
        <v>2697</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2763</v>
      </c>
      <c r="B66" s="964"/>
      <c r="C66" s="963"/>
      <c r="E66" s="964"/>
      <c r="G66" s="960"/>
      <c r="I66" s="960"/>
      <c r="K66" s="960"/>
      <c r="M66" s="960"/>
      <c r="O66" s="960"/>
      <c r="Q66" s="960"/>
      <c r="S66" s="960"/>
      <c r="U66" s="960"/>
      <c r="W66" s="960"/>
      <c r="Y66" s="960"/>
      <c r="AA66" s="960"/>
      <c r="AC66" s="960"/>
      <c r="AE66" s="960"/>
      <c r="AG66" s="960"/>
    </row>
    <row r="67" spans="1:34" s="960" customFormat="1">
      <c r="A67" s="965" t="s">
        <v>2743</v>
      </c>
      <c r="B67" s="965"/>
      <c r="C67" s="970"/>
      <c r="E67" s="964"/>
    </row>
    <row r="68" spans="1:34" s="960" customFormat="1">
      <c r="A68" s="965" t="s">
        <v>2744</v>
      </c>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16406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3" zeroHeight="1"/>
  <cols>
    <col min="1" max="1" width="35.7265625" style="204" customWidth="1"/>
    <col min="2" max="4" width="14.7265625" style="204" customWidth="1"/>
    <col min="5" max="5" width="50.7265625" style="204" customWidth="1"/>
    <col min="6" max="253" width="9.08984375" style="204" customWidth="1"/>
    <col min="254" max="16384" width="9.0898437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508745</v>
      </c>
      <c r="C11" s="266">
        <f>'Sources and Uses Budget'!$C10</f>
        <v>508745</v>
      </c>
      <c r="D11" s="270">
        <f t="shared" si="0"/>
        <v>0</v>
      </c>
      <c r="E11" s="268"/>
      <c r="F11" s="267"/>
    </row>
    <row r="12" spans="1:6" s="352" customFormat="1">
      <c r="A12" s="365" t="s">
        <v>595</v>
      </c>
      <c r="B12" s="270">
        <f>SUM(B10:B11)</f>
        <v>508745</v>
      </c>
      <c r="C12" s="270">
        <f>SUM(C10:C11)</f>
        <v>508745</v>
      </c>
      <c r="D12" s="270">
        <f t="shared" si="0"/>
        <v>0</v>
      </c>
      <c r="E12" s="268"/>
      <c r="F12" s="267"/>
    </row>
    <row r="13" spans="1:6" s="352" customFormat="1">
      <c r="A13" s="365" t="s">
        <v>84</v>
      </c>
      <c r="B13" s="270">
        <f>SUM(B9+B12)</f>
        <v>508745</v>
      </c>
      <c r="C13" s="270">
        <f>SUM(C9+C12)</f>
        <v>508745</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3450000</v>
      </c>
      <c r="C30" s="266">
        <f>'Sources and Uses Budget'!$C29</f>
        <v>3450000</v>
      </c>
      <c r="D30" s="270">
        <f t="shared" si="0"/>
        <v>0</v>
      </c>
      <c r="E30" s="268"/>
      <c r="F30" s="267"/>
    </row>
    <row r="31" spans="1:6" s="352" customFormat="1">
      <c r="A31" s="145" t="s">
        <v>598</v>
      </c>
      <c r="B31" s="266">
        <f>'Sources and Uses Budget'!$C30</f>
        <v>64198403</v>
      </c>
      <c r="C31" s="266">
        <f>'Sources and Uses Budget'!$C30</f>
        <v>64198403</v>
      </c>
      <c r="D31" s="270">
        <f t="shared" si="0"/>
        <v>0</v>
      </c>
      <c r="E31" s="268"/>
      <c r="F31" s="267"/>
    </row>
    <row r="32" spans="1:6" s="352" customFormat="1">
      <c r="A32" s="145" t="s">
        <v>599</v>
      </c>
      <c r="B32" s="266">
        <f>'Sources and Uses Budget'!$C31</f>
        <v>4089429</v>
      </c>
      <c r="C32" s="266">
        <f>'Sources and Uses Budget'!$C31</f>
        <v>4089429</v>
      </c>
      <c r="D32" s="270">
        <f t="shared" si="0"/>
        <v>0</v>
      </c>
      <c r="E32" s="268"/>
      <c r="F32" s="267"/>
    </row>
    <row r="33" spans="1:6" s="352" customFormat="1">
      <c r="A33" s="145" t="s">
        <v>137</v>
      </c>
      <c r="B33" s="266">
        <f>'Sources and Uses Budget'!$C32</f>
        <v>1363143</v>
      </c>
      <c r="C33" s="266">
        <f>'Sources and Uses Budget'!$C32</f>
        <v>1363143</v>
      </c>
      <c r="D33" s="270">
        <f t="shared" si="0"/>
        <v>0</v>
      </c>
      <c r="E33" s="268"/>
      <c r="F33" s="267"/>
    </row>
    <row r="34" spans="1:6" s="352" customFormat="1">
      <c r="A34" s="145" t="s">
        <v>138</v>
      </c>
      <c r="B34" s="266">
        <f>'Sources and Uses Budget'!$C33</f>
        <v>4089429</v>
      </c>
      <c r="C34" s="266">
        <f>'Sources and Uses Budget'!$C33</f>
        <v>4089429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675000</v>
      </c>
      <c r="C36" s="266">
        <f>'Sources and Uses Budget'!$C35</f>
        <v>675000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77865404</v>
      </c>
      <c r="C39" s="270">
        <f>SUM(C30:C38)</f>
        <v>77865404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900000</v>
      </c>
      <c r="C43" s="270">
        <f>SUM(C41:C42)</f>
        <v>900000</v>
      </c>
      <c r="D43" s="270">
        <f t="shared" si="0"/>
        <v>0</v>
      </c>
      <c r="E43" s="268"/>
      <c r="F43" s="267"/>
    </row>
    <row r="44" spans="1:6" s="352" customFormat="1">
      <c r="A44" s="271" t="s">
        <v>148</v>
      </c>
      <c r="B44" s="266">
        <f>'Sources and Uses Budget'!$C43</f>
        <v>285000</v>
      </c>
      <c r="C44" s="266">
        <f>'Sources and Uses Budget'!$C43</f>
        <v>285000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5160000</v>
      </c>
      <c r="C46" s="266">
        <f>'Sources and Uses Budget'!$C45</f>
        <v>5160000</v>
      </c>
      <c r="D46" s="270">
        <f t="shared" si="0"/>
        <v>0</v>
      </c>
      <c r="E46" s="268"/>
      <c r="F46" s="267"/>
    </row>
    <row r="47" spans="1:6" s="352" customFormat="1">
      <c r="A47" s="145" t="s">
        <v>151</v>
      </c>
      <c r="B47" s="266">
        <f>'Sources and Uses Budget'!$C46</f>
        <v>765000</v>
      </c>
      <c r="C47" s="266">
        <f>'Sources and Uses Budget'!$C46</f>
        <v>765000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549000</v>
      </c>
      <c r="C53" s="266">
        <f>'Sources and Uses Budget'!$C52</f>
        <v>549000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6814000</v>
      </c>
      <c r="C55" s="273">
        <f>SUM(C46:C54)</f>
        <v>6814000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57500</v>
      </c>
      <c r="C57" s="266">
        <f>'Sources and Uses Budget'!$C56</f>
        <v>57500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82500</v>
      </c>
      <c r="C63" s="270">
        <f>SUM(C57:C62)</f>
        <v>82500</v>
      </c>
      <c r="D63" s="270">
        <f t="shared" si="0"/>
        <v>0</v>
      </c>
      <c r="E63" s="268"/>
      <c r="F63" s="267"/>
    </row>
    <row r="64" spans="1:6" s="352" customFormat="1">
      <c r="A64" s="274" t="s">
        <v>301</v>
      </c>
      <c r="B64" s="270">
        <f>SUM(B9+B12+B14+B15+B17+B26+B28+B39+B43+B44+B55+B63)</f>
        <v>86455649</v>
      </c>
      <c r="C64" s="270">
        <f>SUM(C9+C12+C14+C15+C17+C26+C28+C39+C43+C44+C55+C63)</f>
        <v>86455649</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70000</v>
      </c>
      <c r="C66" s="266">
        <f>'Sources and Uses Budget'!$C65</f>
        <v>70000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90000</v>
      </c>
      <c r="C70" s="266">
        <f>'Sources and Uses Budget'!$C69</f>
        <v>90000</v>
      </c>
      <c r="D70" s="270">
        <f t="shared" si="0"/>
        <v>0</v>
      </c>
      <c r="E70" s="268"/>
      <c r="F70" s="267"/>
    </row>
    <row r="71" spans="1:6" s="352" customFormat="1">
      <c r="A71" s="149" t="s">
        <v>1643</v>
      </c>
      <c r="B71" s="270">
        <f>SUM(B66:B70)</f>
        <v>160000</v>
      </c>
      <c r="C71" s="270">
        <f>SUM(C66:C70)</f>
        <v>160000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551324</v>
      </c>
      <c r="C76" s="266">
        <f>'Sources and Uses Budget'!$C75</f>
        <v>551324</v>
      </c>
      <c r="D76" s="270">
        <f t="shared" si="0"/>
        <v>0</v>
      </c>
      <c r="E76" s="268"/>
      <c r="F76" s="267"/>
    </row>
    <row r="77" spans="1:6" s="352" customFormat="1">
      <c r="A77" s="272" t="s">
        <v>34</v>
      </c>
      <c r="B77" s="266">
        <f>'Sources and Uses Budget'!$C76</f>
        <v>470000</v>
      </c>
      <c r="C77" s="266">
        <f>'Sources and Uses Budget'!$C76</f>
        <v>470000</v>
      </c>
      <c r="D77" s="270">
        <f t="shared" si="0"/>
        <v>0</v>
      </c>
      <c r="E77" s="268"/>
      <c r="F77" s="267"/>
    </row>
    <row r="78" spans="1:6" s="352" customFormat="1">
      <c r="A78" s="271" t="s">
        <v>605</v>
      </c>
      <c r="B78" s="270">
        <f>SUM(B73:B77)</f>
        <v>1021324</v>
      </c>
      <c r="C78" s="270">
        <f>SUM(C73:C77)</f>
        <v>1021324</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3900000</v>
      </c>
      <c r="C80" s="266">
        <f>'Sources and Uses Budget'!$C79</f>
        <v>3900000</v>
      </c>
      <c r="D80" s="270">
        <f t="shared" si="1"/>
        <v>0</v>
      </c>
      <c r="E80" s="268"/>
      <c r="F80" s="267"/>
    </row>
    <row r="81" spans="1:6" s="352" customFormat="1">
      <c r="A81" s="510" t="s">
        <v>58</v>
      </c>
      <c r="B81" s="266">
        <f>'Sources and Uses Budget'!$C80</f>
        <v>950000</v>
      </c>
      <c r="C81" s="266">
        <f>'Sources and Uses Budget'!$C80</f>
        <v>950000</v>
      </c>
      <c r="D81" s="270">
        <f>C81-B81</f>
        <v>0</v>
      </c>
      <c r="E81" s="268"/>
      <c r="F81" s="267"/>
    </row>
    <row r="82" spans="1:6" s="352" customFormat="1">
      <c r="A82" s="271" t="s">
        <v>1207</v>
      </c>
      <c r="B82" s="270">
        <f>SUM(B80:B81)</f>
        <v>4850000</v>
      </c>
      <c r="C82" s="270">
        <f>SUM(C80:C81)</f>
        <v>4850000</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122301</v>
      </c>
      <c r="C84" s="266">
        <f>'Sources and Uses Budget'!$C83</f>
        <v>122301</v>
      </c>
      <c r="D84" s="270">
        <f t="shared" si="1"/>
        <v>0</v>
      </c>
      <c r="E84" s="268"/>
      <c r="F84" s="267"/>
    </row>
    <row r="85" spans="1:6" s="352" customFormat="1">
      <c r="A85" s="269" t="s">
        <v>765</v>
      </c>
      <c r="B85" s="266">
        <f>'Sources and Uses Budget'!$C84</f>
        <v>15000</v>
      </c>
      <c r="C85" s="266">
        <f>'Sources and Uses Budget'!$C84</f>
        <v>15000</v>
      </c>
      <c r="D85" s="270">
        <f t="shared" si="1"/>
        <v>0</v>
      </c>
      <c r="E85" s="268"/>
      <c r="F85" s="267"/>
    </row>
    <row r="86" spans="1:6" s="352" customFormat="1">
      <c r="A86" s="269" t="s">
        <v>766</v>
      </c>
      <c r="B86" s="266">
        <f>'Sources and Uses Budget'!$C85</f>
        <v>6227520</v>
      </c>
      <c r="C86" s="266">
        <f>'Sources and Uses Budget'!$C85</f>
        <v>6227520</v>
      </c>
      <c r="D86" s="270">
        <f t="shared" si="1"/>
        <v>0</v>
      </c>
      <c r="E86" s="268"/>
      <c r="F86" s="267"/>
    </row>
    <row r="87" spans="1:6" s="352" customFormat="1">
      <c r="A87" s="269" t="s">
        <v>767</v>
      </c>
      <c r="B87" s="266">
        <f>'Sources and Uses Budget'!$C86</f>
        <v>1400000</v>
      </c>
      <c r="C87" s="266">
        <f>'Sources and Uses Budget'!$C86</f>
        <v>1400000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169909</v>
      </c>
      <c r="C89" s="266">
        <f>'Sources and Uses Budget'!$C88</f>
        <v>169909</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8014730</v>
      </c>
      <c r="C97" s="270">
        <f>SUM(C84:C96)</f>
        <v>8014730</v>
      </c>
      <c r="D97" s="270">
        <f t="shared" si="1"/>
        <v>0</v>
      </c>
      <c r="E97" s="268"/>
      <c r="F97" s="267"/>
    </row>
    <row r="98" spans="1:6" s="352" customFormat="1">
      <c r="A98" s="271" t="s">
        <v>773</v>
      </c>
      <c r="B98" s="270">
        <f>SUM(B64+B71+B78+B82+B97)</f>
        <v>100501703</v>
      </c>
      <c r="C98" s="270">
        <f>SUM(C64+C71+C78+C82+C97)</f>
        <v>100501703</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14852350</v>
      </c>
      <c r="C100" s="266">
        <f>'Sources and Uses Budget'!$C99</f>
        <v>14852350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14852350</v>
      </c>
      <c r="C105" s="270">
        <f>SUM(C100:C104)</f>
        <v>14852350</v>
      </c>
      <c r="D105" s="270">
        <f t="shared" si="1"/>
        <v>0</v>
      </c>
      <c r="E105" s="268"/>
      <c r="F105" s="267"/>
    </row>
    <row r="106" spans="1:6" s="352" customFormat="1">
      <c r="A106" s="271" t="s">
        <v>778</v>
      </c>
      <c r="B106" s="273">
        <f>SUM(B98+B105)</f>
        <v>115354053</v>
      </c>
      <c r="C106" s="273">
        <f>SUM(C98+C105)</f>
        <v>115354053</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9" t="s">
        <v>2042</v>
      </c>
      <c r="B72" s="1269"/>
      <c r="C72" s="1269"/>
      <c r="D72" s="1269"/>
      <c r="E72" s="1269"/>
    </row>
    <row r="73" spans="1:9" ht="13">
      <c r="A73" s="1269" t="s">
        <v>2043</v>
      </c>
      <c r="B73" s="1269"/>
      <c r="C73" s="1269"/>
      <c r="D73" s="1269"/>
      <c r="E73" s="1269"/>
    </row>
    <row r="74" spans="1:9" ht="13">
      <c r="A74" s="1269" t="s">
        <v>1868</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81640625" style="402" hidden="1" customWidth="1"/>
    <col min="11" max="16384" width="8.81640625" style="402" hidden="1"/>
  </cols>
  <sheetData>
    <row r="1" spans="1:13"/>
    <row r="2" spans="1:13">
      <c r="A2" s="1331" t="s">
        <v>2455</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65"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c r="A15" s="484"/>
      <c r="B15" s="485" t="s">
        <v>2764</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2764</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2656</v>
      </c>
      <c r="D24" s="1301" t="s">
        <v>1089</v>
      </c>
      <c r="E24" s="1301"/>
      <c r="F24" s="1301"/>
      <c r="I24" s="490"/>
    </row>
    <row r="25" spans="1:9">
      <c r="A25" s="484"/>
      <c r="B25" s="484"/>
      <c r="D25" s="1301"/>
      <c r="E25" s="1301"/>
      <c r="F25" s="1301"/>
      <c r="I25" s="490"/>
    </row>
    <row r="26" spans="1:9">
      <c r="I26" s="490"/>
    </row>
    <row r="27" spans="1:9">
      <c r="A27" s="484"/>
      <c r="B27" s="485" t="s">
        <v>2764</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2656</v>
      </c>
      <c r="D33" s="1301" t="s">
        <v>2046</v>
      </c>
      <c r="E33" s="1301"/>
      <c r="F33" s="1301"/>
      <c r="I33" s="490"/>
    </row>
    <row r="34" spans="1:9">
      <c r="D34" s="1301"/>
      <c r="E34" s="1301"/>
      <c r="F34" s="1301"/>
      <c r="I34" s="490"/>
    </row>
    <row r="35" spans="1:9">
      <c r="A35" s="484"/>
      <c r="B35" s="484"/>
      <c r="D35" s="447"/>
      <c r="I35" s="490"/>
    </row>
    <row r="36" spans="1:9" ht="14.4" customHeight="1">
      <c r="A36" s="484"/>
      <c r="B36" s="485" t="s">
        <v>2656</v>
      </c>
      <c r="D36" s="1301" t="s">
        <v>1212</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2656</v>
      </c>
      <c r="D41" s="1301" t="s">
        <v>1090</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2764</v>
      </c>
      <c r="D47" s="1301" t="s">
        <v>1091</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4" customHeight="1">
      <c r="A52" s="484"/>
      <c r="B52" s="485" t="s">
        <v>2656</v>
      </c>
      <c r="D52" s="1301" t="s">
        <v>1092</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2764</v>
      </c>
      <c r="D56" s="1324" t="s">
        <v>1093</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2656</v>
      </c>
      <c r="D61" s="1301" t="s">
        <v>1094</v>
      </c>
      <c r="E61" s="1301"/>
      <c r="F61" s="1301"/>
      <c r="I61" s="490"/>
    </row>
    <row r="62" spans="1:9">
      <c r="D62" s="1301"/>
      <c r="E62" s="1301"/>
      <c r="F62" s="1301"/>
      <c r="I62" s="490"/>
    </row>
    <row r="63" spans="1:9">
      <c r="D63" s="1301"/>
      <c r="E63" s="1301"/>
      <c r="F63" s="1301"/>
      <c r="I63" s="490"/>
    </row>
    <row r="64" spans="1:9">
      <c r="I64" s="490"/>
    </row>
    <row r="65" spans="1:9">
      <c r="A65" s="484"/>
      <c r="B65" s="485" t="s">
        <v>2764</v>
      </c>
      <c r="D65" s="1301" t="s">
        <v>1095</v>
      </c>
      <c r="E65" s="1301"/>
      <c r="F65" s="1301"/>
      <c r="I65" s="490"/>
    </row>
    <row r="66" spans="1:9">
      <c r="D66" s="1301"/>
      <c r="E66" s="1301"/>
      <c r="F66" s="1301"/>
      <c r="I66" s="490"/>
    </row>
    <row r="67" spans="1:9">
      <c r="I67" s="490"/>
    </row>
    <row r="68" spans="1:9">
      <c r="A68" s="484"/>
      <c r="B68" s="485" t="s">
        <v>2656</v>
      </c>
      <c r="D68" s="1301" t="s">
        <v>1096</v>
      </c>
      <c r="E68" s="1301"/>
      <c r="F68" s="1301"/>
      <c r="I68" s="490"/>
    </row>
    <row r="69" spans="1:9">
      <c r="D69" s="1301"/>
      <c r="E69" s="1301"/>
      <c r="F69" s="1301"/>
      <c r="I69" s="490"/>
    </row>
    <row r="70" spans="1:9">
      <c r="D70" s="1301"/>
      <c r="E70" s="1301"/>
      <c r="F70" s="1301"/>
      <c r="I70" s="490"/>
    </row>
    <row r="71" spans="1:9">
      <c r="I71" s="490"/>
    </row>
    <row r="72" spans="1:9">
      <c r="A72" s="484"/>
      <c r="B72" s="485" t="s">
        <v>2764</v>
      </c>
      <c r="D72" s="1301" t="s">
        <v>1097</v>
      </c>
      <c r="E72" s="1301"/>
      <c r="F72" s="1301"/>
      <c r="I72" s="490"/>
    </row>
    <row r="73" spans="1:9">
      <c r="D73" s="1301"/>
      <c r="E73" s="1301"/>
      <c r="F73" s="1301"/>
      <c r="I73" s="490"/>
    </row>
    <row r="74" spans="1:9">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65" customHeight="1">
      <c r="A80" s="484"/>
      <c r="B80" s="485" t="s">
        <v>2764</v>
      </c>
      <c r="D80" s="1301" t="s">
        <v>1243</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2764</v>
      </c>
      <c r="D89" s="1301" t="s">
        <v>1740</v>
      </c>
      <c r="E89" s="1301"/>
      <c r="F89" s="1301"/>
      <c r="I89" s="490"/>
    </row>
    <row r="90" spans="1:9">
      <c r="A90" s="484"/>
      <c r="B90" s="484"/>
      <c r="D90" s="1301"/>
      <c r="E90" s="1301"/>
      <c r="F90" s="1301"/>
      <c r="I90" s="490"/>
    </row>
    <row r="91" spans="1:9">
      <c r="A91" s="484"/>
      <c r="B91" s="484"/>
      <c r="D91" s="445"/>
      <c r="E91" s="445"/>
      <c r="F91" s="445"/>
      <c r="I91" s="490"/>
    </row>
    <row r="92" spans="1:9">
      <c r="A92" s="484"/>
      <c r="B92" s="485" t="s">
        <v>2764</v>
      </c>
      <c r="D92" s="1301" t="s">
        <v>1743</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2764</v>
      </c>
      <c r="D96" s="1301" t="s">
        <v>1742</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2656</v>
      </c>
      <c r="D100" s="1301" t="s">
        <v>1741</v>
      </c>
      <c r="E100" s="1301"/>
      <c r="F100" s="1301"/>
      <c r="I100" s="490"/>
    </row>
    <row r="101" spans="1:9">
      <c r="A101" s="484"/>
      <c r="B101" s="484"/>
      <c r="D101" s="1301"/>
      <c r="E101" s="1301"/>
      <c r="F101" s="1301"/>
      <c r="I101" s="490"/>
    </row>
    <row r="102" spans="1:9">
      <c r="A102" s="484"/>
      <c r="B102" s="484"/>
      <c r="D102" s="445"/>
      <c r="E102" s="445"/>
      <c r="F102" s="445"/>
      <c r="I102" s="490"/>
    </row>
    <row r="103" spans="1:9" ht="14.4" customHeight="1">
      <c r="A103" s="484"/>
      <c r="B103" s="485" t="s">
        <v>2656</v>
      </c>
      <c r="D103" s="1301" t="s">
        <v>1192</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2656</v>
      </c>
      <c r="D119" s="1323" t="s">
        <v>1101</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2764</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2656</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2764</v>
      </c>
      <c r="D137" s="1301" t="s">
        <v>1103</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2656</v>
      </c>
      <c r="D151" s="1301" t="s">
        <v>1175</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2070</v>
      </c>
      <c r="E169" s="1320"/>
      <c r="F169" s="1320"/>
      <c r="G169" s="507"/>
      <c r="I169" s="490"/>
    </row>
    <row r="170" spans="1:9" ht="13.65" customHeight="1">
      <c r="D170" s="1318"/>
      <c r="E170" s="1318"/>
      <c r="F170" s="1318"/>
      <c r="G170" s="1318"/>
      <c r="I170" s="490"/>
    </row>
    <row r="171" spans="1:9" ht="14.4" customHeight="1">
      <c r="A171" s="489"/>
      <c r="B171" s="485" t="s">
        <v>2656</v>
      </c>
      <c r="C171" s="476"/>
      <c r="D171" s="1272" t="s">
        <v>2210</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2764</v>
      </c>
      <c r="C177" s="476"/>
      <c r="D177" s="1272" t="s">
        <v>1104</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2656</v>
      </c>
      <c r="D182" s="1313" t="s">
        <v>2048</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2764</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2656</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2656</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2656</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2656</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c r="A217" s="484"/>
      <c r="B217" s="485" t="s">
        <v>2656</v>
      </c>
      <c r="D217" s="1301" t="s">
        <v>1214</v>
      </c>
      <c r="E217" s="1301"/>
      <c r="F217" s="1301"/>
      <c r="I217" s="490"/>
    </row>
    <row r="218" spans="1:9" ht="14.4"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65" customHeight="1">
      <c r="A227" s="490"/>
      <c r="C227" s="490"/>
      <c r="D227" s="1309" t="s">
        <v>545</v>
      </c>
      <c r="E227" s="1309"/>
      <c r="F227" s="1309"/>
      <c r="I227" s="490"/>
    </row>
    <row r="228" spans="1:9">
      <c r="A228" s="484"/>
      <c r="B228" s="485" t="s">
        <v>2764</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2764</v>
      </c>
      <c r="D233" s="1301" t="s">
        <v>1752</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1116</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2656</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4" customHeight="1">
      <c r="A250" s="484"/>
      <c r="B250" s="485" t="s">
        <v>2656</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2764</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2764</v>
      </c>
      <c r="D259" s="1301" t="s">
        <v>1117</v>
      </c>
      <c r="E259" s="1301"/>
      <c r="F259" s="1301"/>
      <c r="I259" s="490"/>
    </row>
    <row r="260" spans="1:9">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 customHeight="1">
      <c r="A267" s="484"/>
      <c r="B267" s="485" t="s">
        <v>2764</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 customHeight="1">
      <c r="A271" s="484"/>
      <c r="B271" s="485" t="s">
        <v>2656</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2764</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1122</v>
      </c>
      <c r="E288" s="1326"/>
      <c r="F288" s="1326"/>
      <c r="I288" s="490"/>
    </row>
    <row r="289" spans="1:9">
      <c r="E289" s="446"/>
      <c r="F289" s="446"/>
      <c r="I289" s="490"/>
    </row>
    <row r="290" spans="1:9">
      <c r="A290" s="484"/>
      <c r="B290" s="485" t="s">
        <v>2656</v>
      </c>
      <c r="D290" s="1301" t="s">
        <v>1123</v>
      </c>
      <c r="E290" s="1301"/>
      <c r="F290" s="1301"/>
      <c r="I290" s="490"/>
    </row>
    <row r="291" spans="1:9">
      <c r="A291" s="484"/>
      <c r="B291" s="484"/>
      <c r="D291" s="1301"/>
      <c r="E291" s="1301"/>
      <c r="F291" s="1301"/>
      <c r="I291" s="490"/>
    </row>
    <row r="292" spans="1:9">
      <c r="D292" s="446"/>
      <c r="E292" s="446"/>
      <c r="F292" s="446"/>
      <c r="I292" s="490"/>
    </row>
    <row r="293" spans="1:9">
      <c r="A293" s="484"/>
      <c r="B293" s="485" t="s">
        <v>2656</v>
      </c>
      <c r="D293" s="1301" t="s">
        <v>1124</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2656</v>
      </c>
      <c r="D297" s="1301" t="s">
        <v>1125</v>
      </c>
      <c r="E297" s="1301"/>
      <c r="F297" s="1301"/>
      <c r="I297" s="490"/>
    </row>
    <row r="298" spans="1:9">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680</v>
      </c>
      <c r="E302" s="1309"/>
      <c r="F302" s="1309"/>
      <c r="I302" s="490"/>
    </row>
    <row r="303" spans="1:9">
      <c r="C303" s="490"/>
      <c r="D303" s="1299" t="s">
        <v>1126</v>
      </c>
      <c r="E303" s="1299"/>
      <c r="F303" s="1299"/>
      <c r="I303" s="490"/>
    </row>
    <row r="304" spans="1:9">
      <c r="C304" s="490"/>
      <c r="D304" s="493"/>
      <c r="I304" s="490"/>
    </row>
    <row r="305" spans="1:9">
      <c r="B305" s="485" t="s">
        <v>2656</v>
      </c>
      <c r="D305" s="1299" t="s">
        <v>1127</v>
      </c>
      <c r="E305" s="1299"/>
      <c r="F305" s="1299"/>
      <c r="I305" s="490"/>
    </row>
    <row r="306" spans="1:9">
      <c r="A306" s="484"/>
      <c r="B306" s="484"/>
      <c r="D306" s="494"/>
      <c r="E306" s="495"/>
      <c r="F306" s="495"/>
      <c r="I306" s="490"/>
    </row>
    <row r="307" spans="1:9" ht="13.65" customHeight="1">
      <c r="B307" s="485" t="s">
        <v>2656</v>
      </c>
      <c r="D307" s="1310" t="s">
        <v>1217</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65" customHeight="1">
      <c r="B313" s="485" t="s">
        <v>2656</v>
      </c>
      <c r="D313" s="1310" t="s">
        <v>1128</v>
      </c>
      <c r="E313" s="1310"/>
      <c r="F313" s="1310"/>
      <c r="I313" s="490"/>
    </row>
    <row r="314" spans="1:9">
      <c r="D314" s="1310"/>
      <c r="E314" s="1310"/>
      <c r="F314" s="1310"/>
      <c r="I314" s="490"/>
    </row>
    <row r="315" spans="1:9">
      <c r="A315" s="484"/>
      <c r="B315" s="484"/>
      <c r="D315" s="494"/>
      <c r="E315" s="495"/>
      <c r="F315" s="495"/>
      <c r="I315" s="490"/>
    </row>
    <row r="316" spans="1:9">
      <c r="B316" s="485" t="s">
        <v>2656</v>
      </c>
      <c r="D316" s="1299" t="s">
        <v>1129</v>
      </c>
      <c r="E316" s="1299"/>
      <c r="F316" s="1299"/>
      <c r="I316" s="490"/>
    </row>
    <row r="317" spans="1:9">
      <c r="E317" s="446"/>
      <c r="F317" s="446"/>
      <c r="I317" s="490"/>
    </row>
    <row r="318" spans="1:9">
      <c r="A318" s="484"/>
      <c r="B318" s="485" t="s">
        <v>2656</v>
      </c>
      <c r="D318" s="1301" t="s">
        <v>2242</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2656</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2656</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329" t="s">
        <v>977</v>
      </c>
      <c r="E351" s="1329"/>
      <c r="F351" s="1329"/>
      <c r="G351" s="1027"/>
      <c r="H351" s="1027"/>
      <c r="I351" s="1156"/>
    </row>
    <row r="352" spans="1:9" ht="13.75" thickTop="1">
      <c r="D352" s="1328" t="s">
        <v>2243</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2656</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c r="A360" s="484"/>
      <c r="B360" s="485" t="s">
        <v>2656</v>
      </c>
      <c r="C360" s="476"/>
      <c r="D360" s="1318" t="s">
        <v>2054</v>
      </c>
      <c r="E360" s="1318"/>
      <c r="F360" s="1318"/>
      <c r="I360" s="480"/>
    </row>
    <row r="361" spans="1:9">
      <c r="A361" s="476"/>
      <c r="B361" s="476"/>
      <c r="C361" s="476"/>
      <c r="D361" s="447"/>
      <c r="E361" s="447"/>
      <c r="F361" s="446"/>
      <c r="I361" s="490"/>
    </row>
    <row r="362" spans="1:9">
      <c r="A362" s="476"/>
      <c r="B362" s="485" t="s">
        <v>2656</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2656</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2656</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2656</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2656</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2656</v>
      </c>
      <c r="D423" s="1272" t="s">
        <v>1879</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2656</v>
      </c>
      <c r="C429" s="476"/>
      <c r="D429" s="1272" t="s">
        <v>1238</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2656</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c r="A467" s="484"/>
      <c r="B467" s="485" t="s">
        <v>2656</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2656</v>
      </c>
      <c r="C471" s="484"/>
      <c r="D471" s="1301" t="s">
        <v>1195</v>
      </c>
      <c r="E471" s="1301"/>
      <c r="F471" s="1301"/>
      <c r="I471" s="490"/>
    </row>
    <row r="472" spans="1:9">
      <c r="D472" s="1301"/>
      <c r="E472" s="1301"/>
      <c r="F472" s="1301"/>
      <c r="I472" s="490"/>
    </row>
    <row r="473" spans="1:9">
      <c r="D473" s="446"/>
      <c r="E473" s="446"/>
      <c r="F473" s="446"/>
      <c r="I473" s="490"/>
    </row>
    <row r="474" spans="1:9">
      <c r="B474" s="485" t="s">
        <v>2656</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2656</v>
      </c>
      <c r="C486" s="402"/>
      <c r="D486" s="1301"/>
      <c r="E486" s="1301"/>
      <c r="F486" s="1301"/>
      <c r="I486" s="490"/>
    </row>
    <row r="487" spans="1:9">
      <c r="A487" s="402"/>
      <c r="C487" s="402"/>
      <c r="D487" s="1301"/>
      <c r="E487" s="1301"/>
      <c r="F487" s="1301"/>
      <c r="I487" s="490"/>
    </row>
    <row r="488" spans="1:9">
      <c r="A488" s="402"/>
      <c r="B488" s="485" t="s">
        <v>2656</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2656</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881</v>
      </c>
      <c r="E498" s="1327"/>
      <c r="F498" s="1327"/>
      <c r="I498" s="490"/>
    </row>
    <row r="499" spans="1:9">
      <c r="A499" s="484"/>
      <c r="B499" s="484"/>
      <c r="D499" s="1318" t="s">
        <v>1139</v>
      </c>
      <c r="E499" s="1318"/>
      <c r="F499" s="1318"/>
      <c r="I499" s="490"/>
    </row>
    <row r="500" spans="1:9">
      <c r="A500" s="484"/>
      <c r="B500" s="484"/>
      <c r="D500" s="447"/>
      <c r="I500" s="490"/>
    </row>
    <row r="501" spans="1:9">
      <c r="A501" s="484"/>
      <c r="B501" s="485" t="s">
        <v>2656</v>
      </c>
      <c r="D501" s="1272" t="s">
        <v>1140</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2656</v>
      </c>
      <c r="D504" s="1313" t="s">
        <v>1271</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2656</v>
      </c>
      <c r="D509" s="1299" t="s">
        <v>1141</v>
      </c>
      <c r="E509" s="1299"/>
      <c r="F509" s="1299"/>
      <c r="I509" s="490"/>
    </row>
    <row r="510" spans="1:9">
      <c r="A510" s="484"/>
      <c r="B510" s="484"/>
      <c r="D510" s="446"/>
      <c r="I510" s="490"/>
    </row>
    <row r="511" spans="1:9">
      <c r="A511" s="484"/>
      <c r="B511" s="485" t="s">
        <v>2656</v>
      </c>
      <c r="D511" s="1301" t="s">
        <v>1142</v>
      </c>
      <c r="E511" s="1301"/>
      <c r="F511" s="1301"/>
      <c r="I511" s="490"/>
    </row>
    <row r="512" spans="1:9">
      <c r="A512" s="484"/>
      <c r="D512" s="1301"/>
      <c r="E512" s="1301"/>
      <c r="F512" s="1301"/>
      <c r="I512" s="490"/>
    </row>
    <row r="513" spans="1:9">
      <c r="A513" s="490"/>
      <c r="B513" s="490"/>
      <c r="D513" s="447"/>
      <c r="I513" s="490"/>
    </row>
    <row r="514" spans="1:9">
      <c r="A514" s="490"/>
      <c r="B514" s="485" t="s">
        <v>2656</v>
      </c>
      <c r="D514" s="1299" t="s">
        <v>1143</v>
      </c>
      <c r="E514" s="1299"/>
      <c r="F514" s="1299"/>
      <c r="I514" s="490"/>
    </row>
    <row r="515" spans="1:9">
      <c r="D515" s="446"/>
      <c r="E515" s="446"/>
      <c r="F515" s="446"/>
      <c r="I515" s="490"/>
    </row>
    <row r="516" spans="1:9">
      <c r="B516" s="485" t="s">
        <v>2656</v>
      </c>
      <c r="D516" s="1301" t="s">
        <v>2277</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2764</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2764</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2656</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681</v>
      </c>
      <c r="E545" s="1309"/>
      <c r="F545" s="1309"/>
      <c r="I545" s="490"/>
    </row>
    <row r="546" spans="1:9">
      <c r="C546" s="487"/>
      <c r="D546" s="1299" t="s">
        <v>1079</v>
      </c>
      <c r="E546" s="1299"/>
      <c r="F546" s="1299"/>
      <c r="I546" s="490"/>
    </row>
    <row r="547" spans="1:9">
      <c r="C547" s="487"/>
      <c r="D547" s="446"/>
      <c r="E547" s="446"/>
      <c r="F547" s="446"/>
      <c r="I547" s="490"/>
    </row>
    <row r="548" spans="1:9" ht="13.65" customHeight="1">
      <c r="A548" s="484"/>
      <c r="B548" s="485" t="s">
        <v>2764</v>
      </c>
      <c r="C548" s="487"/>
      <c r="D548" s="1299" t="s">
        <v>882</v>
      </c>
      <c r="E548" s="1299"/>
      <c r="F548" s="1299"/>
      <c r="I548" s="490"/>
    </row>
    <row r="549" spans="1:9" ht="13.65" customHeight="1">
      <c r="A549" s="487"/>
      <c r="B549" s="487"/>
      <c r="C549" s="487"/>
      <c r="D549" s="446"/>
      <c r="I549" s="490"/>
    </row>
    <row r="550" spans="1:9">
      <c r="A550" s="484"/>
      <c r="B550" s="485" t="s">
        <v>2764</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2764</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2764</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2764</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2656</v>
      </c>
      <c r="C563" s="487"/>
      <c r="D563" s="1301" t="s">
        <v>2244</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2764</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2764</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2764</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2764</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2764</v>
      </c>
      <c r="D588" s="1313" t="s">
        <v>886</v>
      </c>
      <c r="E588" s="1313"/>
      <c r="F588" s="1313"/>
      <c r="I588" s="490"/>
    </row>
    <row r="589" spans="1:9">
      <c r="A589" s="490"/>
      <c r="B589" s="490"/>
      <c r="D589" s="476"/>
      <c r="I589" s="490"/>
    </row>
    <row r="590" spans="1:9">
      <c r="A590" s="490"/>
      <c r="B590" s="485" t="s">
        <v>2764</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2656</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2764</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2656</v>
      </c>
      <c r="D602" s="1313" t="s">
        <v>1067</v>
      </c>
      <c r="E602" s="1313"/>
      <c r="F602" s="1313"/>
      <c r="I602" s="490"/>
    </row>
    <row r="603" spans="1:9">
      <c r="A603" s="490"/>
      <c r="B603" s="490"/>
      <c r="D603" s="1313"/>
      <c r="E603" s="1313"/>
      <c r="F603" s="1313"/>
      <c r="I603" s="490"/>
    </row>
    <row r="604" spans="1:9">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2764</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2764</v>
      </c>
      <c r="D620" s="1307" t="s">
        <v>1109</v>
      </c>
      <c r="E620" s="1307"/>
      <c r="F620" s="1307"/>
      <c r="I620" s="490"/>
    </row>
    <row r="621" spans="1:9">
      <c r="D621" s="1307"/>
      <c r="E621" s="1307"/>
      <c r="F621" s="1307"/>
      <c r="I621" s="490"/>
    </row>
    <row r="622" spans="1:9">
      <c r="I622" s="490"/>
    </row>
    <row r="623" spans="1:9">
      <c r="B623" s="485" t="s">
        <v>2764</v>
      </c>
      <c r="D623" s="1307" t="s">
        <v>1110</v>
      </c>
      <c r="E623" s="1307"/>
      <c r="F623" s="1307"/>
      <c r="I623" s="490"/>
    </row>
    <row r="624" spans="1:9">
      <c r="C624" s="500"/>
      <c r="D624" s="1307"/>
      <c r="E624" s="1307"/>
      <c r="F624" s="1307"/>
      <c r="I624" s="490"/>
    </row>
    <row r="625" spans="1:9">
      <c r="C625" s="500"/>
      <c r="I625" s="490"/>
    </row>
    <row r="626" spans="1:9">
      <c r="B626" s="485" t="s">
        <v>2656</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2764</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2656</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2656</v>
      </c>
      <c r="C643" s="487"/>
      <c r="D643" s="1301" t="s">
        <v>1223</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2656</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2656</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2656</v>
      </c>
      <c r="C658" s="487"/>
      <c r="D658" s="1301" t="s">
        <v>1281</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2656</v>
      </c>
      <c r="C664" s="487"/>
      <c r="D664" s="1301" t="s">
        <v>1280</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2656</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c r="A685" s="484"/>
      <c r="B685" s="485" t="s">
        <v>2764</v>
      </c>
      <c r="C685" s="483"/>
      <c r="D685" s="1299" t="s">
        <v>883</v>
      </c>
      <c r="E685" s="1299"/>
      <c r="F685" s="1299"/>
      <c r="H685" s="501"/>
      <c r="I685" s="483"/>
      <c r="J685" s="501"/>
      <c r="K685" s="501"/>
    </row>
    <row r="686" spans="1:11">
      <c r="A686" s="483"/>
      <c r="B686" s="483"/>
      <c r="C686" s="483"/>
      <c r="D686" s="1299" t="s">
        <v>892</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2656</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2764</v>
      </c>
      <c r="C694" s="483"/>
      <c r="D694" s="1299" t="s">
        <v>915</v>
      </c>
      <c r="E694" s="1299"/>
      <c r="F694" s="1299"/>
      <c r="H694" s="501"/>
      <c r="I694" s="483"/>
      <c r="J694" s="501"/>
      <c r="K694" s="501"/>
    </row>
    <row r="695" spans="1:11">
      <c r="A695" s="484"/>
      <c r="B695" s="484"/>
      <c r="C695" s="483"/>
      <c r="D695" s="1299" t="s">
        <v>892</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2656</v>
      </c>
      <c r="C698" s="483"/>
      <c r="D698" s="1299" t="s">
        <v>2466</v>
      </c>
      <c r="E698" s="1299"/>
      <c r="F698" s="1299"/>
      <c r="H698" s="501"/>
      <c r="I698" s="483"/>
      <c r="J698" s="501"/>
      <c r="K698" s="501"/>
    </row>
    <row r="699" spans="1:11">
      <c r="A699" s="484"/>
      <c r="B699" s="484"/>
      <c r="C699" s="483"/>
      <c r="D699" s="1299" t="s">
        <v>892</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2764</v>
      </c>
      <c r="C702" s="483"/>
      <c r="D702" s="1301" t="s">
        <v>2241</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2764</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2656</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2656</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2656</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2656</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2656</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2656</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c r="A758" s="484"/>
      <c r="B758" s="485" t="s">
        <v>2764</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2656</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2656</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2656</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2656</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2764</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2764</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2656</v>
      </c>
      <c r="C794" s="989"/>
      <c r="D794" s="1294" t="s">
        <v>1756</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2656</v>
      </c>
      <c r="C798" s="989"/>
      <c r="D798" s="1294" t="s">
        <v>1757</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1800</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2656</v>
      </c>
      <c r="C808" s="989"/>
      <c r="D808" s="1294" t="s">
        <v>1758</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2656</v>
      </c>
      <c r="C815" s="989"/>
      <c r="D815" s="1294" t="s">
        <v>1759</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2764</v>
      </c>
      <c r="C822" s="989"/>
      <c r="D822" s="1289" t="s">
        <v>1760</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2764</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2764</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2656</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2656</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2656</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2764</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2764</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2656</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2656</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2656</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2764</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2764</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2764</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2656</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2656</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2656</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2656</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2764</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2764</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2764</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2656</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2656</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2656</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2656</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2764</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2656</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2656</v>
      </c>
      <c r="C1007" s="174"/>
      <c r="D1007" s="1262" t="s">
        <v>2227</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2656</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2656</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2764</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2764</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2656</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2656</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2656</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2656</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2764</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306</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2245</v>
      </c>
      <c r="E1045" s="1287"/>
      <c r="F1045" s="1287"/>
      <c r="G1045" s="98"/>
      <c r="I1045" s="490"/>
    </row>
    <row r="1046" spans="1:9" ht="12.75" customHeight="1">
      <c r="A1046" s="175"/>
      <c r="B1046" s="485" t="s">
        <v>2656</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2656</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2764</v>
      </c>
      <c r="C1062" s="402"/>
      <c r="D1062" s="402" t="s">
        <v>1810</v>
      </c>
      <c r="I1062" s="490"/>
    </row>
    <row r="1063" spans="1:9">
      <c r="A1063" s="402"/>
      <c r="B1063" s="402"/>
      <c r="C1063" s="402"/>
      <c r="I1063" s="490"/>
    </row>
    <row r="1064" spans="1:9">
      <c r="A1064" s="402"/>
      <c r="B1064" s="485" t="s">
        <v>2764</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2764</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2764</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2656</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2656</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2656</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2656</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2656</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2656</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2656</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2764</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2764</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8" sqref="H18:AJ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1796875" hidden="1" customWidth="1"/>
    <col min="57" max="57" width="8.453125" hidden="1" customWidth="1"/>
    <col min="58" max="58" width="8.08984375" hidden="1" customWidth="1"/>
    <col min="59" max="59" width="11.08984375" hidden="1" customWidth="1"/>
    <col min="60" max="60" width="3.7265625" hidden="1" customWidth="1"/>
    <col min="61" max="61" width="8.1796875" hidden="1" customWidth="1"/>
    <col min="62" max="16384" width="3.7265625" hidden="1"/>
  </cols>
  <sheetData>
    <row r="1" spans="1:58" ht="12.9" customHeight="1">
      <c r="J1" s="100"/>
      <c r="AS1" s="1031">
        <v>4</v>
      </c>
      <c r="BD1" s="3" t="s">
        <v>2494</v>
      </c>
      <c r="BE1" s="3"/>
      <c r="BF1" s="3"/>
    </row>
    <row r="2" spans="1:58" ht="12.9" customHeight="1">
      <c r="BD2" s="3" t="s">
        <v>2495</v>
      </c>
      <c r="BE2" s="3" t="s">
        <v>2496</v>
      </c>
      <c r="BF2" s="3" t="s">
        <v>2497</v>
      </c>
    </row>
    <row r="3" spans="1:58" ht="12.9" customHeight="1">
      <c r="BD3" s="3" t="s">
        <v>2592</v>
      </c>
      <c r="BE3" t="str">
        <f>AC220</f>
        <v>Bay Area ((Alameda, Contra Costa, Marin, San Francisco, San Mateo, Santa Clara, and Santa Cruz Counties)</v>
      </c>
    </row>
    <row r="4" spans="1:58" ht="12.9" customHeight="1">
      <c r="BD4" s="3" t="s">
        <v>2504</v>
      </c>
      <c r="BE4" s="1246"/>
    </row>
    <row r="5" spans="1:58" ht="12.9" customHeight="1">
      <c r="BD5" s="3" t="s">
        <v>2505</v>
      </c>
      <c r="BE5">
        <f>SUMIF($AC$718:$AC$752,"&lt;=20%",$G$718:G$752)</f>
        <v>0</v>
      </c>
      <c r="BF5" s="3" t="s">
        <v>2510</v>
      </c>
    </row>
    <row r="6" spans="1:58" ht="12.9" customHeight="1">
      <c r="BD6" s="3" t="s">
        <v>2506</v>
      </c>
      <c r="BE6" s="1249">
        <f>SUMIF($AC$718:$AC$752,"&lt;=25%",$G$718:G$752)-SUM($BE$5:BE5)</f>
        <v>0</v>
      </c>
    </row>
    <row r="7" spans="1:58" ht="12.9" customHeight="1">
      <c r="BD7" s="1247" t="s">
        <v>2498</v>
      </c>
      <c r="BE7" s="1249">
        <f>SUMIF($AC$718:$AC$752,"&lt;=30%",$G$718:G$752)-SUM($BE$5:BE6)</f>
        <v>74</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2507</v>
      </c>
      <c r="BE8" s="1249">
        <f>SUMIF($AC$718:$AC$752,"&lt;=35%",$G$718:G$752)-SUM($BE$5:BE7)</f>
        <v>0</v>
      </c>
    </row>
    <row r="9" spans="1:58" ht="12.9" customHeight="1">
      <c r="A9" s="1374" t="s">
        <v>2074</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2499</v>
      </c>
      <c r="BE9" s="1249">
        <f>SUMIF($AC$718:$AC$752,"&lt;=40%",$G$718:G$752)-SUM($BE$5:BE8)</f>
        <v>0</v>
      </c>
    </row>
    <row r="10" spans="1:58" ht="12.9" customHeight="1">
      <c r="A10" s="1374" t="s">
        <v>2456</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2508</v>
      </c>
      <c r="BE10" s="1249">
        <f>SUMIF($AC$718:$AC$752,"&lt;=45%",$G$718:G$752)-SUM($BE$5:BE9)</f>
        <v>0</v>
      </c>
    </row>
    <row r="11" spans="1:58" ht="12.9" customHeight="1">
      <c r="A11" s="1374" t="s">
        <v>2602</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2500</v>
      </c>
      <c r="BE11" s="1249">
        <f>SUMIF($AC$718:$AC$752,"&lt;=50%",$G$718:G$752)-SUM($BE$5:BE10)</f>
        <v>58</v>
      </c>
    </row>
    <row r="12" spans="1:58" ht="12.9" customHeight="1">
      <c r="A12" s="1413" t="s">
        <v>2608</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2509</v>
      </c>
      <c r="BE12" s="1249">
        <f>SUMIF($AC$718:$AC$752,"&lt;=55%",$G$718:G$752)-SUM($BE$5:BE11)</f>
        <v>0</v>
      </c>
    </row>
    <row r="13" spans="1:58" ht="12.9"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17</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 customHeight="1">
      <c r="A16" s="57" t="s">
        <v>2076</v>
      </c>
      <c r="C16" s="4"/>
      <c r="D16" s="4"/>
      <c r="E16" s="4"/>
      <c r="F16" s="4"/>
      <c r="G16" s="4"/>
      <c r="H16" s="1420" t="s">
        <v>2713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654</v>
      </c>
      <c r="BE16" s="1249" t="str">
        <f>Application!H18</f>
        <v>Metrowalk at Richmond Station</v>
      </c>
    </row>
    <row r="17" spans="1:58" ht="12.9" customHeight="1">
      <c r="BD17" s="1247" t="s">
        <v>2516</v>
      </c>
      <c r="BE17" s="1249">
        <f>Application!AA934</f>
        <v>0</v>
      </c>
    </row>
    <row r="18" spans="1:58" ht="12.9" customHeight="1">
      <c r="A18" s="57" t="s">
        <v>101</v>
      </c>
      <c r="C18" s="4"/>
      <c r="D18" s="4"/>
      <c r="E18" s="4"/>
      <c r="F18" s="4"/>
      <c r="G18" s="4"/>
      <c r="H18" s="1372" t="s">
        <v>2714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2517</v>
      </c>
      <c r="BE18" s="1249">
        <f>'CalHFA Addendum'!N11</f>
        <v>0</v>
      </c>
    </row>
    <row r="19" spans="1:58" ht="12.9" customHeight="1">
      <c r="BD19" s="1247" t="s">
        <v>2518</v>
      </c>
      <c r="BE19" s="1249">
        <f>Application!M26</f>
        <v>5921137</v>
      </c>
    </row>
    <row r="20" spans="1:58" ht="12.9" customHeight="1">
      <c r="A20" s="1414" t="s">
        <v>871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2519</v>
      </c>
      <c r="BE20" s="1249">
        <f>Application!M27</f>
        <v>8900000</v>
      </c>
    </row>
    <row r="21" spans="1:58" ht="12.9" customHeight="1">
      <c r="A21" s="1422" t="s">
        <v>1007</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2520</v>
      </c>
      <c r="BE21" s="1249">
        <f>Application!AM554</f>
        <v>30000000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115354053</v>
      </c>
      <c r="BF22" s="3" t="s">
        <v>2593</v>
      </c>
    </row>
    <row r="23" spans="1:58" ht="12.9"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170399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v>
      </c>
    </row>
    <row r="26" spans="1:58" ht="12.9" customHeight="1">
      <c r="A26" s="4"/>
      <c r="C26" s="4"/>
      <c r="D26" s="4"/>
      <c r="E26" s="4"/>
      <c r="F26" s="4"/>
      <c r="G26" s="4"/>
      <c r="H26" s="4"/>
      <c r="I26" s="4"/>
      <c r="J26" s="4"/>
      <c r="K26" s="4"/>
      <c r="L26" s="4"/>
      <c r="M26" s="1419">
        <f>'Basis &amp; Credits'!AB56</f>
        <v>5921137</v>
      </c>
      <c r="N26" s="1419"/>
      <c r="O26" s="1419"/>
      <c r="P26" s="1419"/>
      <c r="Q26" s="1419"/>
      <c r="R26" s="4" t="s">
        <v>757</v>
      </c>
      <c r="S26" s="4"/>
      <c r="T26" s="4"/>
      <c r="U26" s="4"/>
      <c r="V26" s="4"/>
      <c r="W26" s="4"/>
      <c r="X26" s="4"/>
      <c r="Y26" s="4"/>
      <c r="Z26" s="4"/>
      <c r="AF26" s="4"/>
      <c r="AG26" s="4"/>
      <c r="AH26" s="4"/>
      <c r="AI26" s="4"/>
      <c r="AJ26" s="4"/>
      <c r="AK26" s="4"/>
      <c r="BD26" s="1248" t="s">
        <v>1637</v>
      </c>
      <c r="BE26" s="1249" t="b">
        <f>Application!M356="Yes"</f>
        <v>0</v>
      </c>
    </row>
    <row r="27" spans="1:58" ht="12.9" customHeight="1">
      <c r="A27" s="4"/>
      <c r="C27" s="4"/>
      <c r="D27" s="4"/>
      <c r="E27" s="4"/>
      <c r="F27" s="4"/>
      <c r="G27" s="4"/>
      <c r="H27" s="4"/>
      <c r="I27" s="4"/>
      <c r="J27" s="4"/>
      <c r="K27" s="4"/>
      <c r="L27" s="4"/>
      <c r="M27" s="1354">
        <f>'Basis &amp; Credits'!AB78</f>
        <v>8900000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 customHeight="1">
      <c r="A29" s="1415" t="s">
        <v>2145</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2525</v>
      </c>
      <c r="BE29" s="1249" t="b">
        <f>Application!M358="Yes"</f>
        <v>0</v>
      </c>
    </row>
    <row r="30" spans="1:58" ht="12.9"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2526</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 customHeight="1">
      <c r="A33" s="519" t="s">
        <v>1276</v>
      </c>
      <c r="C33" s="519"/>
      <c r="D33" s="519"/>
      <c r="E33" s="519"/>
      <c r="F33" s="519"/>
      <c r="G33" s="519"/>
      <c r="H33" s="519"/>
      <c r="I33" s="519"/>
      <c r="J33" s="519"/>
      <c r="K33" s="519"/>
      <c r="L33" s="519"/>
      <c r="M33" s="519"/>
      <c r="N33" s="519"/>
      <c r="O33" s="1332" t="s">
        <v>544</v>
      </c>
      <c r="P33" s="1332"/>
      <c r="Q33" s="1416" t="s">
        <v>2146</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2594</v>
      </c>
      <c r="BE33" s="1249" t="str">
        <f>Application!D220</f>
        <v>East Bay Region: Alameda and Contra Costa Counties</v>
      </c>
    </row>
    <row r="34" spans="1:57" ht="12.9" customHeight="1">
      <c r="A34" s="1415" t="s">
        <v>2147</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2528</v>
      </c>
      <c r="BE34" s="1249">
        <f>Application!I185</f>
        <v>0</v>
      </c>
    </row>
    <row r="35" spans="1:57" ht="12.9"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2529</v>
      </c>
      <c r="BE35" s="1249" t="str">
        <f>IF(Application!E187="","",Application!E187)</f>
        <v>Nevin Avenue &amp; 19th Street</v>
      </c>
    </row>
    <row r="36" spans="1:57" ht="12.9"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2530</v>
      </c>
      <c r="BE36" s="1249" t="str">
        <f>Application!I189</f>
        <v>Richmond</v>
      </c>
    </row>
    <row r="37" spans="1:57" ht="12.9"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2531</v>
      </c>
      <c r="BE37" s="1249" t="str">
        <f>Application!T189</f>
        <v>Contra Costa</v>
      </c>
    </row>
    <row r="38" spans="1:57" ht="12.9" customHeight="1">
      <c r="A38" s="3"/>
      <c r="AZ38" s="20"/>
      <c r="BD38" s="1248" t="s">
        <v>2532</v>
      </c>
      <c r="BE38" s="1249">
        <f>Application!I190</f>
        <v>94801</v>
      </c>
    </row>
    <row r="39" spans="1:57" ht="12.9"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150</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149</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0.41208053691275154</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0.41211645405785891</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769027.02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Central Valley Coalition for Affordable Housing</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2.9"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TPC Holdings IX,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2.9"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Pacific West Communities, Inc.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2.9"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Caleb Roope</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2.9"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0.85991399999999996</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 customHeight="1">
      <c r="A65" s="1417" t="s">
        <v>2154</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2591</v>
      </c>
      <c r="BE65" s="1249" t="str">
        <f>Z205</f>
        <v>$500M</v>
      </c>
    </row>
    <row r="66" spans="1:57" ht="12.9"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2556</v>
      </c>
      <c r="BE66" s="1249" t="b">
        <f>Application!Z205="State Farmworker Credit"</f>
        <v>0</v>
      </c>
    </row>
    <row r="67" spans="1:57" ht="12.9"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2557</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 customHeight="1">
      <c r="A69" s="1417" t="s">
        <v>2155</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2559</v>
      </c>
      <c r="BE69" s="1249" t="str">
        <f>Application!W700</f>
        <v>California Municipal Finance Authority (CMFA)</v>
      </c>
    </row>
    <row r="70" spans="1:57" ht="12.9"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2560</v>
      </c>
      <c r="BE70" s="1249">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 customHeight="1">
      <c r="A72" s="1415" t="s">
        <v>2156</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2562</v>
      </c>
      <c r="BE72" s="1249">
        <f>'Points System'!AF805</f>
        <v>10</v>
      </c>
    </row>
    <row r="73" spans="1:57" ht="12.9"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2563</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 customHeight="1">
      <c r="A75" s="1789" t="s">
        <v>2157</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2565</v>
      </c>
      <c r="BE75" s="1249">
        <f>'Points System'!AF808</f>
        <v>10</v>
      </c>
    </row>
    <row r="76" spans="1:57" ht="12.9"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2566</v>
      </c>
      <c r="BE76" s="1249">
        <f>'Points System'!AF811</f>
        <v>10</v>
      </c>
    </row>
    <row r="77" spans="1:57" ht="12.9"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2567</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 customHeight="1">
      <c r="A79" s="1417" t="s">
        <v>2158</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2569</v>
      </c>
      <c r="BE79" s="1249">
        <f>'Points System'!AF815</f>
        <v>9</v>
      </c>
    </row>
    <row r="80" spans="1:57" ht="12.9"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2570</v>
      </c>
      <c r="BE80" s="1249">
        <f>'Points System'!AF817</f>
        <v>10</v>
      </c>
    </row>
    <row r="81" spans="1:57" ht="12.9"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2571</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2.0836405199292787</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City of Richmond</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Shasa Curl</v>
      </c>
    </row>
    <row r="86" spans="1:57" ht="12.9"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450 Civic Center Plaza,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Richmond</v>
      </c>
    </row>
    <row r="89" spans="1:57" ht="12.9" customHeight="1">
      <c r="A89" s="1788" t="s">
        <v>2161</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2579</v>
      </c>
      <c r="BE89" s="1249">
        <f>Application!O158</f>
        <v>94804</v>
      </c>
    </row>
    <row r="90" spans="1:57" ht="12.9"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2580</v>
      </c>
      <c r="BE90" s="1249" t="str">
        <f>Application!H16</f>
        <v>Central Valley Coalition for Affordable Housing, a CA Nonprofit Public Benefit Corp.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3351 M Street, Suite 100</v>
      </c>
    </row>
    <row r="92" spans="1:57" ht="12.9" customHeight="1">
      <c r="A92" s="1789" t="s">
        <v>2162</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2582</v>
      </c>
      <c r="BE92" s="1249" t="str">
        <f>Application!M234</f>
        <v>Merced</v>
      </c>
    </row>
    <row r="93" spans="1:57" ht="12.9"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2583</v>
      </c>
      <c r="BE93" s="1249" t="str">
        <f>Application!W234</f>
        <v>CA</v>
      </c>
    </row>
    <row r="94" spans="1:57" ht="12.9"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2584</v>
      </c>
      <c r="BE94" s="1249">
        <f>Application!AC234</f>
        <v>95348</v>
      </c>
    </row>
    <row r="95" spans="1:57" ht="12.9"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2585</v>
      </c>
      <c r="BE95" s="1249" t="str">
        <f>Application!M235</f>
        <v>Christina Alley</v>
      </c>
    </row>
    <row r="96" spans="1:57" ht="12.9"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2586</v>
      </c>
      <c r="BE96" s="1249" t="str">
        <f>Application!M237</f>
        <v>chris@centralvalleycoalition.com</v>
      </c>
    </row>
    <row r="97" spans="1:57" ht="12.9"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2587</v>
      </c>
      <c r="BE97" s="1249" t="str">
        <f>Application!M248</f>
        <v>chris@centralvalleycoalition.com</v>
      </c>
    </row>
    <row r="98" spans="1:57" ht="12.9"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2588</v>
      </c>
      <c r="BE98" s="1249"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 customHeight="1">
      <c r="A100" s="1790" t="s">
        <v>2163</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2590</v>
      </c>
      <c r="BE100" s="1249" t="str">
        <f>Application!L279</f>
        <v>tonyc@tpchousing.com</v>
      </c>
    </row>
    <row r="101" spans="1:57" ht="12.9"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2595</v>
      </c>
      <c r="BE101">
        <f>'Sources and Uses Budget'!C105</f>
        <v>115354053</v>
      </c>
    </row>
    <row r="102" spans="1:57" ht="12.9"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2596</v>
      </c>
      <c r="BE102" t="b">
        <f>T197="Yes"</f>
        <v>0</v>
      </c>
    </row>
    <row r="103" spans="1:57" ht="12.9"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2173</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90" t="s">
        <v>2164</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791"/>
      <c r="H113" s="1791"/>
      <c r="I113" s="3" t="s">
        <v>181</v>
      </c>
      <c r="L113" s="1791" t="s">
        <v>2610</v>
      </c>
      <c r="M113" s="1791"/>
      <c r="N113" s="1791"/>
      <c r="O113" s="1791"/>
      <c r="P113" s="1797" t="s">
        <v>2237</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3" t="s">
        <v>55</v>
      </c>
      <c r="D115" s="1803"/>
      <c r="E115" s="1803"/>
      <c r="F115" s="1803"/>
      <c r="G115" s="1803"/>
      <c r="H115" s="1803"/>
      <c r="I115" s="1803"/>
      <c r="J115" s="1803"/>
      <c r="K115" s="1803"/>
      <c r="L115" s="202" t="s">
        <v>2715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791"/>
      <c r="Z117" s="1791"/>
      <c r="AA117" s="1791"/>
      <c r="AB117" s="1791"/>
      <c r="AC117" s="1791"/>
      <c r="AD117" s="1791"/>
      <c r="AE117" s="1791"/>
      <c r="AF117" s="1791"/>
      <c r="AG117" s="1791"/>
      <c r="AH117" s="1791"/>
      <c r="AI117" s="1791"/>
      <c r="AJ117" s="1791"/>
      <c r="AK117" s="1791"/>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1" t="s">
        <v>2622</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57" t="s">
        <v>468</v>
      </c>
      <c r="CV122" s="1658"/>
      <c r="CW122" s="14"/>
      <c r="CX122" s="14" t="s">
        <v>632</v>
      </c>
      <c r="CY122" s="14"/>
      <c r="CZ122" s="14"/>
      <c r="DA122" s="14"/>
      <c r="DB122" s="14"/>
      <c r="DC122" s="14"/>
      <c r="DD122" s="14"/>
      <c r="DE122" s="14"/>
      <c r="DF122" s="14"/>
      <c r="DG122" s="1654" t="str">
        <f>T189</f>
        <v>Contra Costa</v>
      </c>
      <c r="DH122" s="1655"/>
      <c r="DI122" s="1655"/>
      <c r="DJ122" s="1655"/>
      <c r="DK122" s="1655"/>
      <c r="DL122" s="1655"/>
      <c r="DM122" s="1656"/>
    </row>
    <row r="123" spans="1:117" ht="12.9" customHeight="1">
      <c r="A123" s="3"/>
      <c r="B123" s="3"/>
      <c r="T123" s="3"/>
      <c r="U123" s="3"/>
      <c r="V123" s="3"/>
      <c r="W123" s="3"/>
      <c r="X123" s="3"/>
      <c r="Y123" s="1791" t="s">
        <v>2716</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 customHeight="1">
      <c r="BM152">
        <v>4</v>
      </c>
      <c r="BN152" s="3" t="s">
        <v>2462</v>
      </c>
    </row>
    <row r="153" spans="1:108" ht="12.9" customHeight="1">
      <c r="D153" t="s">
        <v>643</v>
      </c>
      <c r="O153" s="1372" t="s">
        <v>2717</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2464</v>
      </c>
      <c r="CR153" s="31" t="s">
        <v>2597</v>
      </c>
      <c r="CS153" s="32"/>
      <c r="CT153" s="32"/>
      <c r="CU153" s="32"/>
      <c r="CV153" s="32"/>
      <c r="CW153" s="32"/>
      <c r="CX153" s="14"/>
      <c r="CY153" s="31" t="s">
        <v>2598</v>
      </c>
      <c r="CZ153" s="14"/>
      <c r="DA153" s="14"/>
      <c r="DB153" s="14"/>
      <c r="DC153" s="14"/>
      <c r="DD153" s="14"/>
    </row>
    <row r="154" spans="1:108" ht="12.9" customHeight="1">
      <c r="D154" s="303" t="s">
        <v>439</v>
      </c>
      <c r="O154" s="1459" t="s">
        <v>2718</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2465</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12" t="s">
        <v>2698</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372" t="s">
        <v>2719</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372" t="s">
        <v>2720</v>
      </c>
      <c r="P157" s="1418"/>
      <c r="Q157" s="1418"/>
      <c r="R157" s="1418"/>
      <c r="S157" s="1418"/>
      <c r="T157" s="1418"/>
      <c r="U157" s="1418"/>
      <c r="V157" s="1418"/>
      <c r="W157" s="1418"/>
      <c r="X157" s="1418"/>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94">
        <v>94804</v>
      </c>
      <c r="P158" s="1794"/>
      <c r="Q158" s="1794"/>
      <c r="R158" s="1794"/>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24" t="s">
        <v>2721</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424" t="s">
        <v>2722</v>
      </c>
      <c r="P160" s="1783"/>
      <c r="Q160" s="1783"/>
      <c r="R160" s="1783"/>
      <c r="S160" s="1783"/>
      <c r="T160" s="1783"/>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2.9" customHeight="1">
      <c r="D161" t="s">
        <v>317</v>
      </c>
      <c r="O161" s="1787" t="s">
        <v>2723</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2.9" customHeight="1">
      <c r="C164" s="27"/>
      <c r="D164" s="1804" t="s">
        <v>2214</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2.9" customHeight="1">
      <c r="A169" s="1423" t="s">
        <v>538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2.9"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2.9" customHeight="1">
      <c r="C174" s="24"/>
      <c r="D174" s="3" t="s">
        <v>1200</v>
      </c>
      <c r="J174" s="1373" t="s">
        <v>2099</v>
      </c>
      <c r="K174" s="1373"/>
      <c r="L174" s="1373"/>
      <c r="M174" s="1373"/>
      <c r="N174" s="1373"/>
      <c r="O174" s="1373"/>
      <c r="P174" s="1373"/>
      <c r="Q174" s="1373"/>
      <c r="R174" s="1373"/>
      <c r="S174" s="1373"/>
      <c r="T174" s="1373"/>
      <c r="U174" s="1373"/>
      <c r="V174" s="1373"/>
      <c r="W174" s="1373"/>
      <c r="X174" s="1373"/>
      <c r="Y174" s="1373"/>
      <c r="Z174" s="1373"/>
      <c r="AA174" s="1373"/>
      <c r="AB174" s="1373"/>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332" t="s">
        <v>544</v>
      </c>
      <c r="V175" s="1332"/>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2077</v>
      </c>
      <c r="T176" s="27" t="s">
        <v>304</v>
      </c>
      <c r="U176" s="1427">
        <v>25</v>
      </c>
      <c r="V176" s="1427"/>
      <c r="W176" s="1" t="s">
        <v>305</v>
      </c>
      <c r="X176" s="1786">
        <v>534</v>
      </c>
      <c r="Y176" s="1786"/>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332" t="s">
        <v>667</v>
      </c>
      <c r="S177" s="1332"/>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1201</v>
      </c>
      <c r="AA178" t="s">
        <v>2077</v>
      </c>
      <c r="AE178" s="27" t="s">
        <v>304</v>
      </c>
      <c r="AF178" s="1785"/>
      <c r="AG178" s="1785"/>
      <c r="AH178" s="1" t="s">
        <v>305</v>
      </c>
      <c r="AI178" s="1808"/>
      <c r="AJ178" s="1808"/>
      <c r="AK178" s="1808"/>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2078</v>
      </c>
      <c r="X180" s="1332" t="s">
        <v>667</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577</v>
      </c>
      <c r="I184" s="1359" t="str">
        <f>H18</f>
        <v>Metrowalk at Richmond Station</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578</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806" t="s">
        <v>2724</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579</v>
      </c>
      <c r="I189" s="1372" t="s">
        <v>2720</v>
      </c>
      <c r="J189" s="1373"/>
      <c r="K189" s="1373"/>
      <c r="L189" s="1373"/>
      <c r="M189" s="1373"/>
      <c r="N189" s="1373"/>
      <c r="O189" s="1373"/>
      <c r="P189" s="1373"/>
      <c r="Q189" t="s">
        <v>581</v>
      </c>
      <c r="T189" s="1373" t="s">
        <v>481</v>
      </c>
      <c r="U189" s="1373"/>
      <c r="V189" s="1373"/>
      <c r="W189" s="1373"/>
      <c r="X189" s="1373"/>
      <c r="Y189" s="1373"/>
      <c r="Z189" s="1373"/>
      <c r="AA189" s="1373"/>
      <c r="AB189" s="1373"/>
      <c r="AC189" s="1373"/>
      <c r="AD189" s="1373"/>
      <c r="AE189" s="137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582</v>
      </c>
      <c r="I190" s="1349">
        <v>94801</v>
      </c>
      <c r="J190" s="1349"/>
      <c r="K190" s="1349"/>
      <c r="L190" s="1349"/>
      <c r="M190" s="1349"/>
      <c r="N190" s="1349"/>
      <c r="O190" t="s">
        <v>584</v>
      </c>
      <c r="T190" s="1792">
        <v>3750</v>
      </c>
      <c r="U190" s="1792"/>
      <c r="V190" s="1792"/>
      <c r="W190" s="1792"/>
      <c r="X190" s="1792"/>
      <c r="Y190" s="1792"/>
      <c r="Z190" s="1792"/>
      <c r="AA190" s="1792"/>
      <c r="AB190" s="1792"/>
      <c r="AC190" s="1792"/>
      <c r="AD190" s="1792"/>
      <c r="AE190" s="1792"/>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461</v>
      </c>
      <c r="N191" s="1806" t="s">
        <v>2725</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2079</v>
      </c>
      <c r="M193" s="40"/>
      <c r="N193" s="894"/>
      <c r="O193" s="894"/>
      <c r="P193" s="894"/>
      <c r="Q193" s="894"/>
      <c r="R193" s="894"/>
      <c r="S193" s="894"/>
      <c r="T193" s="1796" t="s">
        <v>2211</v>
      </c>
      <c r="U193" s="1796"/>
      <c r="V193" s="1796"/>
      <c r="W193" s="1796"/>
      <c r="X193" s="1796"/>
      <c r="Y193" s="1796"/>
      <c r="Z193" s="1796"/>
      <c r="AA193" s="1796"/>
      <c r="AB193" s="1796"/>
      <c r="AC193" s="1796"/>
      <c r="AD193" s="1796"/>
      <c r="AE193" s="1796"/>
      <c r="AF193" s="1796"/>
      <c r="AG193" s="1796"/>
      <c r="AH193" s="1796"/>
      <c r="AI193" s="1796"/>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2.9" customHeight="1">
      <c r="C194" s="21"/>
      <c r="D194" s="3" t="s">
        <v>2213</v>
      </c>
      <c r="M194" s="40"/>
      <c r="N194" s="894"/>
      <c r="O194" s="894"/>
      <c r="P194" s="894"/>
      <c r="Q194" s="894"/>
      <c r="R194" s="894"/>
      <c r="S194" s="894"/>
      <c r="AH194" s="1332" t="s">
        <v>667</v>
      </c>
      <c r="AI194" s="1332"/>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2.9" customHeight="1">
      <c r="C195" s="21"/>
      <c r="D195" t="s">
        <v>330</v>
      </c>
      <c r="T195" s="1332" t="s">
        <v>667</v>
      </c>
      <c r="U195" s="1332"/>
      <c r="W195" t="s">
        <v>682</v>
      </c>
      <c r="AH195" s="1332">
        <v>8</v>
      </c>
      <c r="AI195" s="1332"/>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2.9" customHeight="1">
      <c r="C196" s="21"/>
      <c r="D196" t="s">
        <v>385</v>
      </c>
      <c r="T196" s="1404" t="s">
        <v>544</v>
      </c>
      <c r="U196" s="1404"/>
      <c r="W196" t="s">
        <v>683</v>
      </c>
      <c r="AH196" s="1332">
        <v>14</v>
      </c>
      <c r="AI196" s="1332"/>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2.9" customHeight="1">
      <c r="C197" s="21"/>
      <c r="D197" s="3" t="s">
        <v>168</v>
      </c>
      <c r="T197" s="1404" t="s">
        <v>667</v>
      </c>
      <c r="U197" s="1404"/>
      <c r="W197" t="s">
        <v>684</v>
      </c>
      <c r="AH197" s="1332">
        <v>7</v>
      </c>
      <c r="AI197" s="1332"/>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2.9" customHeight="1">
      <c r="A198"/>
      <c r="B198"/>
      <c r="C198" s="21"/>
      <c r="D198" s="3" t="s">
        <v>1650</v>
      </c>
      <c r="E198"/>
      <c r="F198"/>
      <c r="G198"/>
      <c r="H198"/>
      <c r="I198"/>
      <c r="J198"/>
      <c r="K198"/>
      <c r="L198"/>
      <c r="M198"/>
      <c r="N198"/>
      <c r="O198"/>
      <c r="P198"/>
      <c r="Q198"/>
      <c r="R198"/>
      <c r="S198"/>
      <c r="T198" s="1801" t="s">
        <v>590</v>
      </c>
      <c r="U198" s="1404"/>
      <c r="V198"/>
      <c r="X198" s="1415" t="s">
        <v>2511</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2514</v>
      </c>
      <c r="E199"/>
      <c r="F199"/>
      <c r="G199"/>
      <c r="H199"/>
      <c r="I199"/>
      <c r="J199"/>
      <c r="K199"/>
      <c r="L199"/>
      <c r="M199"/>
      <c r="N199"/>
      <c r="O199"/>
      <c r="P199"/>
      <c r="Q199"/>
      <c r="R199"/>
      <c r="S199"/>
      <c r="T199" s="1332" t="s">
        <v>667</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2512</v>
      </c>
      <c r="T200" s="1332" t="s">
        <v>667</v>
      </c>
      <c r="U200" s="1332"/>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2.9" customHeight="1">
      <c r="D204" s="1359" t="s">
        <v>384</v>
      </c>
      <c r="E204" s="1359"/>
      <c r="F204" s="1359"/>
      <c r="G204" s="1359"/>
      <c r="H204" s="1359"/>
      <c r="I204" s="1359"/>
      <c r="J204" s="1359"/>
      <c r="K204" s="1359"/>
      <c r="L204" s="1359"/>
      <c r="M204" s="1359"/>
      <c r="P204" s="1805">
        <f>M26</f>
        <v>5921137</v>
      </c>
      <c r="Q204" s="1784"/>
      <c r="R204" s="1784"/>
      <c r="S204" s="1784"/>
      <c r="T204" s="1784"/>
      <c r="U204" s="1784"/>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2.9" customHeight="1">
      <c r="C205" s="21"/>
      <c r="D205" s="1816" t="s">
        <v>1245</v>
      </c>
      <c r="E205" s="1359"/>
      <c r="F205" s="1359"/>
      <c r="G205" s="1359"/>
      <c r="H205" s="1359"/>
      <c r="I205" s="1359"/>
      <c r="J205" s="1359"/>
      <c r="K205" s="1359"/>
      <c r="L205" s="1359"/>
      <c r="M205" s="1359"/>
      <c r="P205" s="1784">
        <f>M27</f>
        <v>8900000</v>
      </c>
      <c r="Q205" s="1784"/>
      <c r="R205" s="1784"/>
      <c r="S205" s="1784"/>
      <c r="T205" s="1784"/>
      <c r="U205" s="1784"/>
      <c r="V205" s="28"/>
      <c r="W205" s="3" t="s">
        <v>1718</v>
      </c>
      <c r="Z205" s="1814" t="s">
        <v>2217</v>
      </c>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2.9" customHeight="1">
      <c r="C208" s="21"/>
      <c r="D208" s="1418" t="s">
        <v>2726</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1039</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2228</v>
      </c>
      <c r="Q212" s="1332">
        <v>0</v>
      </c>
      <c r="R212" s="1332"/>
      <c r="T212" s="1798">
        <f>IFERROR(Q212/AG440,0)</f>
        <v>0</v>
      </c>
      <c r="U212" s="179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1651</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1649</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591</v>
      </c>
      <c r="C218" s="2" t="s">
        <v>2231</v>
      </c>
      <c r="D218" s="28"/>
      <c r="AC218" s="2" t="s">
        <v>2460</v>
      </c>
      <c r="BC218" t="s">
        <v>528</v>
      </c>
    </row>
    <row r="219" spans="1:108" ht="12.9" customHeight="1">
      <c r="A219" s="2"/>
      <c r="C219" s="2"/>
      <c r="D219" s="3" t="s">
        <v>2461</v>
      </c>
      <c r="AZ219" s="3"/>
      <c r="BA219" s="3"/>
      <c r="BC219" t="s">
        <v>376</v>
      </c>
    </row>
    <row r="220" spans="1:108" ht="12.9" customHeight="1">
      <c r="A220" s="2"/>
      <c r="C220" s="2"/>
      <c r="D220" s="1418" t="s">
        <v>1061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
        <v>2463</v>
      </c>
      <c r="AD220" s="1815"/>
      <c r="AE220" s="1815"/>
      <c r="AF220" s="1815"/>
      <c r="AG220" s="1815"/>
      <c r="AH220" s="1815"/>
      <c r="AI220" s="1815"/>
      <c r="AJ220" s="1815"/>
      <c r="AK220" s="1815"/>
      <c r="AL220" s="1815"/>
      <c r="AM220" s="1815"/>
      <c r="AN220" s="1815"/>
      <c r="AO220" s="1815"/>
      <c r="AP220" s="1815"/>
      <c r="AQ220" s="1815"/>
      <c r="BA220" s="3"/>
      <c r="BC220" t="s">
        <v>299</v>
      </c>
    </row>
    <row r="221" spans="1:108" ht="12.9" customHeight="1">
      <c r="A221" s="2"/>
      <c r="B221" s="14"/>
      <c r="C221" s="2"/>
      <c r="BA221" s="3"/>
    </row>
    <row r="222" spans="1:108" ht="12.9" customHeight="1">
      <c r="A222" s="1423" t="s">
        <v>539</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590</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544</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793" t="str">
        <f>H16</f>
        <v>Central Valley Coalition for Affordable Housing, a CA Nonprofit Public Benefit Corp.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537</v>
      </c>
      <c r="BG232" s="241">
        <f>IF(AND(AND($M$249="nonprofit",$M$257="nonprofit",$M$265="for profit")),2,0)</f>
        <v>0</v>
      </c>
    </row>
    <row r="233" spans="1:59" ht="12.9" customHeight="1">
      <c r="D233" s="4" t="s">
        <v>85</v>
      </c>
      <c r="E233" s="4"/>
      <c r="F233" s="4"/>
      <c r="G233" s="4"/>
      <c r="H233" s="4"/>
      <c r="I233" s="4"/>
      <c r="J233" s="4"/>
      <c r="K233" s="4"/>
      <c r="M233" s="1372" t="s">
        <v>2620</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 customHeight="1">
      <c r="D234" s="4" t="s">
        <v>579</v>
      </c>
      <c r="E234" s="4"/>
      <c r="M234" s="1372" t="s">
        <v>55</v>
      </c>
      <c r="N234" s="1418"/>
      <c r="O234" s="1418"/>
      <c r="P234" s="1418"/>
      <c r="Q234" s="1418"/>
      <c r="R234" s="1418"/>
      <c r="S234" s="1418"/>
      <c r="T234" s="1418"/>
      <c r="V234" s="33" t="s">
        <v>86</v>
      </c>
      <c r="W234" s="1459" t="s">
        <v>2621</v>
      </c>
      <c r="X234" s="1438"/>
      <c r="Y234" s="4" t="s">
        <v>582</v>
      </c>
      <c r="AC234" s="1418">
        <v>95348</v>
      </c>
      <c r="AD234" s="1418"/>
      <c r="AE234" s="1418"/>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372" t="s">
        <v>2622</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t="s">
        <v>2623</v>
      </c>
      <c r="N236" s="1347"/>
      <c r="O236" s="1347"/>
      <c r="P236" s="1347"/>
      <c r="Q236" s="1347"/>
      <c r="R236" s="1347"/>
      <c r="S236" s="4" t="s">
        <v>205</v>
      </c>
      <c r="T236" s="4"/>
      <c r="U236" s="1438"/>
      <c r="V236" s="1438"/>
      <c r="W236" s="1438"/>
      <c r="X236" s="4" t="s">
        <v>89</v>
      </c>
      <c r="Z236" s="1346" t="s">
        <v>2624</v>
      </c>
      <c r="AA236" s="1347"/>
      <c r="AB236" s="1347"/>
      <c r="AC236" s="1347"/>
      <c r="AD236" s="1347"/>
      <c r="AE236" s="1347"/>
      <c r="AU236" s="4"/>
      <c r="AV236" s="4"/>
      <c r="AW236" s="4"/>
      <c r="AX236" s="4"/>
      <c r="AY236" s="4"/>
      <c r="AZ236" s="4"/>
      <c r="BB236" s="204" t="s">
        <v>536</v>
      </c>
      <c r="BG236" s="241">
        <f>IF(AND(AND($M$249="nonprofit",$M$257="nonprofit",$M$265="(select one)")),1,0)</f>
        <v>0</v>
      </c>
    </row>
    <row r="237" spans="1:59" ht="12.9" customHeight="1">
      <c r="D237" s="4" t="s">
        <v>90</v>
      </c>
      <c r="E237" s="4"/>
      <c r="F237" s="4"/>
      <c r="M237" s="1787" t="s">
        <v>2625</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49" t="s">
        <v>376</v>
      </c>
      <c r="N238" s="1349"/>
      <c r="O238" s="1349"/>
      <c r="P238" s="1349"/>
      <c r="Q238" s="1349"/>
      <c r="R238" s="1349"/>
      <c r="S238" s="1349"/>
      <c r="T238" s="1349"/>
      <c r="U238" s="204" t="s">
        <v>904</v>
      </c>
      <c r="V238" s="204"/>
      <c r="W238" s="204"/>
      <c r="X238" s="204"/>
      <c r="Y238" s="204"/>
      <c r="Z238" s="204"/>
      <c r="AA238" s="1777" t="s">
        <v>590</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2.9" customHeight="1">
      <c r="D240" s="4"/>
      <c r="BB240" s="204" t="s">
        <v>875</v>
      </c>
      <c r="BG240" s="241">
        <f>IF(AND(AND($M$249="for profit",$M$257="for profit",$M$265="for profit")),3,0)</f>
        <v>0</v>
      </c>
    </row>
    <row r="241" spans="1:67" ht="12.9"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420" t="s">
        <v>2618</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2619</v>
      </c>
      <c r="AG243" s="1421"/>
      <c r="AH243" s="1421"/>
      <c r="AI243" s="1421"/>
      <c r="AJ243" s="1421"/>
      <c r="AK243" s="142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372" t="s">
        <v>2620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306</v>
      </c>
      <c r="BG244">
        <v>1</v>
      </c>
      <c r="BH244" t="s">
        <v>533</v>
      </c>
    </row>
    <row r="245" spans="1:67" ht="12.9" customHeight="1">
      <c r="A245" s="19"/>
      <c r="B245" s="4"/>
      <c r="C245" s="4"/>
      <c r="D245" s="4" t="s">
        <v>579</v>
      </c>
      <c r="E245" s="4"/>
      <c r="M245" s="1372" t="s">
        <v>55</v>
      </c>
      <c r="N245" s="1418"/>
      <c r="O245" s="1418"/>
      <c r="P245" s="1418"/>
      <c r="Q245" s="1418"/>
      <c r="R245" s="1418"/>
      <c r="S245" s="1418"/>
      <c r="T245" s="1418"/>
      <c r="V245" s="33" t="s">
        <v>86</v>
      </c>
      <c r="W245" s="1459" t="s">
        <v>2621</v>
      </c>
      <c r="X245" s="1438"/>
      <c r="Y245" s="4" t="s">
        <v>582</v>
      </c>
      <c r="AC245" s="1418">
        <v>95348</v>
      </c>
      <c r="AD245" s="1418"/>
      <c r="AE245" s="1418"/>
      <c r="AF245" s="3" t="s">
        <v>1178</v>
      </c>
      <c r="AU245" s="4"/>
      <c r="AV245" s="4"/>
      <c r="AW245" s="4"/>
      <c r="AX245" s="4"/>
      <c r="AY245" s="4"/>
      <c r="BB245" s="4" t="s">
        <v>279</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372" t="s">
        <v>2622</v>
      </c>
      <c r="N246" s="1418"/>
      <c r="O246" s="1418"/>
      <c r="P246" s="1418"/>
      <c r="Q246" s="1418"/>
      <c r="R246" s="1418"/>
      <c r="S246" s="1418"/>
      <c r="T246" s="1418"/>
      <c r="U246" s="1418"/>
      <c r="V246" s="1418"/>
      <c r="W246" s="1418"/>
      <c r="X246" s="1418"/>
      <c r="Y246" s="1418"/>
      <c r="Z246" s="1418"/>
      <c r="AA246" s="1418"/>
      <c r="AB246" s="1418"/>
      <c r="AC246" s="1418"/>
      <c r="AD246" s="1418"/>
      <c r="AE246" s="1418"/>
      <c r="AH246" s="1781">
        <v>1E-3</v>
      </c>
      <c r="AI246" s="1781"/>
      <c r="AJ246" s="1781"/>
      <c r="AK246" s="1781"/>
      <c r="AL246" s="4"/>
      <c r="AM246" s="4"/>
      <c r="AN246" s="4"/>
      <c r="AO246" s="4"/>
      <c r="AP246" s="4"/>
      <c r="AQ246" s="4"/>
      <c r="AR246" s="4"/>
      <c r="AS246" s="4"/>
      <c r="AT246" s="4"/>
      <c r="BB246" s="4" t="s">
        <v>172</v>
      </c>
      <c r="BG246">
        <v>3</v>
      </c>
      <c r="BH246" t="s">
        <v>535</v>
      </c>
      <c r="BN246" s="34"/>
    </row>
    <row r="247" spans="1:67" ht="12.9" customHeight="1">
      <c r="A247" s="19"/>
      <c r="B247" s="4"/>
      <c r="C247" s="4"/>
      <c r="D247" s="4" t="s">
        <v>88</v>
      </c>
      <c r="E247" s="4"/>
      <c r="F247" s="4"/>
      <c r="M247" s="1346" t="s">
        <v>2623</v>
      </c>
      <c r="N247" s="1347"/>
      <c r="O247" s="1347"/>
      <c r="P247" s="1347"/>
      <c r="Q247" s="1347"/>
      <c r="R247" s="1347"/>
      <c r="S247" s="4" t="s">
        <v>205</v>
      </c>
      <c r="T247" s="4"/>
      <c r="U247" s="1438"/>
      <c r="V247" s="1438"/>
      <c r="W247" s="1438"/>
      <c r="X247" s="4" t="s">
        <v>89</v>
      </c>
      <c r="Z247" s="1346" t="s">
        <v>2624</v>
      </c>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7" t="s">
        <v>2625</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49" t="s">
        <v>533</v>
      </c>
      <c r="N249" s="1349"/>
      <c r="O249" s="1349"/>
      <c r="P249" s="1349"/>
      <c r="Q249" s="1349"/>
      <c r="R249" s="1349"/>
      <c r="S249" s="1349"/>
      <c r="T249" s="1349"/>
      <c r="U249" s="204" t="s">
        <v>904</v>
      </c>
      <c r="V249" s="204"/>
      <c r="W249" s="204"/>
      <c r="X249" s="204"/>
      <c r="Y249" s="204"/>
      <c r="Z249" s="204"/>
      <c r="AA249" s="1777" t="s">
        <v>590</v>
      </c>
      <c r="AB249" s="1778"/>
      <c r="AC249" s="1778"/>
      <c r="AD249" s="1778"/>
      <c r="AE249" s="1778"/>
      <c r="AF249" s="1778"/>
      <c r="AG249" s="1778"/>
      <c r="AH249" s="1778"/>
      <c r="AI249" s="1778"/>
      <c r="AJ249" s="1778"/>
      <c r="AK249" s="177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953</v>
      </c>
      <c r="E251" s="4"/>
      <c r="F251" s="4"/>
      <c r="G251" s="4"/>
      <c r="H251" s="4"/>
      <c r="I251" s="4"/>
      <c r="J251" s="4"/>
      <c r="K251" s="4"/>
      <c r="L251" s="4"/>
      <c r="M251" s="1420" t="s">
        <v>2626</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2627</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372" t="s">
        <v>2613</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 customHeight="1">
      <c r="A253" s="19"/>
      <c r="B253" s="4"/>
      <c r="C253" s="4"/>
      <c r="D253" s="4" t="s">
        <v>579</v>
      </c>
      <c r="E253" s="4"/>
      <c r="M253" s="1372" t="s">
        <v>2611</v>
      </c>
      <c r="N253" s="1418"/>
      <c r="O253" s="1418"/>
      <c r="P253" s="1418"/>
      <c r="Q253" s="1418"/>
      <c r="R253" s="1418"/>
      <c r="S253" s="1418"/>
      <c r="T253" s="1418"/>
      <c r="V253" s="33" t="s">
        <v>86</v>
      </c>
      <c r="W253" s="1459" t="s">
        <v>2614</v>
      </c>
      <c r="X253" s="1438"/>
      <c r="Y253" s="4" t="s">
        <v>582</v>
      </c>
      <c r="AC253" s="1418">
        <v>83616</v>
      </c>
      <c r="AD253" s="1418"/>
      <c r="AE253" s="1418"/>
      <c r="AF253" s="3" t="s">
        <v>1178</v>
      </c>
      <c r="AU253" s="4"/>
      <c r="AV253" s="4"/>
      <c r="AW253" s="4"/>
      <c r="AX253" s="4"/>
      <c r="AY253" s="4"/>
      <c r="BN253" s="34"/>
    </row>
    <row r="254" spans="1:67" ht="12.9" customHeight="1">
      <c r="A254" s="19"/>
      <c r="B254" s="4"/>
      <c r="C254" s="4"/>
      <c r="D254" s="4" t="s">
        <v>87</v>
      </c>
      <c r="E254" s="4"/>
      <c r="F254" s="4"/>
      <c r="G254" s="4"/>
      <c r="H254" s="4"/>
      <c r="I254" s="4"/>
      <c r="J254" s="4"/>
      <c r="K254" s="4"/>
      <c r="L254" s="19"/>
      <c r="M254" s="1372" t="s">
        <v>2612</v>
      </c>
      <c r="N254" s="1418"/>
      <c r="O254" s="1418"/>
      <c r="P254" s="1418"/>
      <c r="Q254" s="1418"/>
      <c r="R254" s="1418"/>
      <c r="S254" s="1418"/>
      <c r="T254" s="1418"/>
      <c r="U254" s="1418"/>
      <c r="V254" s="1418"/>
      <c r="W254" s="1418"/>
      <c r="X254" s="1418"/>
      <c r="Y254" s="1418"/>
      <c r="Z254" s="1418"/>
      <c r="AA254" s="1418"/>
      <c r="AB254" s="1418"/>
      <c r="AC254" s="1418"/>
      <c r="AD254" s="1418"/>
      <c r="AE254" s="1418"/>
      <c r="AH254" s="1781">
        <v>8.9999999999999993E-3</v>
      </c>
      <c r="AI254" s="1781"/>
      <c r="AJ254" s="1781"/>
      <c r="AK254" s="1781"/>
      <c r="AL254" s="4"/>
      <c r="AM254" s="4"/>
      <c r="AN254" s="4"/>
      <c r="AO254" s="4"/>
      <c r="AP254" s="4"/>
      <c r="AQ254" s="4"/>
      <c r="AR254" s="4"/>
      <c r="AS254" s="4"/>
      <c r="AT254" s="4"/>
    </row>
    <row r="255" spans="1:67" ht="12.9" customHeight="1">
      <c r="A255" s="19"/>
      <c r="B255" s="4"/>
      <c r="C255" s="4"/>
      <c r="D255" s="4" t="s">
        <v>88</v>
      </c>
      <c r="E255" s="4"/>
      <c r="F255" s="4"/>
      <c r="M255" s="1346" t="s">
        <v>2615</v>
      </c>
      <c r="N255" s="1347"/>
      <c r="O255" s="1347"/>
      <c r="P255" s="1347"/>
      <c r="Q255" s="1347"/>
      <c r="R255" s="1347"/>
      <c r="S255" s="4" t="s">
        <v>205</v>
      </c>
      <c r="T255" s="4"/>
      <c r="U255" s="1438">
        <v>3015</v>
      </c>
      <c r="V255" s="1438"/>
      <c r="W255" s="1438"/>
      <c r="X255" s="4" t="s">
        <v>89</v>
      </c>
      <c r="Z255" s="1346" t="s">
        <v>2616</v>
      </c>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7" t="s">
        <v>2617</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49" t="s">
        <v>535</v>
      </c>
      <c r="N257" s="1349"/>
      <c r="O257" s="1349"/>
      <c r="P257" s="1349"/>
      <c r="Q257" s="1349"/>
      <c r="R257" s="1349"/>
      <c r="S257" s="1349"/>
      <c r="T257" s="1349"/>
      <c r="U257" s="204" t="s">
        <v>904</v>
      </c>
      <c r="V257" s="204"/>
      <c r="W257" s="204"/>
      <c r="X257" s="204"/>
      <c r="Y257" s="204"/>
      <c r="Z257" s="204"/>
      <c r="AA257" s="1777" t="s">
        <v>2628</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874</v>
      </c>
      <c r="D259" s="4" t="s">
        <v>531</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372"/>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372"/>
      <c r="N261" s="1418"/>
      <c r="O261" s="1418"/>
      <c r="P261" s="1418"/>
      <c r="Q261" s="1418"/>
      <c r="R261" s="1418"/>
      <c r="S261" s="1418"/>
      <c r="T261" s="1418"/>
      <c r="V261" s="33" t="s">
        <v>86</v>
      </c>
      <c r="W261" s="1459"/>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372"/>
      <c r="N262" s="1418"/>
      <c r="O262" s="1418"/>
      <c r="P262" s="1418"/>
      <c r="Q262" s="1418"/>
      <c r="R262" s="1418"/>
      <c r="S262" s="1418"/>
      <c r="T262" s="1418"/>
      <c r="U262" s="1418"/>
      <c r="V262" s="1418"/>
      <c r="W262" s="1418"/>
      <c r="X262" s="1418"/>
      <c r="Y262" s="1418"/>
      <c r="Z262" s="1418"/>
      <c r="AA262" s="1418"/>
      <c r="AB262" s="1418"/>
      <c r="AC262" s="1418"/>
      <c r="AD262" s="1418"/>
      <c r="AE262" s="1418"/>
      <c r="AH262" s="1781"/>
      <c r="AI262" s="1781"/>
      <c r="AJ262" s="1781"/>
      <c r="AK262" s="178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6"/>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49" t="s">
        <v>306</v>
      </c>
      <c r="N265" s="1349"/>
      <c r="O265" s="1349"/>
      <c r="P265" s="1349"/>
      <c r="Q265" s="1349"/>
      <c r="R265" s="1349"/>
      <c r="S265" s="1349"/>
      <c r="T265" s="1349"/>
      <c r="U265" s="204" t="s">
        <v>904</v>
      </c>
      <c r="V265" s="204"/>
      <c r="W265" s="204"/>
      <c r="X265" s="204"/>
      <c r="Y265" s="204"/>
      <c r="Z265" s="204"/>
      <c r="AA265" s="1779"/>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294</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952</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2.9"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2.9" customHeight="1">
      <c r="A270" s="4"/>
      <c r="B270" s="36">
        <v>0</v>
      </c>
      <c r="D270" s="1418" t="s">
        <v>279</v>
      </c>
      <c r="E270" s="1418"/>
      <c r="F270" s="1418"/>
      <c r="G270" s="1418"/>
      <c r="H270" s="1418"/>
      <c r="J270" t="s">
        <v>278</v>
      </c>
      <c r="X270" s="1691"/>
      <c r="Y270" s="1691"/>
      <c r="Z270" s="1691"/>
      <c r="AA270" s="1691"/>
      <c r="AB270" s="1691"/>
      <c r="AC270" s="1691"/>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420" t="s">
        <v>2629</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372" t="s">
        <v>2613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579</v>
      </c>
      <c r="E276" s="4"/>
      <c r="L276" s="1372" t="s">
        <v>2611</v>
      </c>
      <c r="M276" s="1418"/>
      <c r="N276" s="1418"/>
      <c r="O276" s="1418"/>
      <c r="P276" s="1418"/>
      <c r="Q276" s="1418"/>
      <c r="R276" s="1418"/>
      <c r="S276" s="1418"/>
      <c r="U276" s="33" t="s">
        <v>86</v>
      </c>
      <c r="V276" s="1459" t="s">
        <v>2614</v>
      </c>
      <c r="W276" s="1438"/>
      <c r="X276" s="4" t="s">
        <v>582</v>
      </c>
      <c r="AB276" s="1418">
        <v>83616</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372" t="s">
        <v>2630</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t="s">
        <v>2631</v>
      </c>
      <c r="M278" s="1347"/>
      <c r="N278" s="1347"/>
      <c r="O278" s="1347"/>
      <c r="P278" s="1347"/>
      <c r="Q278" s="1347"/>
      <c r="R278" s="4" t="s">
        <v>205</v>
      </c>
      <c r="S278" s="4"/>
      <c r="T278" s="1438"/>
      <c r="U278" s="1438"/>
      <c r="V278" s="1438"/>
      <c r="W278" s="4" t="s">
        <v>89</v>
      </c>
      <c r="Y278" s="1346" t="s">
        <v>2616</v>
      </c>
      <c r="Z278" s="1347"/>
      <c r="AA278" s="1347"/>
      <c r="AB278" s="1347"/>
      <c r="AC278" s="1347"/>
      <c r="AD278" s="1347"/>
    </row>
    <row r="279" spans="1:51" ht="12.9" customHeight="1">
      <c r="D279" s="4" t="s">
        <v>90</v>
      </c>
      <c r="E279" s="4"/>
      <c r="F279" s="4"/>
      <c r="L279" s="1787" t="s">
        <v>2632</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 customHeight="1">
      <c r="D280" s="3" t="s">
        <v>622</v>
      </c>
      <c r="E280" s="3"/>
      <c r="F280" s="3"/>
      <c r="G280" s="3"/>
      <c r="H280" s="3"/>
      <c r="I280" s="3"/>
      <c r="L280" s="1459" t="s">
        <v>2633</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423" t="s">
        <v>540</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372" t="s">
        <v>2629</v>
      </c>
      <c r="I287" s="1373"/>
      <c r="J287" s="1373"/>
      <c r="K287" s="1373"/>
      <c r="L287" s="1373"/>
      <c r="M287" s="1373"/>
      <c r="N287" s="1373"/>
      <c r="O287" s="1373"/>
      <c r="P287" s="1373"/>
      <c r="Q287" s="1373"/>
      <c r="R287" s="1373"/>
      <c r="T287" s="3" t="s">
        <v>566</v>
      </c>
      <c r="V287" s="3"/>
      <c r="W287" s="3"/>
      <c r="X287" s="3"/>
      <c r="Y287" s="3"/>
      <c r="AA287" s="1372" t="s">
        <v>2699</v>
      </c>
      <c r="AB287" s="1373"/>
      <c r="AC287" s="1373"/>
      <c r="AD287" s="1373"/>
      <c r="AE287" s="1373"/>
      <c r="AF287" s="1373"/>
      <c r="AG287" s="1373"/>
      <c r="AH287" s="1373"/>
      <c r="AI287" s="1373"/>
      <c r="AJ287" s="1373"/>
      <c r="AK287" s="1373"/>
    </row>
    <row r="288" spans="1:51" ht="12.9" customHeight="1">
      <c r="B288" s="3" t="s">
        <v>470</v>
      </c>
      <c r="C288" s="3"/>
      <c r="D288" s="3"/>
      <c r="E288" s="3"/>
      <c r="F288" s="3"/>
      <c r="H288" s="1459" t="s">
        <v>2613</v>
      </c>
      <c r="I288" s="1349"/>
      <c r="J288" s="1349"/>
      <c r="K288" s="1349"/>
      <c r="L288" s="1349"/>
      <c r="M288" s="1349"/>
      <c r="N288" s="1349"/>
      <c r="O288" s="1349"/>
      <c r="P288" s="1349"/>
      <c r="Q288" s="1349"/>
      <c r="R288" s="1349"/>
      <c r="T288" s="3" t="s">
        <v>470</v>
      </c>
      <c r="V288" s="3"/>
      <c r="W288" s="3"/>
      <c r="X288" s="3"/>
      <c r="Y288" s="3"/>
      <c r="AA288" s="1459" t="s">
        <v>2700</v>
      </c>
      <c r="AB288" s="1349"/>
      <c r="AC288" s="1349"/>
      <c r="AD288" s="1349"/>
      <c r="AE288" s="1349"/>
      <c r="AF288" s="1349"/>
      <c r="AG288" s="1349"/>
      <c r="AH288" s="1349"/>
      <c r="AI288" s="1349"/>
      <c r="AJ288" s="1349"/>
      <c r="AK288" s="1349"/>
    </row>
    <row r="289" spans="2:37" ht="12.9" customHeight="1">
      <c r="B289" s="3" t="s">
        <v>471</v>
      </c>
      <c r="C289" s="3"/>
      <c r="D289" s="3"/>
      <c r="E289" s="3"/>
      <c r="F289" s="3"/>
      <c r="H289" s="1459" t="s">
        <v>2634</v>
      </c>
      <c r="I289" s="1349"/>
      <c r="J289" s="1349"/>
      <c r="K289" s="1349"/>
      <c r="L289" s="1349"/>
      <c r="M289" s="1349"/>
      <c r="N289" s="1349"/>
      <c r="O289" s="1349"/>
      <c r="P289" s="1349"/>
      <c r="Q289" s="1349"/>
      <c r="R289" s="1349"/>
      <c r="T289" s="3" t="s">
        <v>75</v>
      </c>
      <c r="V289" s="3"/>
      <c r="W289" s="3"/>
      <c r="X289" s="3"/>
      <c r="Y289" s="3"/>
      <c r="AA289" s="1459" t="s">
        <v>2701</v>
      </c>
      <c r="AB289" s="1349"/>
      <c r="AC289" s="1349"/>
      <c r="AD289" s="1349"/>
      <c r="AE289" s="1349"/>
      <c r="AF289" s="1349"/>
      <c r="AG289" s="1349"/>
      <c r="AH289" s="1349"/>
      <c r="AI289" s="1349"/>
      <c r="AJ289" s="1349"/>
      <c r="AK289" s="1349"/>
    </row>
    <row r="290" spans="2:37" ht="12.9" customHeight="1">
      <c r="B290" s="3" t="s">
        <v>87</v>
      </c>
      <c r="C290" s="3"/>
      <c r="D290" s="3"/>
      <c r="E290" s="3"/>
      <c r="F290" s="3"/>
      <c r="H290" s="1459" t="s">
        <v>2612</v>
      </c>
      <c r="I290" s="1349"/>
      <c r="J290" s="1349"/>
      <c r="K290" s="1349"/>
      <c r="L290" s="1349"/>
      <c r="M290" s="1349"/>
      <c r="N290" s="1349"/>
      <c r="O290" s="1349"/>
      <c r="P290" s="1349"/>
      <c r="Q290" s="1349"/>
      <c r="R290" s="1349"/>
      <c r="T290" s="3" t="s">
        <v>87</v>
      </c>
      <c r="V290" s="3"/>
      <c r="W290" s="3"/>
      <c r="X290" s="3"/>
      <c r="Y290" s="3"/>
      <c r="AA290" s="1459" t="s">
        <v>2702</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424" t="s">
        <v>2615</v>
      </c>
      <c r="I291" s="1425"/>
      <c r="J291" s="1425"/>
      <c r="K291" s="1425"/>
      <c r="L291" s="1425"/>
      <c r="M291" s="1425"/>
      <c r="N291" s="4" t="s">
        <v>205</v>
      </c>
      <c r="O291" s="4"/>
      <c r="P291" s="1418">
        <v>3015</v>
      </c>
      <c r="Q291" s="1418"/>
      <c r="R291" s="1418"/>
      <c r="S291" s="3"/>
      <c r="T291" s="3" t="s">
        <v>88</v>
      </c>
      <c r="V291" s="3"/>
      <c r="W291" s="3"/>
      <c r="X291" s="3"/>
      <c r="Y291" s="3"/>
      <c r="AA291" s="1424" t="s">
        <v>2703</v>
      </c>
      <c r="AB291" s="1425"/>
      <c r="AC291" s="1425"/>
      <c r="AD291" s="1425"/>
      <c r="AE291" s="1425"/>
      <c r="AF291" s="1425"/>
      <c r="AG291" s="4" t="s">
        <v>205</v>
      </c>
      <c r="AH291" s="4"/>
      <c r="AI291" s="1418"/>
      <c r="AJ291" s="1418"/>
      <c r="AK291" s="1418"/>
    </row>
    <row r="292" spans="2:37" ht="12.9" customHeight="1">
      <c r="B292" s="3" t="s">
        <v>89</v>
      </c>
      <c r="C292" s="3"/>
      <c r="D292" s="3"/>
      <c r="E292" s="3"/>
      <c r="F292" s="3"/>
      <c r="G292" s="3"/>
      <c r="H292" s="1346" t="s">
        <v>2616</v>
      </c>
      <c r="I292" s="1347"/>
      <c r="J292" s="1347"/>
      <c r="K292" s="1347"/>
      <c r="L292" s="1347"/>
      <c r="M292" s="1347"/>
      <c r="N292" s="4"/>
      <c r="O292" s="4"/>
      <c r="P292" s="35"/>
      <c r="Q292" s="35"/>
      <c r="R292" s="35"/>
      <c r="S292" s="3"/>
      <c r="T292" s="3" t="s">
        <v>89</v>
      </c>
      <c r="V292" s="3"/>
      <c r="W292" s="3"/>
      <c r="X292" s="3"/>
      <c r="Y292" s="3"/>
      <c r="AA292" s="1346" t="s">
        <v>2704</v>
      </c>
      <c r="AB292" s="1347"/>
      <c r="AC292" s="1347"/>
      <c r="AD292" s="1347"/>
      <c r="AE292" s="1347"/>
      <c r="AF292" s="1347"/>
      <c r="AG292" s="4"/>
      <c r="AH292" s="4"/>
      <c r="AI292" s="35"/>
      <c r="AJ292" s="35"/>
      <c r="AK292" s="35"/>
    </row>
    <row r="293" spans="2:37" ht="12.9" customHeight="1">
      <c r="B293" s="3" t="s">
        <v>76</v>
      </c>
      <c r="C293" s="3"/>
      <c r="D293" s="3"/>
      <c r="E293" s="3"/>
      <c r="F293" s="3"/>
      <c r="G293" s="3"/>
      <c r="H293" s="1459" t="s">
        <v>2617</v>
      </c>
      <c r="I293" s="1349"/>
      <c r="J293" s="1349"/>
      <c r="K293" s="1349"/>
      <c r="L293" s="1349"/>
      <c r="M293" s="1349"/>
      <c r="N293" s="1373"/>
      <c r="O293" s="1373"/>
      <c r="P293" s="1373"/>
      <c r="Q293" s="1373"/>
      <c r="R293" s="1373"/>
      <c r="S293" s="3"/>
      <c r="T293" s="3" t="s">
        <v>76</v>
      </c>
      <c r="V293" s="3"/>
      <c r="W293" s="3"/>
      <c r="X293" s="3"/>
      <c r="Y293" s="3"/>
      <c r="AA293" s="1459" t="s">
        <v>2705</v>
      </c>
      <c r="AB293" s="1349"/>
      <c r="AC293" s="1349"/>
      <c r="AD293" s="1349"/>
      <c r="AE293" s="1349"/>
      <c r="AF293" s="1349"/>
      <c r="AG293" s="1373"/>
      <c r="AH293" s="1373"/>
      <c r="AI293" s="1373"/>
      <c r="AJ293" s="1373"/>
      <c r="AK293" s="1373"/>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372" t="s">
        <v>2636</v>
      </c>
      <c r="I295" s="1373"/>
      <c r="J295" s="1373"/>
      <c r="K295" s="1373"/>
      <c r="L295" s="1373"/>
      <c r="M295" s="1373"/>
      <c r="N295" s="1373"/>
      <c r="O295" s="1373"/>
      <c r="P295" s="1373"/>
      <c r="Q295" s="1373"/>
      <c r="R295" s="1373"/>
      <c r="T295" s="3" t="s">
        <v>363</v>
      </c>
      <c r="V295" s="3"/>
      <c r="W295" s="3"/>
      <c r="X295" s="3"/>
      <c r="Y295" s="3"/>
      <c r="AA295" s="1372" t="s">
        <v>2637</v>
      </c>
      <c r="AB295" s="1373"/>
      <c r="AC295" s="1373"/>
      <c r="AD295" s="1373"/>
      <c r="AE295" s="1373"/>
      <c r="AF295" s="1373"/>
      <c r="AG295" s="1373"/>
      <c r="AH295" s="1373"/>
      <c r="AI295" s="1373"/>
      <c r="AJ295" s="1373"/>
      <c r="AK295" s="1373"/>
    </row>
    <row r="296" spans="2:37" ht="12.9" customHeight="1">
      <c r="B296" s="3" t="s">
        <v>470</v>
      </c>
      <c r="C296" s="3"/>
      <c r="D296" s="3"/>
      <c r="E296" s="3"/>
      <c r="F296" s="3"/>
      <c r="H296" s="1459" t="s">
        <v>2638</v>
      </c>
      <c r="I296" s="1349"/>
      <c r="J296" s="1349"/>
      <c r="K296" s="1349"/>
      <c r="L296" s="1349"/>
      <c r="M296" s="1349"/>
      <c r="N296" s="1349"/>
      <c r="O296" s="1349"/>
      <c r="P296" s="1349"/>
      <c r="Q296" s="1349"/>
      <c r="R296" s="1349"/>
      <c r="T296" s="3" t="s">
        <v>470</v>
      </c>
      <c r="V296" s="3"/>
      <c r="W296" s="3"/>
      <c r="X296" s="3"/>
      <c r="Y296" s="3"/>
      <c r="AA296" s="1459" t="s">
        <v>2613</v>
      </c>
      <c r="AB296" s="1349"/>
      <c r="AC296" s="1349"/>
      <c r="AD296" s="1349"/>
      <c r="AE296" s="1349"/>
      <c r="AF296" s="1349"/>
      <c r="AG296" s="1349"/>
      <c r="AH296" s="1349"/>
      <c r="AI296" s="1349"/>
      <c r="AJ296" s="1349"/>
      <c r="AK296" s="1349"/>
    </row>
    <row r="297" spans="2:37" ht="12.9" customHeight="1">
      <c r="B297" s="3" t="s">
        <v>471</v>
      </c>
      <c r="C297" s="3"/>
      <c r="D297" s="3"/>
      <c r="E297" s="3"/>
      <c r="F297" s="3"/>
      <c r="H297" s="1459" t="s">
        <v>2634</v>
      </c>
      <c r="I297" s="1349"/>
      <c r="J297" s="1349"/>
      <c r="K297" s="1349"/>
      <c r="L297" s="1349"/>
      <c r="M297" s="1349"/>
      <c r="N297" s="1349"/>
      <c r="O297" s="1349"/>
      <c r="P297" s="1349"/>
      <c r="Q297" s="1349"/>
      <c r="R297" s="1349"/>
      <c r="T297" s="3" t="s">
        <v>75</v>
      </c>
      <c r="V297" s="3"/>
      <c r="W297" s="3"/>
      <c r="X297" s="3"/>
      <c r="Y297" s="3"/>
      <c r="AA297" s="1459" t="s">
        <v>2634</v>
      </c>
      <c r="AB297" s="1349"/>
      <c r="AC297" s="1349"/>
      <c r="AD297" s="1349"/>
      <c r="AE297" s="1349"/>
      <c r="AF297" s="1349"/>
      <c r="AG297" s="1349"/>
      <c r="AH297" s="1349"/>
      <c r="AI297" s="1349"/>
      <c r="AJ297" s="1349"/>
      <c r="AK297" s="1349"/>
    </row>
    <row r="298" spans="2:37" ht="12.9" customHeight="1">
      <c r="B298" s="3" t="s">
        <v>87</v>
      </c>
      <c r="C298" s="3"/>
      <c r="D298" s="3"/>
      <c r="E298" s="3"/>
      <c r="F298" s="3"/>
      <c r="H298" s="1459" t="s">
        <v>2639</v>
      </c>
      <c r="I298" s="1349"/>
      <c r="J298" s="1349"/>
      <c r="K298" s="1349"/>
      <c r="L298" s="1349"/>
      <c r="M298" s="1349"/>
      <c r="N298" s="1349"/>
      <c r="O298" s="1349"/>
      <c r="P298" s="1349"/>
      <c r="Q298" s="1349"/>
      <c r="R298" s="1349"/>
      <c r="T298" s="3" t="s">
        <v>87</v>
      </c>
      <c r="V298" s="3"/>
      <c r="W298" s="3"/>
      <c r="X298" s="3"/>
      <c r="Y298" s="3"/>
      <c r="AA298" s="1459" t="s">
        <v>2612</v>
      </c>
      <c r="AB298" s="1349"/>
      <c r="AC298" s="1349"/>
      <c r="AD298" s="1349"/>
      <c r="AE298" s="1349"/>
      <c r="AF298" s="1349"/>
      <c r="AG298" s="1349"/>
      <c r="AH298" s="1349"/>
      <c r="AI298" s="1349"/>
      <c r="AJ298" s="1349"/>
      <c r="AK298" s="1349"/>
    </row>
    <row r="299" spans="2:37" ht="12.9" customHeight="1">
      <c r="B299" s="3" t="s">
        <v>88</v>
      </c>
      <c r="C299" s="3"/>
      <c r="D299" s="3"/>
      <c r="E299" s="3"/>
      <c r="F299" s="3"/>
      <c r="G299" s="3"/>
      <c r="H299" s="1424" t="s">
        <v>2640</v>
      </c>
      <c r="I299" s="1425"/>
      <c r="J299" s="1425"/>
      <c r="K299" s="1425"/>
      <c r="L299" s="1425"/>
      <c r="M299" s="1425"/>
      <c r="N299" s="4" t="s">
        <v>205</v>
      </c>
      <c r="O299" s="4"/>
      <c r="P299" s="1418"/>
      <c r="Q299" s="1418"/>
      <c r="R299" s="1418"/>
      <c r="S299" s="3"/>
      <c r="T299" s="3" t="s">
        <v>88</v>
      </c>
      <c r="V299" s="3"/>
      <c r="W299" s="3"/>
      <c r="X299" s="3"/>
      <c r="Y299" s="3"/>
      <c r="AA299" s="1424" t="s">
        <v>2615</v>
      </c>
      <c r="AB299" s="1425"/>
      <c r="AC299" s="1425"/>
      <c r="AD299" s="1425"/>
      <c r="AE299" s="1425"/>
      <c r="AF299" s="1425"/>
      <c r="AG299" s="4" t="s">
        <v>205</v>
      </c>
      <c r="AH299" s="4"/>
      <c r="AI299" s="1418">
        <v>3015</v>
      </c>
      <c r="AJ299" s="1418"/>
      <c r="AK299" s="1418"/>
    </row>
    <row r="300" spans="2:37" ht="12.9" customHeight="1">
      <c r="B300" s="3" t="s">
        <v>89</v>
      </c>
      <c r="C300" s="3"/>
      <c r="D300" s="3"/>
      <c r="E300" s="3"/>
      <c r="F300" s="3"/>
      <c r="G300" s="3"/>
      <c r="H300" s="1346" t="s">
        <v>2616</v>
      </c>
      <c r="I300" s="1347"/>
      <c r="J300" s="1347"/>
      <c r="K300" s="1347"/>
      <c r="L300" s="1347"/>
      <c r="M300" s="1347"/>
      <c r="N300" s="4"/>
      <c r="O300" s="4"/>
      <c r="P300" s="35"/>
      <c r="Q300" s="35"/>
      <c r="R300" s="35"/>
      <c r="S300" s="3"/>
      <c r="T300" s="3" t="s">
        <v>89</v>
      </c>
      <c r="V300" s="3"/>
      <c r="W300" s="3"/>
      <c r="X300" s="3"/>
      <c r="Y300" s="3"/>
      <c r="AA300" s="1346" t="s">
        <v>2635</v>
      </c>
      <c r="AB300" s="1347"/>
      <c r="AC300" s="1347"/>
      <c r="AD300" s="1347"/>
      <c r="AE300" s="1347"/>
      <c r="AF300" s="1347"/>
      <c r="AG300" s="4"/>
      <c r="AH300" s="4"/>
      <c r="AI300" s="35"/>
      <c r="AJ300" s="35"/>
      <c r="AK300" s="35"/>
    </row>
    <row r="301" spans="2:37" ht="12.9" customHeight="1">
      <c r="B301" s="3" t="s">
        <v>76</v>
      </c>
      <c r="C301" s="3"/>
      <c r="D301" s="3"/>
      <c r="E301" s="3"/>
      <c r="F301" s="3"/>
      <c r="G301" s="3"/>
      <c r="H301" s="1459" t="s">
        <v>2641</v>
      </c>
      <c r="I301" s="1349"/>
      <c r="J301" s="1349"/>
      <c r="K301" s="1349"/>
      <c r="L301" s="1349"/>
      <c r="M301" s="1349"/>
      <c r="N301" s="1373"/>
      <c r="O301" s="1373"/>
      <c r="P301" s="1373"/>
      <c r="Q301" s="1373"/>
      <c r="R301" s="1373"/>
      <c r="S301" s="3"/>
      <c r="T301" s="3" t="s">
        <v>76</v>
      </c>
      <c r="V301" s="3"/>
      <c r="W301" s="3"/>
      <c r="X301" s="3"/>
      <c r="Y301" s="3"/>
      <c r="AA301" s="1459" t="s">
        <v>2617</v>
      </c>
      <c r="AB301" s="1349"/>
      <c r="AC301" s="1349"/>
      <c r="AD301" s="1349"/>
      <c r="AE301" s="1349"/>
      <c r="AF301" s="1349"/>
      <c r="AG301" s="1373"/>
      <c r="AH301" s="1373"/>
      <c r="AI301" s="1373"/>
      <c r="AJ301" s="1373"/>
      <c r="AK301" s="1373"/>
    </row>
    <row r="302" spans="2:37" ht="12.9" customHeight="1"/>
    <row r="303" spans="2:37" ht="12.9" customHeight="1">
      <c r="B303" s="3" t="s">
        <v>77</v>
      </c>
      <c r="C303" s="3"/>
      <c r="D303" s="3"/>
      <c r="E303" s="3"/>
      <c r="F303" s="3"/>
      <c r="H303" s="1372" t="s">
        <v>2642</v>
      </c>
      <c r="I303" s="1373"/>
      <c r="J303" s="1373"/>
      <c r="K303" s="1373"/>
      <c r="L303" s="1373"/>
      <c r="M303" s="1373"/>
      <c r="N303" s="1373"/>
      <c r="O303" s="1373"/>
      <c r="P303" s="1373"/>
      <c r="Q303" s="1373"/>
      <c r="R303" s="1373"/>
      <c r="T303" s="4" t="s">
        <v>876</v>
      </c>
      <c r="V303" s="3"/>
      <c r="W303" s="3"/>
      <c r="X303" s="3"/>
      <c r="Y303" s="3"/>
      <c r="AA303" s="1372" t="s">
        <v>2727</v>
      </c>
      <c r="AB303" s="1373"/>
      <c r="AC303" s="1373"/>
      <c r="AD303" s="1373"/>
      <c r="AE303" s="1373"/>
      <c r="AF303" s="1373"/>
      <c r="AG303" s="1373"/>
      <c r="AH303" s="1373"/>
      <c r="AI303" s="1373"/>
      <c r="AJ303" s="1373"/>
      <c r="AK303" s="1373"/>
    </row>
    <row r="304" spans="2:37" ht="12.9" customHeight="1">
      <c r="B304" s="3" t="s">
        <v>470</v>
      </c>
      <c r="C304" s="3"/>
      <c r="D304" s="3"/>
      <c r="E304" s="3"/>
      <c r="F304" s="3"/>
      <c r="H304" s="1459" t="s">
        <v>2643</v>
      </c>
      <c r="I304" s="1349"/>
      <c r="J304" s="1349"/>
      <c r="K304" s="1349"/>
      <c r="L304" s="1349"/>
      <c r="M304" s="1349"/>
      <c r="N304" s="1349"/>
      <c r="O304" s="1349"/>
      <c r="P304" s="1349"/>
      <c r="Q304" s="1349"/>
      <c r="R304" s="1349"/>
      <c r="T304" s="3" t="s">
        <v>470</v>
      </c>
      <c r="V304" s="3"/>
      <c r="W304" s="3"/>
      <c r="X304" s="3"/>
      <c r="Y304" s="3"/>
      <c r="AA304" s="1459" t="s">
        <v>2728</v>
      </c>
      <c r="AB304" s="1349"/>
      <c r="AC304" s="1349"/>
      <c r="AD304" s="1349"/>
      <c r="AE304" s="1349"/>
      <c r="AF304" s="1349"/>
      <c r="AG304" s="1349"/>
      <c r="AH304" s="1349"/>
      <c r="AI304" s="1349"/>
      <c r="AJ304" s="1349"/>
      <c r="AK304" s="1349"/>
    </row>
    <row r="305" spans="2:37" ht="12.9" customHeight="1">
      <c r="B305" s="3" t="s">
        <v>471</v>
      </c>
      <c r="C305" s="3"/>
      <c r="D305" s="3"/>
      <c r="E305" s="3"/>
      <c r="F305" s="3"/>
      <c r="H305" s="1459" t="s">
        <v>2644</v>
      </c>
      <c r="I305" s="1349"/>
      <c r="J305" s="1349"/>
      <c r="K305" s="1349"/>
      <c r="L305" s="1349"/>
      <c r="M305" s="1349"/>
      <c r="N305" s="1349"/>
      <c r="O305" s="1349"/>
      <c r="P305" s="1349"/>
      <c r="Q305" s="1349"/>
      <c r="R305" s="1349"/>
      <c r="T305" s="3" t="s">
        <v>75</v>
      </c>
      <c r="V305" s="3"/>
      <c r="W305" s="3"/>
      <c r="X305" s="3"/>
      <c r="Y305" s="3"/>
      <c r="AA305" s="1459" t="s">
        <v>2729</v>
      </c>
      <c r="AB305" s="1349"/>
      <c r="AC305" s="1349"/>
      <c r="AD305" s="1349"/>
      <c r="AE305" s="1349"/>
      <c r="AF305" s="1349"/>
      <c r="AG305" s="1349"/>
      <c r="AH305" s="1349"/>
      <c r="AI305" s="1349"/>
      <c r="AJ305" s="1349"/>
      <c r="AK305" s="1349"/>
    </row>
    <row r="306" spans="2:37" ht="12.9" customHeight="1">
      <c r="B306" s="3" t="s">
        <v>87</v>
      </c>
      <c r="C306" s="3"/>
      <c r="D306" s="3"/>
      <c r="E306" s="3"/>
      <c r="F306" s="3"/>
      <c r="H306" s="1459" t="s">
        <v>2645</v>
      </c>
      <c r="I306" s="1349"/>
      <c r="J306" s="1349"/>
      <c r="K306" s="1349"/>
      <c r="L306" s="1349"/>
      <c r="M306" s="1349"/>
      <c r="N306" s="1349"/>
      <c r="O306" s="1349"/>
      <c r="P306" s="1349"/>
      <c r="Q306" s="1349"/>
      <c r="R306" s="1349"/>
      <c r="T306" s="3" t="s">
        <v>87</v>
      </c>
      <c r="V306" s="3"/>
      <c r="W306" s="3"/>
      <c r="X306" s="3"/>
      <c r="Y306" s="3"/>
      <c r="AA306" s="1459" t="s">
        <v>2730</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4" t="s">
        <v>2646</v>
      </c>
      <c r="I307" s="1425"/>
      <c r="J307" s="1425"/>
      <c r="K307" s="1425"/>
      <c r="L307" s="1425"/>
      <c r="M307" s="1425"/>
      <c r="N307" s="4" t="s">
        <v>205</v>
      </c>
      <c r="O307" s="4"/>
      <c r="P307" s="1418"/>
      <c r="Q307" s="1418"/>
      <c r="R307" s="1418"/>
      <c r="S307" s="3"/>
      <c r="T307" s="3" t="s">
        <v>88</v>
      </c>
      <c r="V307" s="3"/>
      <c r="W307" s="3"/>
      <c r="X307" s="3"/>
      <c r="Y307" s="3"/>
      <c r="AA307" s="1424" t="s">
        <v>2731</v>
      </c>
      <c r="AB307" s="1425"/>
      <c r="AC307" s="1425"/>
      <c r="AD307" s="1425"/>
      <c r="AE307" s="1425"/>
      <c r="AF307" s="1425"/>
      <c r="AG307" s="4" t="s">
        <v>205</v>
      </c>
      <c r="AH307" s="4"/>
      <c r="AI307" s="1418"/>
      <c r="AJ307" s="1418"/>
      <c r="AK307" s="1418"/>
    </row>
    <row r="308" spans="2:37" ht="12.9" customHeight="1">
      <c r="B308" s="3" t="s">
        <v>89</v>
      </c>
      <c r="C308" s="3"/>
      <c r="D308" s="3"/>
      <c r="E308" s="3"/>
      <c r="F308" s="3"/>
      <c r="G308" s="3"/>
      <c r="H308" s="1346" t="s">
        <v>2647</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459" t="s">
        <v>2648</v>
      </c>
      <c r="I309" s="1349"/>
      <c r="J309" s="1349"/>
      <c r="K309" s="1349"/>
      <c r="L309" s="1349"/>
      <c r="M309" s="1349"/>
      <c r="N309" s="1373"/>
      <c r="O309" s="1373"/>
      <c r="P309" s="1373"/>
      <c r="Q309" s="1373"/>
      <c r="R309" s="1373"/>
      <c r="S309" s="3"/>
      <c r="T309" s="3" t="s">
        <v>76</v>
      </c>
      <c r="V309" s="3"/>
      <c r="W309" s="3"/>
      <c r="X309" s="3"/>
      <c r="Y309" s="3"/>
      <c r="AA309" s="1459" t="s">
        <v>2732</v>
      </c>
      <c r="AB309" s="1349"/>
      <c r="AC309" s="1349"/>
      <c r="AD309" s="1349"/>
      <c r="AE309" s="1349"/>
      <c r="AF309" s="1349"/>
      <c r="AG309" s="1373"/>
      <c r="AH309" s="1373"/>
      <c r="AI309" s="1373"/>
      <c r="AJ309" s="1373"/>
      <c r="AK309" s="1373"/>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905</v>
      </c>
      <c r="C311" s="3"/>
      <c r="D311" s="3"/>
      <c r="E311" s="3"/>
      <c r="F311" s="3"/>
      <c r="H311" s="1372" t="s">
        <v>2642</v>
      </c>
      <c r="I311" s="1373"/>
      <c r="J311" s="1373"/>
      <c r="K311" s="1373"/>
      <c r="L311" s="1373"/>
      <c r="M311" s="1373"/>
      <c r="N311" s="1373"/>
      <c r="O311" s="1373"/>
      <c r="P311" s="1373"/>
      <c r="Q311" s="1373"/>
      <c r="R311" s="1373"/>
      <c r="S311" s="3"/>
      <c r="T311" s="3" t="s">
        <v>364</v>
      </c>
      <c r="V311" s="3"/>
      <c r="W311" s="3"/>
      <c r="X311" s="3"/>
      <c r="Y311" s="3"/>
      <c r="AA311" s="1372" t="s">
        <v>2649</v>
      </c>
      <c r="AB311" s="1373"/>
      <c r="AC311" s="1373"/>
      <c r="AD311" s="1373"/>
      <c r="AE311" s="1373"/>
      <c r="AF311" s="1373"/>
      <c r="AG311" s="1373"/>
      <c r="AH311" s="1373"/>
      <c r="AI311" s="1373"/>
      <c r="AJ311" s="1373"/>
      <c r="AK311" s="1373"/>
    </row>
    <row r="312" spans="2:37" ht="12.9" customHeight="1">
      <c r="B312" s="3" t="s">
        <v>470</v>
      </c>
      <c r="C312" s="3"/>
      <c r="D312" s="3"/>
      <c r="E312" s="3"/>
      <c r="F312" s="3"/>
      <c r="H312" s="1459" t="s">
        <v>2643</v>
      </c>
      <c r="I312" s="1349"/>
      <c r="J312" s="1349"/>
      <c r="K312" s="1349"/>
      <c r="L312" s="1349"/>
      <c r="M312" s="1349"/>
      <c r="N312" s="1349"/>
      <c r="O312" s="1349"/>
      <c r="P312" s="1349"/>
      <c r="Q312" s="1349"/>
      <c r="R312" s="1349"/>
      <c r="S312" s="3"/>
      <c r="T312" s="3" t="s">
        <v>470</v>
      </c>
      <c r="V312" s="3"/>
      <c r="W312" s="3"/>
      <c r="X312" s="3"/>
      <c r="Y312" s="3"/>
      <c r="AA312" s="1459" t="s">
        <v>2650</v>
      </c>
      <c r="AB312" s="1349"/>
      <c r="AC312" s="1349"/>
      <c r="AD312" s="1349"/>
      <c r="AE312" s="1349"/>
      <c r="AF312" s="1349"/>
      <c r="AG312" s="1349"/>
      <c r="AH312" s="1349"/>
      <c r="AI312" s="1349"/>
      <c r="AJ312" s="1349"/>
      <c r="AK312" s="1349"/>
    </row>
    <row r="313" spans="2:37" ht="12.9" customHeight="1">
      <c r="B313" s="3" t="s">
        <v>471</v>
      </c>
      <c r="C313" s="3"/>
      <c r="D313" s="3"/>
      <c r="E313" s="3"/>
      <c r="F313" s="3"/>
      <c r="H313" s="1459" t="s">
        <v>2644</v>
      </c>
      <c r="I313" s="1349"/>
      <c r="J313" s="1349"/>
      <c r="K313" s="1349"/>
      <c r="L313" s="1349"/>
      <c r="M313" s="1349"/>
      <c r="N313" s="1349"/>
      <c r="O313" s="1349"/>
      <c r="P313" s="1349"/>
      <c r="Q313" s="1349"/>
      <c r="R313" s="1349"/>
      <c r="S313" s="3"/>
      <c r="T313" s="3" t="s">
        <v>75</v>
      </c>
      <c r="V313" s="3"/>
      <c r="W313" s="3"/>
      <c r="X313" s="3"/>
      <c r="Y313" s="3"/>
      <c r="AA313" s="1459" t="s">
        <v>2651</v>
      </c>
      <c r="AB313" s="1349"/>
      <c r="AC313" s="1349"/>
      <c r="AD313" s="1349"/>
      <c r="AE313" s="1349"/>
      <c r="AF313" s="1349"/>
      <c r="AG313" s="1349"/>
      <c r="AH313" s="1349"/>
      <c r="AI313" s="1349"/>
      <c r="AJ313" s="1349"/>
      <c r="AK313" s="1349"/>
    </row>
    <row r="314" spans="2:37" ht="12.9" customHeight="1">
      <c r="B314" s="3" t="s">
        <v>87</v>
      </c>
      <c r="C314" s="3"/>
      <c r="D314" s="3"/>
      <c r="E314" s="3"/>
      <c r="F314" s="3"/>
      <c r="H314" s="1459" t="s">
        <v>2645</v>
      </c>
      <c r="I314" s="1349"/>
      <c r="J314" s="1349"/>
      <c r="K314" s="1349"/>
      <c r="L314" s="1349"/>
      <c r="M314" s="1349"/>
      <c r="N314" s="1349"/>
      <c r="O314" s="1349"/>
      <c r="P314" s="1349"/>
      <c r="Q314" s="1349"/>
      <c r="R314" s="1349"/>
      <c r="S314" s="3"/>
      <c r="T314" s="3" t="s">
        <v>87</v>
      </c>
      <c r="V314" s="3"/>
      <c r="W314" s="3"/>
      <c r="X314" s="3"/>
      <c r="Y314" s="3"/>
      <c r="AA314" s="1459" t="s">
        <v>2652</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424" t="s">
        <v>2646</v>
      </c>
      <c r="I315" s="1425"/>
      <c r="J315" s="1425"/>
      <c r="K315" s="1425"/>
      <c r="L315" s="1425"/>
      <c r="M315" s="1425"/>
      <c r="N315" s="4" t="s">
        <v>205</v>
      </c>
      <c r="O315" s="4"/>
      <c r="P315" s="1418"/>
      <c r="Q315" s="1418"/>
      <c r="R315" s="1418"/>
      <c r="S315" s="3"/>
      <c r="T315" s="3" t="s">
        <v>88</v>
      </c>
      <c r="V315" s="3"/>
      <c r="W315" s="3"/>
      <c r="X315" s="3"/>
      <c r="Y315" s="3"/>
      <c r="AA315" s="1424" t="s">
        <v>2653</v>
      </c>
      <c r="AB315" s="1425"/>
      <c r="AC315" s="1425"/>
      <c r="AD315" s="1425"/>
      <c r="AE315" s="1425"/>
      <c r="AF315" s="1425"/>
      <c r="AG315" s="4" t="s">
        <v>205</v>
      </c>
      <c r="AH315" s="4"/>
      <c r="AI315" s="1418"/>
      <c r="AJ315" s="1418"/>
      <c r="AK315" s="1418"/>
    </row>
    <row r="316" spans="2:37" ht="12.9" customHeight="1">
      <c r="B316" s="3" t="s">
        <v>89</v>
      </c>
      <c r="C316" s="3"/>
      <c r="D316" s="3"/>
      <c r="E316" s="3"/>
      <c r="F316" s="3"/>
      <c r="G316" s="3"/>
      <c r="H316" s="1346" t="s">
        <v>2647</v>
      </c>
      <c r="I316" s="1347"/>
      <c r="J316" s="1347"/>
      <c r="K316" s="1347"/>
      <c r="L316" s="1347"/>
      <c r="M316" s="1347"/>
      <c r="N316" s="4"/>
      <c r="O316" s="4"/>
      <c r="P316" s="35"/>
      <c r="Q316" s="35"/>
      <c r="R316" s="35"/>
      <c r="S316" s="3"/>
      <c r="T316" s="3" t="s">
        <v>89</v>
      </c>
      <c r="V316" s="3"/>
      <c r="W316" s="3"/>
      <c r="X316" s="3"/>
      <c r="Y316" s="3"/>
      <c r="AA316" s="1346" t="s">
        <v>2654</v>
      </c>
      <c r="AB316" s="1347"/>
      <c r="AC316" s="1347"/>
      <c r="AD316" s="1347"/>
      <c r="AE316" s="1347"/>
      <c r="AF316" s="1347"/>
      <c r="AG316" s="4"/>
      <c r="AH316" s="4"/>
      <c r="AI316" s="35"/>
      <c r="AJ316" s="35"/>
      <c r="AK316" s="35"/>
    </row>
    <row r="317" spans="2:37" ht="12.9" customHeight="1">
      <c r="B317" s="3" t="s">
        <v>76</v>
      </c>
      <c r="C317" s="3"/>
      <c r="D317" s="3"/>
      <c r="E317" s="3"/>
      <c r="F317" s="3"/>
      <c r="G317" s="3"/>
      <c r="H317" s="1459" t="s">
        <v>2648</v>
      </c>
      <c r="I317" s="1349"/>
      <c r="J317" s="1349"/>
      <c r="K317" s="1349"/>
      <c r="L317" s="1349"/>
      <c r="M317" s="1349"/>
      <c r="N317" s="1373"/>
      <c r="O317" s="1373"/>
      <c r="P317" s="1373"/>
      <c r="Q317" s="1373"/>
      <c r="R317" s="1373"/>
      <c r="S317" s="3"/>
      <c r="T317" s="3" t="s">
        <v>76</v>
      </c>
      <c r="V317" s="3"/>
      <c r="W317" s="3"/>
      <c r="X317" s="3"/>
      <c r="Y317" s="3"/>
      <c r="AA317" s="1459" t="s">
        <v>2655</v>
      </c>
      <c r="AB317" s="1349"/>
      <c r="AC317" s="1349"/>
      <c r="AD317" s="1349"/>
      <c r="AE317" s="1349"/>
      <c r="AF317" s="1349"/>
      <c r="AG317" s="1373"/>
      <c r="AH317" s="1373"/>
      <c r="AI317" s="1373"/>
      <c r="AJ317" s="1373"/>
      <c r="AK317" s="1373"/>
    </row>
    <row r="318" spans="2:37" ht="12.9" customHeight="1"/>
    <row r="319" spans="2:37" ht="12.9" customHeight="1">
      <c r="B319" s="4" t="s">
        <v>906</v>
      </c>
      <c r="C319" s="3"/>
      <c r="D319" s="3"/>
      <c r="E319" s="3"/>
      <c r="F319" s="3"/>
      <c r="H319" s="1372" t="s">
        <v>2656</v>
      </c>
      <c r="I319" s="1373"/>
      <c r="J319" s="1373"/>
      <c r="K319" s="1373"/>
      <c r="L319" s="1373"/>
      <c r="M319" s="1373"/>
      <c r="N319" s="1373"/>
      <c r="O319" s="1373"/>
      <c r="P319" s="1373"/>
      <c r="Q319" s="1373"/>
      <c r="R319" s="1373"/>
      <c r="T319" s="3" t="s">
        <v>365</v>
      </c>
      <c r="V319" s="3"/>
      <c r="W319" s="3"/>
      <c r="X319" s="3"/>
      <c r="Y319" s="3"/>
      <c r="AA319" s="1372" t="s">
        <v>2657</v>
      </c>
      <c r="AB319" s="1373"/>
      <c r="AC319" s="1373"/>
      <c r="AD319" s="1373"/>
      <c r="AE319" s="1373"/>
      <c r="AF319" s="1373"/>
      <c r="AG319" s="1373"/>
      <c r="AH319" s="1373"/>
      <c r="AI319" s="1373"/>
      <c r="AJ319" s="1373"/>
      <c r="AK319" s="1373"/>
    </row>
    <row r="320" spans="2:37" ht="12.9" customHeight="1">
      <c r="B320" s="3" t="s">
        <v>470</v>
      </c>
      <c r="C320" s="3"/>
      <c r="D320" s="3"/>
      <c r="E320" s="3"/>
      <c r="F320" s="3"/>
      <c r="H320" s="1349"/>
      <c r="I320" s="1349"/>
      <c r="J320" s="1349"/>
      <c r="K320" s="1349"/>
      <c r="L320" s="1349"/>
      <c r="M320" s="1349"/>
      <c r="N320" s="1349"/>
      <c r="O320" s="1349"/>
      <c r="P320" s="1349"/>
      <c r="Q320" s="1349"/>
      <c r="R320" s="1349"/>
      <c r="T320" s="3" t="s">
        <v>470</v>
      </c>
      <c r="V320" s="3"/>
      <c r="W320" s="3"/>
      <c r="X320" s="3"/>
      <c r="Y320" s="3"/>
      <c r="AA320" s="1459" t="s">
        <v>2712</v>
      </c>
      <c r="AB320" s="1349"/>
      <c r="AC320" s="1349"/>
      <c r="AD320" s="1349"/>
      <c r="AE320" s="1349"/>
      <c r="AF320" s="1349"/>
      <c r="AG320" s="1349"/>
      <c r="AH320" s="1349"/>
      <c r="AI320" s="1349"/>
      <c r="AJ320" s="1349"/>
      <c r="AK320" s="1349"/>
    </row>
    <row r="321" spans="2:37" ht="12.9" customHeight="1">
      <c r="B321" s="3" t="s">
        <v>471</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9" t="s">
        <v>2658</v>
      </c>
      <c r="AB321" s="1349"/>
      <c r="AC321" s="1349"/>
      <c r="AD321" s="1349"/>
      <c r="AE321" s="1349"/>
      <c r="AF321" s="1349"/>
      <c r="AG321" s="1349"/>
      <c r="AH321" s="1349"/>
      <c r="AI321" s="1349"/>
      <c r="AJ321" s="1349"/>
      <c r="AK321" s="1349"/>
    </row>
    <row r="322" spans="2:37" ht="12.9"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9" t="s">
        <v>2659</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2660</v>
      </c>
      <c r="AB323" s="1425"/>
      <c r="AC323" s="1425"/>
      <c r="AD323" s="1425"/>
      <c r="AE323" s="1425"/>
      <c r="AF323" s="1425"/>
      <c r="AG323" s="4" t="s">
        <v>205</v>
      </c>
      <c r="AH323" s="4"/>
      <c r="AI323" s="1418"/>
      <c r="AJ323" s="1418"/>
      <c r="AK323" s="1418"/>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459" t="s">
        <v>2661</v>
      </c>
      <c r="AB325" s="1349"/>
      <c r="AC325" s="1349"/>
      <c r="AD325" s="1349"/>
      <c r="AE325" s="1349"/>
      <c r="AF325" s="1349"/>
      <c r="AG325" s="1373"/>
      <c r="AH325" s="1373"/>
      <c r="AI325" s="1373"/>
      <c r="AJ325" s="1373"/>
      <c r="AK325" s="1373"/>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372" t="s">
        <v>2657</v>
      </c>
      <c r="I327" s="1373"/>
      <c r="J327" s="1373"/>
      <c r="K327" s="1373"/>
      <c r="L327" s="1373"/>
      <c r="M327" s="1373"/>
      <c r="N327" s="1373"/>
      <c r="O327" s="1373"/>
      <c r="P327" s="1373"/>
      <c r="Q327" s="1373"/>
      <c r="R327" s="1373"/>
      <c r="T327" s="3" t="s">
        <v>367</v>
      </c>
      <c r="V327" s="3"/>
      <c r="W327" s="3"/>
      <c r="X327" s="3"/>
      <c r="Y327" s="3"/>
      <c r="AA327" s="1372" t="s">
        <v>2656</v>
      </c>
      <c r="AB327" s="1373"/>
      <c r="AC327" s="1373"/>
      <c r="AD327" s="1373"/>
      <c r="AE327" s="1373"/>
      <c r="AF327" s="1373"/>
      <c r="AG327" s="1373"/>
      <c r="AH327" s="1373"/>
      <c r="AI327" s="1373"/>
      <c r="AJ327" s="1373"/>
      <c r="AK327" s="1373"/>
    </row>
    <row r="328" spans="2:37" ht="12.9" customHeight="1">
      <c r="B328" s="3" t="s">
        <v>470</v>
      </c>
      <c r="C328" s="3"/>
      <c r="D328" s="3"/>
      <c r="E328" s="3"/>
      <c r="F328" s="3"/>
      <c r="H328" s="1349" t="s">
        <v>2712</v>
      </c>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 customHeight="1">
      <c r="B329" s="3" t="s">
        <v>471</v>
      </c>
      <c r="C329" s="3"/>
      <c r="D329" s="3"/>
      <c r="E329" s="3"/>
      <c r="F329" s="3"/>
      <c r="H329" s="1349" t="s">
        <v>2658</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 customHeight="1">
      <c r="B330" s="3" t="s">
        <v>87</v>
      </c>
      <c r="C330" s="3"/>
      <c r="D330" s="3"/>
      <c r="E330" s="3"/>
      <c r="F330" s="3"/>
      <c r="H330" s="1349" t="s">
        <v>2659</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4" t="s">
        <v>2660</v>
      </c>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349" t="s">
        <v>2661</v>
      </c>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372" t="s">
        <v>2662</v>
      </c>
      <c r="I335" s="1373"/>
      <c r="J335" s="1373"/>
      <c r="K335" s="1373"/>
      <c r="L335" s="1373"/>
      <c r="M335" s="1373"/>
      <c r="N335" s="1373"/>
      <c r="O335" s="1373"/>
      <c r="P335" s="1373"/>
      <c r="Q335" s="1373"/>
      <c r="R335" s="1373"/>
      <c r="T335" s="204" t="s">
        <v>884</v>
      </c>
      <c r="V335" s="3"/>
      <c r="W335" s="3"/>
      <c r="X335" s="3"/>
      <c r="Y335" s="3"/>
      <c r="AA335" s="1372" t="s">
        <v>2663</v>
      </c>
      <c r="AB335" s="1373"/>
      <c r="AC335" s="1373"/>
      <c r="AD335" s="1373"/>
      <c r="AE335" s="1373"/>
      <c r="AF335" s="1373"/>
      <c r="AG335" s="1373"/>
      <c r="AH335" s="1373"/>
      <c r="AI335" s="1373"/>
      <c r="AJ335" s="1373"/>
      <c r="AK335" s="1373"/>
    </row>
    <row r="336" spans="2:37" ht="12.9" customHeight="1">
      <c r="B336" s="3" t="s">
        <v>470</v>
      </c>
      <c r="C336" s="3"/>
      <c r="D336" s="3"/>
      <c r="E336" s="3"/>
      <c r="F336" s="3"/>
      <c r="H336" s="1459" t="s">
        <v>2664</v>
      </c>
      <c r="I336" s="1349"/>
      <c r="J336" s="1349"/>
      <c r="K336" s="1349"/>
      <c r="L336" s="1349"/>
      <c r="M336" s="1349"/>
      <c r="N336" s="1349"/>
      <c r="O336" s="1349"/>
      <c r="P336" s="1349"/>
      <c r="Q336" s="1349"/>
      <c r="R336" s="1349"/>
      <c r="T336" s="3" t="s">
        <v>470</v>
      </c>
      <c r="V336" s="3"/>
      <c r="W336" s="3"/>
      <c r="X336" s="3"/>
      <c r="Y336" s="3"/>
      <c r="AA336" s="1459" t="s">
        <v>2665</v>
      </c>
      <c r="AB336" s="1349"/>
      <c r="AC336" s="1349"/>
      <c r="AD336" s="1349"/>
      <c r="AE336" s="1349"/>
      <c r="AF336" s="1349"/>
      <c r="AG336" s="1349"/>
      <c r="AH336" s="1349"/>
      <c r="AI336" s="1349"/>
      <c r="AJ336" s="1349"/>
      <c r="AK336" s="1349"/>
    </row>
    <row r="337" spans="1:66" ht="12.9" customHeight="1">
      <c r="B337" s="3" t="s">
        <v>75</v>
      </c>
      <c r="C337" s="3"/>
      <c r="D337" s="3"/>
      <c r="E337" s="3"/>
      <c r="F337" s="3"/>
      <c r="H337" s="1459" t="s">
        <v>2666</v>
      </c>
      <c r="I337" s="1349"/>
      <c r="J337" s="1349"/>
      <c r="K337" s="1349"/>
      <c r="L337" s="1349"/>
      <c r="M337" s="1349"/>
      <c r="N337" s="1349"/>
      <c r="O337" s="1349"/>
      <c r="P337" s="1349"/>
      <c r="Q337" s="1349"/>
      <c r="R337" s="1349"/>
      <c r="T337" s="3" t="s">
        <v>75</v>
      </c>
      <c r="V337" s="3"/>
      <c r="W337" s="3"/>
      <c r="X337" s="3"/>
      <c r="Y337" s="3"/>
      <c r="AA337" s="1459" t="s">
        <v>2667</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459" t="s">
        <v>2668</v>
      </c>
      <c r="I338" s="1349"/>
      <c r="J338" s="1349"/>
      <c r="K338" s="1349"/>
      <c r="L338" s="1349"/>
      <c r="M338" s="1349"/>
      <c r="N338" s="1349"/>
      <c r="O338" s="1349"/>
      <c r="P338" s="1349"/>
      <c r="Q338" s="1349"/>
      <c r="R338" s="1349"/>
      <c r="T338" s="3" t="s">
        <v>87</v>
      </c>
      <c r="V338" s="3"/>
      <c r="W338" s="3"/>
      <c r="X338" s="3"/>
      <c r="Y338" s="3"/>
      <c r="AA338" s="1459" t="s">
        <v>2669</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424" t="s">
        <v>2670</v>
      </c>
      <c r="I339" s="1425"/>
      <c r="J339" s="1425"/>
      <c r="K339" s="1425"/>
      <c r="L339" s="1425"/>
      <c r="M339" s="1425"/>
      <c r="N339" s="4" t="s">
        <v>205</v>
      </c>
      <c r="O339" s="4"/>
      <c r="P339" s="1418"/>
      <c r="Q339" s="1418"/>
      <c r="R339" s="1418"/>
      <c r="S339" s="3"/>
      <c r="T339" s="3" t="s">
        <v>88</v>
      </c>
      <c r="V339" s="3"/>
      <c r="W339" s="3"/>
      <c r="X339" s="3"/>
      <c r="Y339" s="3"/>
      <c r="AA339" s="1424" t="s">
        <v>2671</v>
      </c>
      <c r="AB339" s="1425"/>
      <c r="AC339" s="1425"/>
      <c r="AD339" s="1425"/>
      <c r="AE339" s="1425"/>
      <c r="AF339" s="1425"/>
      <c r="AG339" s="4" t="s">
        <v>205</v>
      </c>
      <c r="AH339" s="4"/>
      <c r="AI339" s="1418"/>
      <c r="AJ339" s="1418"/>
      <c r="AK339" s="1418"/>
    </row>
    <row r="340" spans="1:66" ht="12.9" customHeight="1">
      <c r="B340" s="3" t="s">
        <v>89</v>
      </c>
      <c r="C340" s="3"/>
      <c r="D340" s="3"/>
      <c r="E340" s="3"/>
      <c r="F340" s="3"/>
      <c r="G340" s="3"/>
      <c r="H340" s="1346" t="s">
        <v>2672</v>
      </c>
      <c r="I340" s="1347"/>
      <c r="J340" s="1347"/>
      <c r="K340" s="1347"/>
      <c r="L340" s="1347"/>
      <c r="M340" s="1347"/>
      <c r="N340" s="4"/>
      <c r="O340" s="4"/>
      <c r="P340" s="35"/>
      <c r="Q340" s="35"/>
      <c r="R340" s="35"/>
      <c r="S340" s="3"/>
      <c r="T340" s="3" t="s">
        <v>89</v>
      </c>
      <c r="V340" s="3"/>
      <c r="W340" s="3"/>
      <c r="X340" s="3"/>
      <c r="Y340" s="3"/>
      <c r="AA340" s="1346" t="s">
        <v>2673</v>
      </c>
      <c r="AB340" s="1347"/>
      <c r="AC340" s="1347"/>
      <c r="AD340" s="1347"/>
      <c r="AE340" s="1347"/>
      <c r="AF340" s="1347"/>
      <c r="AG340" s="4"/>
      <c r="AH340" s="4"/>
      <c r="AI340" s="35"/>
      <c r="AJ340" s="35"/>
      <c r="AK340" s="35"/>
    </row>
    <row r="341" spans="1:66" ht="12.9" customHeight="1">
      <c r="B341" s="3" t="s">
        <v>76</v>
      </c>
      <c r="C341" s="3"/>
      <c r="D341" s="3"/>
      <c r="E341" s="3"/>
      <c r="F341" s="3"/>
      <c r="G341" s="3"/>
      <c r="H341" s="1459" t="s">
        <v>2674</v>
      </c>
      <c r="I341" s="1349"/>
      <c r="J341" s="1349"/>
      <c r="K341" s="1349"/>
      <c r="L341" s="1349"/>
      <c r="M341" s="1349"/>
      <c r="N341" s="1373"/>
      <c r="O341" s="1373"/>
      <c r="P341" s="1373"/>
      <c r="Q341" s="1373"/>
      <c r="R341" s="1373"/>
      <c r="S341" s="3"/>
      <c r="T341" s="3" t="s">
        <v>76</v>
      </c>
      <c r="V341" s="3"/>
      <c r="W341" s="3"/>
      <c r="X341" s="3"/>
      <c r="Y341" s="3"/>
      <c r="AA341" s="1459" t="s">
        <v>2675</v>
      </c>
      <c r="AB341" s="1349"/>
      <c r="AC341" s="1349"/>
      <c r="AD341" s="1349"/>
      <c r="AE341" s="1349"/>
      <c r="AF341" s="1349"/>
      <c r="AG341" s="1373"/>
      <c r="AH341" s="1373"/>
      <c r="AI341" s="1373"/>
      <c r="AJ341" s="1373"/>
      <c r="AK341" s="13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885</v>
      </c>
      <c r="P343" s="1372" t="s">
        <v>2656</v>
      </c>
      <c r="Q343" s="1373"/>
      <c r="R343" s="1373"/>
      <c r="S343" s="1373"/>
      <c r="T343" s="1373"/>
      <c r="U343" s="1373"/>
      <c r="V343" s="1373"/>
      <c r="W343" s="1373"/>
      <c r="X343" s="1373"/>
      <c r="Y343" s="1373"/>
      <c r="Z343" s="1373"/>
      <c r="AA343" s="1373"/>
      <c r="AB343" s="1373"/>
      <c r="AC343" s="1373"/>
      <c r="AD343" s="1373"/>
      <c r="AE343" s="1373"/>
      <c r="BN343" t="s">
        <v>667</v>
      </c>
    </row>
    <row r="344" spans="1:66" ht="12.9"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 customHeight="1">
      <c r="T350" s="8"/>
      <c r="U350" s="8"/>
      <c r="V350" s="8"/>
      <c r="W350" s="8"/>
      <c r="X350" s="8"/>
      <c r="Y350" s="8"/>
      <c r="Z350" s="8"/>
      <c r="AU350" s="95"/>
      <c r="AV350" s="95"/>
      <c r="AW350" s="95"/>
      <c r="AX350" s="95"/>
      <c r="AY350" s="95"/>
    </row>
    <row r="351" spans="1:66" ht="12.9" customHeight="1">
      <c r="A351" s="1423" t="s">
        <v>541</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780</v>
      </c>
    </row>
    <row r="355" spans="1:46" ht="12.9" customHeight="1">
      <c r="D355" s="3" t="s">
        <v>2096</v>
      </c>
      <c r="M355" s="1332" t="s">
        <v>544</v>
      </c>
      <c r="N355" s="1332"/>
      <c r="P355" t="s">
        <v>1648</v>
      </c>
      <c r="AJ355" s="1332" t="s">
        <v>667</v>
      </c>
      <c r="AK355" s="1332"/>
    </row>
    <row r="356" spans="1:46" ht="12.9" customHeight="1">
      <c r="D356" s="3" t="s">
        <v>1637</v>
      </c>
      <c r="M356" s="1332" t="s">
        <v>590</v>
      </c>
      <c r="N356" s="1332"/>
      <c r="P356" s="3" t="s">
        <v>1717</v>
      </c>
      <c r="AJ356" s="1448"/>
      <c r="AK356" s="1448"/>
    </row>
    <row r="357" spans="1:46" ht="12.9" customHeight="1">
      <c r="D357" s="3" t="s">
        <v>702</v>
      </c>
      <c r="M357" s="1332" t="s">
        <v>590</v>
      </c>
      <c r="N357" s="1332"/>
      <c r="P357" t="s">
        <v>1647</v>
      </c>
      <c r="AJ357" s="1332" t="s">
        <v>590</v>
      </c>
      <c r="AK357" s="1332"/>
    </row>
    <row r="358" spans="1:46" ht="12.9" customHeight="1">
      <c r="D358" s="3" t="s">
        <v>703</v>
      </c>
      <c r="M358" s="1332" t="s">
        <v>590</v>
      </c>
      <c r="N358" s="1332"/>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2.9" customHeight="1">
      <c r="E364" t="s">
        <v>369</v>
      </c>
      <c r="Y364" s="1332" t="s">
        <v>590</v>
      </c>
      <c r="Z364" s="1332"/>
    </row>
    <row r="365" spans="1:46" ht="12.9" customHeight="1">
      <c r="D365" s="4" t="s">
        <v>976</v>
      </c>
      <c r="Q365" s="1373"/>
      <c r="R365" s="1373"/>
      <c r="S365" s="1373"/>
      <c r="T365" s="1373"/>
      <c r="U365" s="1373"/>
      <c r="V365" s="1373"/>
      <c r="W365" s="1373"/>
      <c r="X365" s="1373"/>
      <c r="Y365" s="1373"/>
      <c r="Z365" s="1373"/>
      <c r="AA365" s="1373"/>
      <c r="AB365" s="1373"/>
      <c r="AC365" s="1373"/>
      <c r="AD365" s="1373"/>
      <c r="AE365" s="1373"/>
      <c r="AF365" s="1373"/>
      <c r="AG365" s="1373"/>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7" t="s">
        <v>704</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 customHeight="1">
      <c r="E370" s="4" t="s">
        <v>447</v>
      </c>
      <c r="F370" s="4"/>
      <c r="G370" s="4"/>
      <c r="H370" s="4"/>
      <c r="I370" s="4"/>
      <c r="J370" s="4"/>
      <c r="K370" s="4"/>
      <c r="L370" s="4"/>
      <c r="N370" s="1663"/>
      <c r="O370" s="1663"/>
      <c r="P370" s="1663"/>
      <c r="Q370" s="1663"/>
      <c r="R370" s="4"/>
      <c r="U370" s="4" t="s">
        <v>448</v>
      </c>
      <c r="V370" s="4"/>
      <c r="W370" s="4"/>
      <c r="X370" s="4"/>
      <c r="Y370" s="4"/>
      <c r="Z370" s="4"/>
      <c r="AA370" s="4"/>
      <c r="AB370" s="4"/>
      <c r="AC370" s="1663"/>
      <c r="AD370" s="1663"/>
      <c r="AE370" s="1663"/>
      <c r="AF370" s="1663"/>
    </row>
    <row r="371" spans="1:34" ht="12.9" customHeight="1">
      <c r="E371" s="4" t="s">
        <v>449</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 customHeight="1">
      <c r="C375" s="512"/>
      <c r="E375" s="4"/>
      <c r="F375" s="4"/>
      <c r="G375" s="4"/>
      <c r="H375" s="4"/>
      <c r="I375" s="4"/>
      <c r="J375" s="4"/>
      <c r="K375" s="4"/>
      <c r="L375" s="4"/>
    </row>
    <row r="376" spans="1:34" ht="12.9" customHeight="1">
      <c r="D376" s="2" t="s">
        <v>973</v>
      </c>
      <c r="E376" s="2"/>
      <c r="F376" s="4"/>
      <c r="G376" s="4"/>
      <c r="H376" s="4"/>
      <c r="I376" s="4"/>
      <c r="J376" s="4"/>
      <c r="K376" s="4"/>
      <c r="L376" s="4"/>
    </row>
    <row r="377" spans="1:34" ht="12.9" customHeight="1">
      <c r="E377" s="4" t="s">
        <v>2082</v>
      </c>
      <c r="F377" s="4"/>
      <c r="G377" s="4"/>
      <c r="H377" s="4"/>
      <c r="I377" s="4"/>
      <c r="J377" s="4"/>
      <c r="K377" s="4"/>
      <c r="L377" s="4"/>
      <c r="N377" t="s">
        <v>2077</v>
      </c>
      <c r="R377" s="27" t="s">
        <v>304</v>
      </c>
      <c r="S377" s="1820"/>
      <c r="T377" s="1820"/>
      <c r="U377" s="1" t="s">
        <v>305</v>
      </c>
      <c r="V377" s="1820"/>
      <c r="W377" s="1820"/>
      <c r="Y377" t="s">
        <v>2077</v>
      </c>
      <c r="AC377" s="27" t="s">
        <v>304</v>
      </c>
      <c r="AD377" s="1820"/>
      <c r="AE377" s="1820"/>
      <c r="AF377" s="1" t="s">
        <v>305</v>
      </c>
      <c r="AG377" s="1820"/>
      <c r="AH377" s="1820"/>
    </row>
    <row r="378" spans="1:34" ht="12.9" customHeight="1">
      <c r="E378" s="4" t="s">
        <v>985</v>
      </c>
      <c r="F378" s="4"/>
      <c r="G378" s="4"/>
      <c r="H378" s="4"/>
      <c r="I378" s="4"/>
      <c r="J378" s="4"/>
      <c r="K378" s="4"/>
      <c r="L378" s="4"/>
      <c r="N378" s="1820"/>
      <c r="O378" s="1820"/>
      <c r="P378" s="1820"/>
    </row>
    <row r="379" spans="1:34" ht="12.9" customHeight="1">
      <c r="E379" s="204" t="s">
        <v>2083</v>
      </c>
      <c r="F379" s="4"/>
      <c r="G379" s="4"/>
      <c r="H379" s="4"/>
      <c r="I379" s="4"/>
      <c r="J379" s="4"/>
      <c r="K379" s="4"/>
      <c r="L379" s="4"/>
      <c r="AG379" s="1808" t="s">
        <v>590</v>
      </c>
      <c r="AH379" s="1808"/>
    </row>
    <row r="380" spans="1:34" ht="12.9" customHeight="1">
      <c r="E380" s="4"/>
      <c r="F380" s="4"/>
      <c r="G380" s="4" t="s">
        <v>2084</v>
      </c>
      <c r="H380" s="4"/>
      <c r="I380" s="4"/>
      <c r="J380" s="4"/>
      <c r="K380" s="4"/>
      <c r="L380" s="4"/>
      <c r="AG380" s="1808" t="s">
        <v>590</v>
      </c>
      <c r="AH380" s="1808"/>
    </row>
    <row r="381" spans="1:34" ht="12.9" customHeight="1">
      <c r="E381" s="4"/>
      <c r="F381" s="4"/>
      <c r="G381" s="320" t="s">
        <v>986</v>
      </c>
      <c r="H381" s="4"/>
      <c r="I381" s="4"/>
      <c r="J381" s="4"/>
      <c r="K381" s="4"/>
      <c r="L381" s="4"/>
      <c r="V381" s="1332" t="s">
        <v>590</v>
      </c>
      <c r="W381" s="1332"/>
      <c r="Y381" s="22" t="s">
        <v>978</v>
      </c>
    </row>
    <row r="382" spans="1:34" ht="12.9" customHeight="1">
      <c r="E382" s="4" t="s">
        <v>979</v>
      </c>
      <c r="F382" s="4"/>
      <c r="G382" s="4"/>
      <c r="H382" s="4"/>
      <c r="I382" s="4"/>
      <c r="J382" s="4"/>
      <c r="K382" s="4"/>
      <c r="L382" s="4"/>
      <c r="V382" s="1332" t="s">
        <v>590</v>
      </c>
      <c r="W382" s="1332"/>
      <c r="Y382" s="4" t="s">
        <v>980</v>
      </c>
    </row>
    <row r="383" spans="1:34" ht="12.9" customHeight="1"/>
    <row r="384" spans="1:34" ht="12.9" customHeight="1">
      <c r="A384" s="2" t="s">
        <v>78</v>
      </c>
      <c r="B384" s="2"/>
    </row>
    <row r="385" spans="4:36" ht="12.9" customHeight="1">
      <c r="D385" t="s">
        <v>427</v>
      </c>
      <c r="J385" s="1372" t="s">
        <v>2717</v>
      </c>
      <c r="K385" s="1373"/>
      <c r="L385" s="1373"/>
      <c r="M385" s="1373"/>
      <c r="N385" s="1373"/>
      <c r="O385" s="1373"/>
      <c r="P385" s="1373"/>
      <c r="Q385" s="1373"/>
      <c r="R385" s="1373"/>
      <c r="S385" s="1373"/>
      <c r="T385" s="1373"/>
      <c r="U385" s="1373"/>
      <c r="V385" s="8" t="s">
        <v>83</v>
      </c>
      <c r="W385" s="8"/>
      <c r="X385" s="8"/>
      <c r="Y385" s="8"/>
      <c r="Z385" s="8"/>
      <c r="AA385" s="8"/>
      <c r="AB385" s="8"/>
      <c r="AC385" s="1373" t="s">
        <v>2718</v>
      </c>
      <c r="AD385" s="1373"/>
      <c r="AE385" s="1373"/>
      <c r="AF385" s="1373"/>
      <c r="AG385" s="1373"/>
      <c r="AH385" s="1373"/>
      <c r="AI385" s="1373"/>
      <c r="AJ385" s="1373"/>
    </row>
    <row r="386" spans="4:36" ht="12.9" customHeight="1">
      <c r="D386" s="3" t="s">
        <v>1180</v>
      </c>
      <c r="J386" s="1349" t="s">
        <v>2733</v>
      </c>
      <c r="K386" s="1349"/>
      <c r="L386" s="1349"/>
      <c r="M386" s="1349"/>
      <c r="N386" s="1349"/>
      <c r="O386" s="1349"/>
      <c r="P386" s="1349"/>
      <c r="Q386" s="1349"/>
      <c r="R386" s="1349"/>
      <c r="S386" s="1349"/>
      <c r="T386" s="1349"/>
      <c r="U386" s="1349"/>
      <c r="V386" s="3" t="s">
        <v>1180</v>
      </c>
      <c r="W386" s="8"/>
      <c r="X386" s="8"/>
      <c r="Y386" s="8"/>
      <c r="Z386" s="8"/>
      <c r="AA386" s="8"/>
      <c r="AB386" s="8"/>
      <c r="AC386" s="1373"/>
      <c r="AD386" s="1373"/>
      <c r="AE386" s="1373"/>
      <c r="AF386" s="1373"/>
      <c r="AG386" s="1373"/>
      <c r="AH386" s="1373"/>
      <c r="AI386" s="1373"/>
      <c r="AJ386" s="1373"/>
    </row>
    <row r="387" spans="4:36" ht="12.9" customHeight="1">
      <c r="D387" s="3" t="s">
        <v>440</v>
      </c>
      <c r="J387" s="1349" t="s">
        <v>2734</v>
      </c>
      <c r="K387" s="1349"/>
      <c r="L387" s="1349"/>
      <c r="M387" s="1349"/>
      <c r="N387" s="1349"/>
      <c r="O387" s="1349"/>
      <c r="P387" s="1349"/>
      <c r="Q387" s="1349"/>
      <c r="R387" s="1349"/>
      <c r="S387" s="1349"/>
      <c r="T387" s="1349"/>
      <c r="U387" s="1349"/>
      <c r="V387" s="3" t="s">
        <v>440</v>
      </c>
      <c r="W387" s="8"/>
      <c r="X387" s="8"/>
      <c r="Y387" s="8"/>
      <c r="Z387" s="8"/>
      <c r="AA387" s="8"/>
      <c r="AB387" s="8"/>
      <c r="AC387" s="1373"/>
      <c r="AD387" s="1373"/>
      <c r="AE387" s="1373"/>
      <c r="AF387" s="1373"/>
      <c r="AG387" s="1373"/>
      <c r="AH387" s="1373"/>
      <c r="AI387" s="1373"/>
      <c r="AJ387" s="1373"/>
    </row>
    <row r="388" spans="4:36" ht="12.9" customHeight="1">
      <c r="D388" t="s">
        <v>1176</v>
      </c>
      <c r="J388" s="1404" t="s">
        <v>2735</v>
      </c>
      <c r="K388" s="1404"/>
      <c r="L388" s="1404"/>
      <c r="M388" s="1404"/>
      <c r="N388" s="1404"/>
      <c r="O388" s="1404"/>
      <c r="P388" s="1404"/>
      <c r="Q388" s="1404"/>
      <c r="R388" s="1404"/>
      <c r="S388" s="1404"/>
      <c r="T388" s="1404"/>
      <c r="U388" s="1404"/>
      <c r="V388" s="1373" t="s">
        <v>2736</v>
      </c>
      <c r="W388" s="1373"/>
      <c r="X388" s="1373"/>
      <c r="Y388" s="1373"/>
      <c r="Z388" s="1373"/>
      <c r="AA388" s="1373"/>
      <c r="AB388" s="1373"/>
      <c r="AC388" s="1373"/>
      <c r="AD388" s="1373"/>
      <c r="AE388" s="1373"/>
      <c r="AF388" s="1373"/>
      <c r="AG388" s="1373"/>
      <c r="AH388" s="1373"/>
      <c r="AI388" s="1373"/>
      <c r="AJ388" s="1373"/>
    </row>
    <row r="389" spans="4:36" ht="12.9" customHeight="1">
      <c r="D389" t="s">
        <v>4</v>
      </c>
      <c r="Q389" s="1752">
        <v>37357</v>
      </c>
      <c r="R389" s="1752"/>
      <c r="S389" s="1752"/>
      <c r="T389" s="1752"/>
      <c r="U389" s="1752"/>
      <c r="V389" t="s">
        <v>308</v>
      </c>
      <c r="AI389" s="1332" t="s">
        <v>667</v>
      </c>
      <c r="AJ389" s="1332"/>
    </row>
    <row r="390" spans="4:36" ht="12.9" customHeight="1">
      <c r="D390" t="s">
        <v>5</v>
      </c>
      <c r="Q390" s="1536">
        <v>46203</v>
      </c>
      <c r="R390" s="1825"/>
      <c r="S390" s="1825"/>
      <c r="T390" s="1825"/>
      <c r="U390" s="1825"/>
      <c r="W390" s="21" t="s">
        <v>74</v>
      </c>
      <c r="AG390" s="1822"/>
      <c r="AH390" s="1822"/>
      <c r="AI390" s="1822"/>
      <c r="AJ390" s="1822"/>
    </row>
    <row r="391" spans="4:36" ht="12.9" customHeight="1">
      <c r="D391" t="s">
        <v>426</v>
      </c>
      <c r="Q391" s="1533" t="s">
        <v>590</v>
      </c>
      <c r="R391" s="1834"/>
      <c r="S391" s="1834"/>
      <c r="T391" s="1834"/>
      <c r="U391" s="1834"/>
      <c r="V391" s="3" t="s">
        <v>1179</v>
      </c>
      <c r="AG391" s="1823" t="s">
        <v>590</v>
      </c>
      <c r="AH391" s="1824"/>
      <c r="AI391" s="1824"/>
      <c r="AJ391" s="1824"/>
    </row>
    <row r="392" spans="4:36" ht="12.9" customHeight="1">
      <c r="D392" t="s">
        <v>88</v>
      </c>
      <c r="I392" s="1424" t="s">
        <v>2721</v>
      </c>
      <c r="J392" s="1425"/>
      <c r="K392" s="1425"/>
      <c r="L392" s="1425"/>
      <c r="M392" s="1425"/>
      <c r="N392" s="1425"/>
      <c r="Q392" s="4" t="s">
        <v>205</v>
      </c>
      <c r="S392" s="1833"/>
      <c r="T392" s="1833"/>
      <c r="U392" s="1833"/>
      <c r="V392" t="s">
        <v>73</v>
      </c>
      <c r="AI392" s="1332" t="s">
        <v>667</v>
      </c>
      <c r="AJ392" s="1332"/>
    </row>
    <row r="393" spans="4:36" ht="12.9" customHeight="1">
      <c r="D393" t="s">
        <v>309</v>
      </c>
      <c r="Q393" s="1410">
        <v>9.9999999999999995E-7</v>
      </c>
      <c r="R393" s="1410"/>
      <c r="S393" s="1410"/>
      <c r="T393" s="1410"/>
      <c r="U393" s="1410"/>
      <c r="V393" t="s">
        <v>310</v>
      </c>
      <c r="AG393" s="1822">
        <v>9.9999999999999995E-8</v>
      </c>
      <c r="AH393" s="1822"/>
      <c r="AI393" s="1822"/>
      <c r="AJ393" s="1822"/>
    </row>
    <row r="394" spans="4:36" ht="12.9" customHeight="1">
      <c r="D394" t="s">
        <v>311</v>
      </c>
      <c r="Q394" s="1756">
        <v>9.9999999999999995E-8</v>
      </c>
      <c r="R394" s="1756"/>
      <c r="S394" s="1756"/>
      <c r="T394" s="1756"/>
      <c r="U394" s="1756"/>
      <c r="V394" t="s">
        <v>1161</v>
      </c>
      <c r="AG394" s="1822"/>
      <c r="AH394" s="1822"/>
      <c r="AI394" s="1822"/>
      <c r="AJ394" s="1822"/>
    </row>
    <row r="395" spans="4:36" ht="12.9" customHeight="1">
      <c r="D395" t="s">
        <v>1160</v>
      </c>
      <c r="AG395" s="1822"/>
      <c r="AH395" s="1822"/>
      <c r="AI395" s="1822"/>
      <c r="AJ395" s="1822"/>
    </row>
    <row r="396" spans="4:36" ht="12.9" customHeight="1">
      <c r="AG396" s="456"/>
      <c r="AH396" s="456"/>
      <c r="AI396" s="456"/>
      <c r="AJ396" s="456"/>
    </row>
    <row r="397" spans="4:36" ht="12.9" customHeight="1">
      <c r="D397" s="3" t="s">
        <v>2140</v>
      </c>
      <c r="AG397" s="456"/>
      <c r="AH397" s="456"/>
      <c r="AI397" s="1332" t="s">
        <v>667</v>
      </c>
      <c r="AJ397" s="1332"/>
    </row>
    <row r="398" spans="4:36" ht="12.9" customHeight="1">
      <c r="D398" s="3" t="s">
        <v>1665</v>
      </c>
      <c r="T398" s="1750" t="s">
        <v>590</v>
      </c>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1664</v>
      </c>
      <c r="T399" s="1750" t="s">
        <v>590</v>
      </c>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1658</v>
      </c>
      <c r="S401" s="1751" t="s">
        <v>544</v>
      </c>
      <c r="T401" s="1751"/>
      <c r="U401" s="1751"/>
      <c r="V401" t="s">
        <v>1659</v>
      </c>
      <c r="AG401" s="1827">
        <v>99</v>
      </c>
      <c r="AH401" s="1827"/>
      <c r="AI401" s="1827"/>
      <c r="AJ401" s="1827"/>
    </row>
    <row r="402" spans="1:36" ht="12.9" customHeight="1">
      <c r="D402" s="3" t="s">
        <v>1656</v>
      </c>
      <c r="S402" s="1751" t="s">
        <v>544</v>
      </c>
      <c r="T402" s="1751"/>
      <c r="U402" s="1751"/>
      <c r="V402" t="s">
        <v>1661</v>
      </c>
      <c r="AE402" s="1821">
        <v>1</v>
      </c>
      <c r="AF402" s="1821"/>
      <c r="AG402" s="1821"/>
      <c r="AH402" s="1821"/>
      <c r="AI402" s="1821"/>
      <c r="AJ402" s="1821"/>
    </row>
    <row r="403" spans="1:36" ht="12.9" customHeight="1">
      <c r="D403" s="3" t="s">
        <v>1657</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 customHeight="1">
      <c r="D404" s="3" t="s">
        <v>1660</v>
      </c>
      <c r="K404" s="1800" t="s">
        <v>2717</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 customHeight="1">
      <c r="D405" s="3" t="s">
        <v>1663</v>
      </c>
      <c r="E405" s="477"/>
      <c r="F405" s="477"/>
      <c r="G405" s="477"/>
      <c r="H405" s="477"/>
      <c r="I405" s="477"/>
      <c r="J405" s="477"/>
      <c r="K405" s="477"/>
      <c r="L405" s="477"/>
      <c r="M405" s="477"/>
      <c r="N405" s="477"/>
      <c r="O405" s="477"/>
      <c r="P405" s="477"/>
      <c r="Q405" s="477"/>
      <c r="R405" s="477"/>
      <c r="S405" s="1832" t="s">
        <v>2706</v>
      </c>
      <c r="T405" s="1832"/>
      <c r="U405" s="1832"/>
      <c r="V405" s="1832"/>
      <c r="W405" s="1832"/>
      <c r="X405" s="1832"/>
      <c r="Y405" s="1832"/>
      <c r="Z405" s="1832"/>
      <c r="AA405" s="1832"/>
      <c r="AB405" s="1832"/>
      <c r="AC405" s="1832"/>
      <c r="AD405" s="1832"/>
      <c r="AE405" s="1832"/>
      <c r="AF405" s="1832"/>
      <c r="AG405" s="1832"/>
      <c r="AH405" s="1832"/>
      <c r="AI405" s="1832"/>
      <c r="AJ405" s="1832"/>
    </row>
    <row r="406" spans="1:36" ht="12.9"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588</v>
      </c>
      <c r="B409" s="2"/>
      <c r="C409" s="2" t="s">
        <v>111</v>
      </c>
    </row>
    <row r="410" spans="1:36" ht="12.9" customHeight="1">
      <c r="B410" s="2"/>
      <c r="C410" s="2"/>
      <c r="D410" s="2" t="s">
        <v>1202</v>
      </c>
      <c r="I410" s="1372" t="s">
        <v>2707</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 customHeight="1">
      <c r="E411" t="s">
        <v>106</v>
      </c>
      <c r="R411" s="1332" t="s">
        <v>544</v>
      </c>
      <c r="S411" s="1332"/>
      <c r="AC411" s="27" t="s">
        <v>569</v>
      </c>
      <c r="AD411" s="1663">
        <v>6</v>
      </c>
      <c r="AE411" s="1663"/>
    </row>
    <row r="412" spans="1:36" ht="12.9" customHeight="1">
      <c r="E412" t="s">
        <v>107</v>
      </c>
      <c r="R412" s="1332" t="s">
        <v>590</v>
      </c>
      <c r="S412" s="1332"/>
      <c r="AC412" s="27" t="s">
        <v>569</v>
      </c>
      <c r="AD412" s="1757"/>
      <c r="AE412" s="1663"/>
    </row>
    <row r="413" spans="1:36" ht="12.9" customHeight="1">
      <c r="E413" t="s">
        <v>108</v>
      </c>
      <c r="S413" s="1332" t="s">
        <v>590</v>
      </c>
      <c r="T413" s="1332"/>
    </row>
    <row r="414" spans="1:36" ht="12.9" customHeight="1">
      <c r="E414" t="s">
        <v>169</v>
      </c>
      <c r="H414" s="1758" t="s">
        <v>2708</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 customHeight="1"/>
    <row r="417" spans="1:39" ht="12.9" customHeight="1">
      <c r="A417" s="2" t="s">
        <v>589</v>
      </c>
      <c r="B417" s="2"/>
      <c r="C417" s="2"/>
      <c r="D417" s="2" t="s">
        <v>114</v>
      </c>
      <c r="AF417" s="2" t="s">
        <v>955</v>
      </c>
    </row>
    <row r="418" spans="1:39" ht="12.9" customHeight="1">
      <c r="E418" s="1820"/>
      <c r="F418" s="1820"/>
      <c r="G418" s="1820"/>
      <c r="H418" s="13" t="s">
        <v>115</v>
      </c>
      <c r="I418" s="1820"/>
      <c r="J418" s="1820"/>
      <c r="K418" s="1820"/>
      <c r="L418" t="s">
        <v>116</v>
      </c>
      <c r="N418" s="27" t="s">
        <v>574</v>
      </c>
      <c r="P418" s="1761">
        <v>1.79</v>
      </c>
      <c r="Q418" s="1761"/>
      <c r="R418" s="1761"/>
      <c r="S418" t="s">
        <v>117</v>
      </c>
      <c r="W418" s="1831">
        <f>IF(E418&gt;0,(E418*I418),(P418*43560))</f>
        <v>77972.400000000009</v>
      </c>
      <c r="X418" s="1831"/>
      <c r="Y418" s="1831"/>
      <c r="Z418" t="s">
        <v>118</v>
      </c>
      <c r="AF418" s="1762">
        <f>IFERROR(IF(P418&gt;0,(AG437/P418),(AG437/(W418/43560))),0)</f>
        <v>83.798882681564251</v>
      </c>
      <c r="AG418" s="1762"/>
      <c r="AH418" s="1762"/>
      <c r="AM418" s="3"/>
    </row>
    <row r="419" spans="1:39" ht="12.9" customHeight="1">
      <c r="E419" t="s">
        <v>51</v>
      </c>
    </row>
    <row r="420" spans="1:39" ht="12.9" customHeight="1">
      <c r="E420" s="1828"/>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 customHeight="1">
      <c r="E421" s="118" t="s">
        <v>1734</v>
      </c>
      <c r="F421" s="1013"/>
      <c r="G421" s="1013"/>
      <c r="H421" s="1013"/>
      <c r="I421" s="1760">
        <v>1.79</v>
      </c>
      <c r="J421" s="1760"/>
      <c r="K421" s="1760"/>
      <c r="L421" s="1013"/>
      <c r="M421" s="118"/>
      <c r="N421" s="1013"/>
      <c r="O421" s="1013"/>
      <c r="P421" s="1442">
        <f>(DU755+DU778+DU800)/I421</f>
        <v>177.09497206703909</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591</v>
      </c>
      <c r="B423" s="2"/>
      <c r="C423" s="2"/>
      <c r="D423" s="2" t="s">
        <v>120</v>
      </c>
    </row>
    <row r="424" spans="1:39" ht="12.9" customHeight="1">
      <c r="E424" t="s">
        <v>121</v>
      </c>
      <c r="P424" s="1332">
        <v>1</v>
      </c>
      <c r="Q424" s="1332"/>
      <c r="S424" t="s">
        <v>188</v>
      </c>
      <c r="AE424" s="1332">
        <v>1</v>
      </c>
      <c r="AF424" s="1332"/>
    </row>
    <row r="425" spans="1:39" ht="12.9" customHeight="1">
      <c r="E425" t="s">
        <v>189</v>
      </c>
      <c r="P425" s="1332"/>
      <c r="Q425" s="1332"/>
      <c r="S425" t="s">
        <v>131</v>
      </c>
      <c r="AE425" s="1332" t="s">
        <v>590</v>
      </c>
      <c r="AF425" s="1332"/>
    </row>
    <row r="426" spans="1:39" ht="12.9" customHeight="1">
      <c r="F426" s="28" t="s">
        <v>132</v>
      </c>
    </row>
    <row r="427" spans="1:39" ht="12.9" customHeight="1">
      <c r="F427" s="1806" t="s">
        <v>2709</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 customHeight="1">
      <c r="E429" t="s">
        <v>607</v>
      </c>
      <c r="P429" s="1"/>
      <c r="Q429" s="1332" t="s">
        <v>544</v>
      </c>
      <c r="R429" s="1332"/>
    </row>
    <row r="430" spans="1:39" ht="12.9" customHeight="1">
      <c r="F430" t="s">
        <v>608</v>
      </c>
      <c r="P430" s="1"/>
      <c r="Q430" s="1"/>
      <c r="AF430" s="1332" t="s">
        <v>590</v>
      </c>
      <c r="AG430" s="1829"/>
    </row>
    <row r="431" spans="1:39" ht="12.9" customHeight="1"/>
    <row r="432" spans="1:39" ht="12.9" customHeight="1">
      <c r="A432" s="2"/>
      <c r="B432" s="2"/>
      <c r="C432" s="2"/>
      <c r="E432" s="4" t="s">
        <v>307</v>
      </c>
      <c r="Z432" s="1332" t="s">
        <v>667</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705</v>
      </c>
      <c r="G434" s="40"/>
      <c r="I434" s="40"/>
      <c r="J434" s="40"/>
      <c r="K434" s="40"/>
      <c r="L434" s="40"/>
      <c r="M434" s="40"/>
      <c r="N434" s="40"/>
      <c r="O434" s="28"/>
      <c r="P434" s="40"/>
      <c r="Q434" s="40"/>
      <c r="R434" s="40"/>
      <c r="S434" s="40"/>
      <c r="T434" s="40"/>
      <c r="U434" s="40"/>
      <c r="V434" s="40"/>
      <c r="W434" s="40"/>
      <c r="Z434" s="1332" t="s">
        <v>590</v>
      </c>
      <c r="AA434" s="1332"/>
    </row>
    <row r="435" spans="1:55" ht="12.9" customHeight="1"/>
    <row r="436" spans="1:55" ht="12.9" customHeight="1">
      <c r="A436" s="2" t="s">
        <v>466</v>
      </c>
      <c r="B436" s="2"/>
      <c r="C436" s="2"/>
      <c r="D436" s="2" t="s">
        <v>762</v>
      </c>
      <c r="AF436" s="48"/>
    </row>
    <row r="437" spans="1:55"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6">
        <v>150</v>
      </c>
      <c r="AH437" s="1826"/>
      <c r="AI437" s="1826"/>
      <c r="AJ437" s="1826"/>
    </row>
    <row r="438" spans="1:55" ht="12.9"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30"/>
      <c r="AH438" s="1613"/>
      <c r="AI438" s="1613"/>
      <c r="AJ438" s="1613"/>
    </row>
    <row r="439" spans="1:55" ht="12.9"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6">
        <v>149</v>
      </c>
      <c r="AH439" s="1826"/>
      <c r="AI439" s="1826"/>
      <c r="AJ439" s="1826"/>
    </row>
    <row r="440" spans="1:55" ht="12.9"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6">
        <v>149</v>
      </c>
      <c r="AH440" s="1826"/>
      <c r="AI440" s="1826"/>
      <c r="AJ440" s="1826"/>
    </row>
    <row r="441" spans="1:55" ht="12.9"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0">
        <f>IF(ISERROR(AG440/AG439),0,AG440/AG439)</f>
        <v>1</v>
      </c>
      <c r="AH441" s="1810"/>
      <c r="AI441" s="1810"/>
      <c r="AJ441" s="1810"/>
    </row>
    <row r="442" spans="1:55" ht="12.9"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121162</v>
      </c>
      <c r="AH442" s="1695"/>
      <c r="AI442" s="1695"/>
      <c r="AJ442" s="1695"/>
    </row>
    <row r="443" spans="1:55" ht="12.9"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121162</v>
      </c>
      <c r="AH443" s="1695"/>
      <c r="AI443" s="1695"/>
      <c r="AJ443" s="1695"/>
    </row>
    <row r="444" spans="1:55" ht="12.9"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0">
        <f>IF(ISERROR(AG443/AG442),0,AG443/AG442)</f>
        <v>1</v>
      </c>
      <c r="AH444" s="1810"/>
      <c r="AI444" s="1810"/>
      <c r="AJ444" s="1810"/>
    </row>
    <row r="445" spans="1:55" ht="12.9"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0">
        <f>MIN(IF(AG441&gt;AG444,AG444,AG441),1)</f>
        <v>1</v>
      </c>
      <c r="AH445" s="1810"/>
      <c r="AI445" s="1810"/>
      <c r="AJ445" s="1810"/>
    </row>
    <row r="446" spans="1:55" ht="12.9" customHeight="1">
      <c r="D446" s="1743" t="s">
        <v>2085</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5">
        <v>2736</v>
      </c>
      <c r="AH446" s="1695"/>
      <c r="AI446" s="1695"/>
      <c r="AJ446" s="1695"/>
      <c r="AZ446" s="34"/>
      <c r="BA446" s="34"/>
      <c r="BB446" s="34"/>
      <c r="BC446" s="34"/>
    </row>
    <row r="447" spans="1:55" ht="12.9" customHeight="1">
      <c r="D447" s="1625" t="s">
        <v>568</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5"/>
      <c r="AH447" s="1695"/>
      <c r="AI447" s="1695"/>
      <c r="AJ447" s="1695"/>
      <c r="AZ447" s="3"/>
      <c r="BA447" s="3"/>
      <c r="BB447" s="3"/>
      <c r="BC447" s="3"/>
    </row>
    <row r="448" spans="1:55" ht="12.9" customHeight="1">
      <c r="D448" s="1743" t="s">
        <v>1203</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5">
        <v>46501</v>
      </c>
      <c r="AH448" s="1695"/>
      <c r="AI448" s="1695"/>
      <c r="AJ448" s="1695"/>
      <c r="AZ448" s="3"/>
      <c r="BA448" s="3"/>
      <c r="BB448" s="3"/>
      <c r="BC448" s="3"/>
    </row>
    <row r="449" spans="1:55" ht="12.9" customHeight="1">
      <c r="D449" s="1743" t="s">
        <v>1036</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5"/>
      <c r="AH449" s="1695"/>
      <c r="AI449" s="1695"/>
      <c r="AJ449" s="1695"/>
      <c r="BB449" s="3"/>
      <c r="BC449" s="3"/>
    </row>
    <row r="450" spans="1:55" ht="12.9" customHeight="1">
      <c r="D450" s="1768" t="s">
        <v>1037</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50">
        <f>AG442+AG446+AG448+AG449</f>
        <v>170399</v>
      </c>
      <c r="AH450" s="1850"/>
      <c r="AI450" s="1850"/>
      <c r="AJ450" s="1850"/>
      <c r="AZ450" s="3"/>
      <c r="BA450" s="3"/>
      <c r="BB450" s="3"/>
      <c r="BC450" s="3"/>
    </row>
    <row r="451" spans="1:55" ht="12.9"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769027.02</v>
      </c>
      <c r="AD454" s="1817"/>
      <c r="AE454" s="1817"/>
      <c r="AF454" s="1817"/>
      <c r="AG454" s="177"/>
      <c r="AH454" s="177"/>
      <c r="AI454" s="177"/>
      <c r="AJ454" s="183"/>
      <c r="AZ454" s="3"/>
      <c r="BA454" s="3" t="str">
        <f>AG575</f>
        <v>Yes</v>
      </c>
      <c r="BB454" s="3"/>
      <c r="BC454" s="3"/>
    </row>
    <row r="455" spans="1:55" ht="12.9"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769027.02</v>
      </c>
      <c r="AD455" s="1817"/>
      <c r="AE455" s="1817"/>
      <c r="AF455" s="1817"/>
      <c r="AG455" s="177"/>
      <c r="AH455" s="177"/>
      <c r="AI455" s="177"/>
      <c r="AJ455" s="183"/>
      <c r="AZ455" s="3"/>
      <c r="BA455" s="3"/>
      <c r="BB455" s="3"/>
      <c r="BC455" s="3"/>
    </row>
    <row r="456" spans="1:55" ht="12.9"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759120.12666666671</v>
      </c>
      <c r="AD456" s="1817"/>
      <c r="AE456" s="1817"/>
      <c r="AF456" s="1817"/>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4" t="s">
        <v>2097</v>
      </c>
      <c r="E465" s="1754"/>
      <c r="F465" s="1754"/>
      <c r="G465" s="1754"/>
      <c r="H465" s="1754"/>
      <c r="I465" s="1754"/>
      <c r="J465" s="1754"/>
      <c r="K465" s="1754"/>
      <c r="L465" s="1754"/>
      <c r="M465" s="1754"/>
      <c r="N465" s="1754"/>
      <c r="O465" s="1754"/>
      <c r="P465" s="1754"/>
      <c r="Q465" s="1754"/>
      <c r="R465" s="1754"/>
      <c r="S465" s="1754"/>
      <c r="T465" s="1754"/>
      <c r="U465" s="1754"/>
      <c r="V465" s="1755"/>
      <c r="W465" s="1665"/>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691</v>
      </c>
      <c r="E466" s="1754"/>
      <c r="F466" s="1754"/>
      <c r="G466" s="1754"/>
      <c r="H466" s="1754"/>
      <c r="I466" s="1754"/>
      <c r="J466" s="1754"/>
      <c r="K466" s="1754"/>
      <c r="L466" s="1754"/>
      <c r="M466" s="1754"/>
      <c r="N466" s="1754"/>
      <c r="O466" s="1754"/>
      <c r="P466" s="1754"/>
      <c r="Q466" s="1754"/>
      <c r="R466" s="1754"/>
      <c r="S466" s="1754"/>
      <c r="T466" s="1754"/>
      <c r="U466" s="1754"/>
      <c r="V466" s="1755"/>
      <c r="W466" s="1665"/>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692</v>
      </c>
      <c r="E467" s="1754"/>
      <c r="F467" s="1754"/>
      <c r="G467" s="1754"/>
      <c r="H467" s="1754"/>
      <c r="I467" s="1754"/>
      <c r="J467" s="1754"/>
      <c r="K467" s="1754"/>
      <c r="L467" s="1754"/>
      <c r="M467" s="1754"/>
      <c r="N467" s="1754"/>
      <c r="O467" s="1754"/>
      <c r="P467" s="1754"/>
      <c r="Q467" s="1754"/>
      <c r="R467" s="1754"/>
      <c r="S467" s="1754"/>
      <c r="T467" s="1754"/>
      <c r="U467" s="1754"/>
      <c r="V467" s="1755"/>
      <c r="W467" s="1665"/>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693</v>
      </c>
      <c r="E468" s="1754"/>
      <c r="F468" s="1754"/>
      <c r="G468" s="1754"/>
      <c r="H468" s="1754"/>
      <c r="I468" s="1754"/>
      <c r="J468" s="1754"/>
      <c r="K468" s="1754"/>
      <c r="L468" s="1754"/>
      <c r="M468" s="1754"/>
      <c r="N468" s="1754"/>
      <c r="O468" s="1754"/>
      <c r="P468" s="1754"/>
      <c r="Q468" s="1754"/>
      <c r="R468" s="1754"/>
      <c r="S468" s="1754"/>
      <c r="T468" s="1754"/>
      <c r="U468" s="1754"/>
      <c r="V468" s="1755"/>
      <c r="W468" s="1665"/>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879</v>
      </c>
      <c r="E469" s="1754"/>
      <c r="F469" s="1754"/>
      <c r="G469" s="1754"/>
      <c r="H469" s="1754"/>
      <c r="I469" s="1754"/>
      <c r="J469" s="1754"/>
      <c r="K469" s="1754"/>
      <c r="L469" s="1754"/>
      <c r="M469" s="1754"/>
      <c r="N469" s="1754"/>
      <c r="O469" s="1754"/>
      <c r="P469" s="1754"/>
      <c r="Q469" s="1754"/>
      <c r="R469" s="1754"/>
      <c r="S469" s="1754"/>
      <c r="T469" s="1754"/>
      <c r="U469" s="1754"/>
      <c r="V469" s="1755"/>
      <c r="W469" s="1665"/>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694</v>
      </c>
      <c r="E470" s="1754"/>
      <c r="F470" s="1754"/>
      <c r="G470" s="1754"/>
      <c r="H470" s="1754"/>
      <c r="I470" s="1754"/>
      <c r="J470" s="1754"/>
      <c r="K470" s="1754"/>
      <c r="L470" s="1754"/>
      <c r="M470" s="1754"/>
      <c r="N470" s="1754"/>
      <c r="O470" s="1754"/>
      <c r="P470" s="1754"/>
      <c r="Q470" s="1754"/>
      <c r="R470" s="1754"/>
      <c r="S470" s="1754"/>
      <c r="T470" s="1754"/>
      <c r="U470" s="1754"/>
      <c r="V470" s="1755"/>
      <c r="W470" s="1665"/>
      <c r="X470" s="1666"/>
      <c r="Y470" s="1667"/>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5"/>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4" t="s">
        <v>2188</v>
      </c>
      <c r="E472" s="1854"/>
      <c r="F472" s="1854"/>
      <c r="G472" s="1854"/>
      <c r="H472" s="1854"/>
      <c r="I472" s="1854"/>
      <c r="J472" s="1854"/>
      <c r="K472" s="1854"/>
      <c r="L472" s="1854"/>
      <c r="M472" s="1854"/>
      <c r="N472" s="1854"/>
      <c r="O472" s="1854"/>
      <c r="P472" s="1854"/>
      <c r="Q472" s="1854"/>
      <c r="R472" s="1854"/>
      <c r="S472" s="1854"/>
      <c r="T472" s="1854"/>
      <c r="U472" s="1854"/>
      <c r="V472" s="1855"/>
      <c r="W472" s="1665"/>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4" t="s">
        <v>1652</v>
      </c>
      <c r="E473" s="1754"/>
      <c r="F473" s="1754"/>
      <c r="G473" s="1754"/>
      <c r="H473" s="1754"/>
      <c r="I473" s="1754"/>
      <c r="J473" s="1754"/>
      <c r="K473" s="1754"/>
      <c r="L473" s="1754"/>
      <c r="M473" s="1754"/>
      <c r="N473" s="1754"/>
      <c r="O473" s="1754"/>
      <c r="P473" s="1754"/>
      <c r="Q473" s="1754"/>
      <c r="R473" s="1754"/>
      <c r="S473" s="1754"/>
      <c r="T473" s="1754"/>
      <c r="U473" s="1754"/>
      <c r="V473" s="1755"/>
      <c r="W473" s="1665">
        <v>23</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98" t="s">
        <v>2676</v>
      </c>
      <c r="H474" s="1699"/>
      <c r="I474" s="1699"/>
      <c r="J474" s="1699"/>
      <c r="K474" s="1699"/>
      <c r="L474" s="1699"/>
      <c r="M474" s="1699"/>
      <c r="N474" s="1699"/>
      <c r="O474" s="1699"/>
      <c r="P474" s="1699"/>
      <c r="Q474" s="1699"/>
      <c r="R474" s="1699"/>
      <c r="S474" s="1699"/>
      <c r="T474" s="1699"/>
      <c r="U474" s="1699"/>
      <c r="V474" s="1700"/>
      <c r="W474" s="1665">
        <v>15</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3" t="s">
        <v>808</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318</v>
      </c>
      <c r="C483" s="2" t="s">
        <v>806</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 customHeight="1">
      <c r="B486" s="45" t="s">
        <v>393</v>
      </c>
      <c r="C486" s="5"/>
      <c r="D486" s="5"/>
      <c r="E486" s="5"/>
      <c r="F486" s="5"/>
      <c r="G486" s="5"/>
      <c r="H486" s="5"/>
      <c r="I486" s="5"/>
      <c r="J486" s="5"/>
      <c r="K486" s="5"/>
      <c r="L486" s="5"/>
      <c r="M486" s="5"/>
      <c r="N486" s="5"/>
      <c r="O486" s="5"/>
      <c r="P486" s="5"/>
      <c r="Q486" s="1578" t="s">
        <v>2737</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 customHeight="1">
      <c r="B487" s="45" t="s">
        <v>394</v>
      </c>
      <c r="C487" s="5"/>
      <c r="D487" s="5"/>
      <c r="E487" s="5"/>
      <c r="F487" s="5"/>
      <c r="G487" s="5"/>
      <c r="H487" s="5"/>
      <c r="I487" s="5"/>
      <c r="J487" s="5"/>
      <c r="K487" s="5"/>
      <c r="L487" s="5"/>
      <c r="M487" s="5"/>
      <c r="N487" s="5"/>
      <c r="O487" s="5"/>
      <c r="P487" s="5"/>
      <c r="Q487" s="1578" t="s">
        <v>2738</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 customHeight="1">
      <c r="B488" s="45" t="s">
        <v>395</v>
      </c>
      <c r="C488" s="5"/>
      <c r="D488" s="5"/>
      <c r="E488" s="5"/>
      <c r="F488" s="5"/>
      <c r="G488" s="5"/>
      <c r="H488" s="5"/>
      <c r="I488" s="5"/>
      <c r="J488" s="5"/>
      <c r="K488" s="5"/>
      <c r="L488" s="5"/>
      <c r="M488" s="5"/>
      <c r="N488" s="5"/>
      <c r="O488" s="5"/>
      <c r="P488" s="5"/>
      <c r="Q488" s="1578" t="s">
        <v>2738</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 customHeight="1">
      <c r="B489" s="1838" t="s">
        <v>396</v>
      </c>
      <c r="C489" s="1839"/>
      <c r="D489" s="1839"/>
      <c r="E489" s="1839"/>
      <c r="F489" s="1839"/>
      <c r="G489" s="1839"/>
      <c r="H489" s="1839"/>
      <c r="I489" s="1839"/>
      <c r="J489" s="1839"/>
      <c r="K489" s="1839"/>
      <c r="L489" s="1839"/>
      <c r="M489" s="1839"/>
      <c r="N489" s="1839"/>
      <c r="O489" s="1839"/>
      <c r="P489" s="1840"/>
      <c r="Q489" s="1844" t="s">
        <v>544</v>
      </c>
      <c r="R489" s="1845"/>
      <c r="S489" s="1771" t="s">
        <v>2739</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 customHeight="1">
      <c r="B490" s="1841"/>
      <c r="C490" s="1842"/>
      <c r="D490" s="1842"/>
      <c r="E490" s="1842"/>
      <c r="F490" s="1842"/>
      <c r="G490" s="1842"/>
      <c r="H490" s="1842"/>
      <c r="I490" s="1842"/>
      <c r="J490" s="1842"/>
      <c r="K490" s="1842"/>
      <c r="L490" s="1842"/>
      <c r="M490" s="1842"/>
      <c r="N490" s="1842"/>
      <c r="O490" s="1842"/>
      <c r="P490" s="1843"/>
      <c r="Q490" s="1846"/>
      <c r="R490" s="1847"/>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 customHeight="1">
      <c r="B491" s="895" t="s">
        <v>1669</v>
      </c>
      <c r="C491" s="873"/>
      <c r="D491" s="873"/>
      <c r="E491" s="873"/>
      <c r="F491" s="873"/>
      <c r="G491" s="873"/>
      <c r="H491" s="873"/>
      <c r="I491" s="873"/>
      <c r="J491" s="873"/>
      <c r="K491" s="873"/>
      <c r="L491" s="873"/>
      <c r="M491" s="873"/>
      <c r="N491" s="873"/>
      <c r="O491" s="873"/>
      <c r="P491" s="873"/>
      <c r="Q491" s="1851" t="s">
        <v>667</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 customHeight="1">
      <c r="B492" s="45" t="s">
        <v>397</v>
      </c>
      <c r="C492" s="5"/>
      <c r="D492" s="5"/>
      <c r="E492" s="5"/>
      <c r="F492" s="5"/>
      <c r="G492" s="5"/>
      <c r="H492" s="5"/>
      <c r="I492" s="5"/>
      <c r="J492" s="5"/>
      <c r="K492" s="5"/>
      <c r="L492" s="5"/>
      <c r="M492" s="5"/>
      <c r="N492" s="5"/>
      <c r="O492" s="5"/>
      <c r="P492" s="5"/>
      <c r="Q492" s="1578" t="s">
        <v>2740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 customHeight="1">
      <c r="B493" s="45" t="s">
        <v>398</v>
      </c>
      <c r="C493" s="5"/>
      <c r="D493" s="5"/>
      <c r="E493" s="5"/>
      <c r="F493" s="5"/>
      <c r="G493" s="5"/>
      <c r="H493" s="5"/>
      <c r="I493" s="5"/>
      <c r="J493" s="5"/>
      <c r="K493" s="5"/>
      <c r="L493" s="5"/>
      <c r="M493" s="5"/>
      <c r="N493" s="5"/>
      <c r="O493" s="5"/>
      <c r="P493" s="5"/>
      <c r="Q493" s="1547" t="s">
        <v>2741</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 customHeight="1">
      <c r="B494" s="121" t="s">
        <v>1666</v>
      </c>
      <c r="C494" s="5"/>
      <c r="D494" s="5"/>
      <c r="E494" s="5"/>
      <c r="F494" s="5"/>
      <c r="G494" s="5"/>
      <c r="H494" s="5"/>
      <c r="I494" s="5"/>
      <c r="J494" s="5"/>
      <c r="K494" s="5"/>
      <c r="L494" s="5"/>
      <c r="M494" s="5"/>
      <c r="N494" s="5"/>
      <c r="O494" s="5"/>
      <c r="P494" s="5"/>
      <c r="Q494" s="1578">
        <v>90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 customHeight="1">
      <c r="B495" s="121" t="s">
        <v>1667</v>
      </c>
      <c r="C495" s="5"/>
      <c r="D495" s="5"/>
      <c r="E495" s="5"/>
      <c r="F495" s="5"/>
      <c r="G495" s="5"/>
      <c r="H495" s="5"/>
      <c r="I495" s="5"/>
      <c r="J495" s="5"/>
      <c r="K495" s="5"/>
      <c r="L495" s="5"/>
      <c r="M495" s="1447">
        <v>90</v>
      </c>
      <c r="N495" s="1448"/>
      <c r="O495" s="1448"/>
      <c r="P495" s="1449"/>
      <c r="Q495" s="121" t="s">
        <v>1668</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 customHeight="1">
      <c r="B501" s="1672"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2" t="s">
        <v>590</v>
      </c>
      <c r="AD501" s="1663"/>
      <c r="AE501" s="1663"/>
      <c r="AF501" s="1663"/>
      <c r="AG501" s="13" t="s">
        <v>402</v>
      </c>
      <c r="AH501" s="1404"/>
      <c r="AI501" s="1404"/>
      <c r="AJ501" s="1404"/>
      <c r="AK501" s="1405"/>
      <c r="AZ501" s="3"/>
      <c r="BA501" s="3"/>
      <c r="BB501" s="3"/>
      <c r="BC501" s="3"/>
      <c r="BD501" s="3"/>
      <c r="BE501" s="3"/>
      <c r="BF501" s="3"/>
      <c r="BG501" s="3"/>
      <c r="BH501" s="3"/>
      <c r="BI501" s="3"/>
      <c r="BJ501" s="3"/>
      <c r="BK501" s="3"/>
      <c r="BL501" s="3"/>
      <c r="BM501" s="3"/>
      <c r="BN501" s="3"/>
    </row>
    <row r="502" spans="1:66" ht="12.9" customHeight="1">
      <c r="B502" s="1673"/>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2" t="s">
        <v>590</v>
      </c>
      <c r="AD502" s="1663"/>
      <c r="AE502" s="1663"/>
      <c r="AF502" s="1663"/>
      <c r="AG502" s="38" t="s">
        <v>402</v>
      </c>
      <c r="AH502" s="1404"/>
      <c r="AI502" s="1404"/>
      <c r="AJ502" s="1404"/>
      <c r="AK502" s="1405"/>
      <c r="AZ502" s="3"/>
      <c r="BA502" s="3"/>
      <c r="BB502" s="3"/>
      <c r="BC502" s="3"/>
      <c r="BD502" s="3"/>
      <c r="BE502" s="3"/>
      <c r="BF502" s="3"/>
      <c r="BG502" s="3"/>
      <c r="BH502" s="3"/>
      <c r="BI502" s="3"/>
      <c r="BJ502" s="3"/>
      <c r="BK502" s="3"/>
      <c r="BL502" s="3"/>
      <c r="BM502" s="3"/>
      <c r="BN502" s="3"/>
    </row>
    <row r="503" spans="1:66" ht="12.9" customHeight="1">
      <c r="B503" s="1672"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2" t="s">
        <v>590</v>
      </c>
      <c r="AD503" s="1663"/>
      <c r="AE503" s="1663"/>
      <c r="AF503" s="1663"/>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2.9" customHeight="1">
      <c r="B504" s="1673"/>
      <c r="C504" s="1434"/>
      <c r="D504" s="1434"/>
      <c r="E504" s="1434"/>
      <c r="F504" s="1434"/>
      <c r="G504" s="1434"/>
      <c r="H504" s="1435"/>
      <c r="I504" t="s">
        <v>409</v>
      </c>
      <c r="AC504" s="1662" t="s">
        <v>590</v>
      </c>
      <c r="AD504" s="1663"/>
      <c r="AE504" s="1663"/>
      <c r="AF504" s="1663"/>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 customHeight="1">
      <c r="B505" s="1673"/>
      <c r="C505" s="1434"/>
      <c r="D505" s="1434"/>
      <c r="E505" s="1434"/>
      <c r="F505" s="1434"/>
      <c r="G505" s="1434"/>
      <c r="H505" s="1435"/>
      <c r="I505" t="s">
        <v>410</v>
      </c>
      <c r="AC505" s="1662">
        <v>4</v>
      </c>
      <c r="AD505" s="1663"/>
      <c r="AE505" s="1663"/>
      <c r="AF505" s="1663"/>
      <c r="AG505" s="13" t="s">
        <v>402</v>
      </c>
      <c r="AH505" s="1404">
        <v>2024</v>
      </c>
      <c r="AI505" s="1404"/>
      <c r="AJ505" s="1404"/>
      <c r="AK505" s="1405"/>
      <c r="AZ505" s="3"/>
      <c r="BA505" s="3"/>
      <c r="BB505" s="3"/>
      <c r="BC505" s="3"/>
      <c r="BD505" s="3"/>
      <c r="BE505" s="3"/>
      <c r="BF505" s="3"/>
      <c r="BG505" s="3"/>
      <c r="BH505" s="3"/>
      <c r="BI505" s="3"/>
      <c r="BJ505" s="3"/>
      <c r="BK505" s="3"/>
      <c r="BL505" s="3"/>
      <c r="BM505" s="3"/>
      <c r="BN505" s="3"/>
    </row>
    <row r="506" spans="1:66" ht="12.9" customHeight="1">
      <c r="B506" s="1673"/>
      <c r="C506" s="1434"/>
      <c r="D506" s="1434"/>
      <c r="E506" s="1434"/>
      <c r="F506" s="1434"/>
      <c r="G506" s="1434"/>
      <c r="H506" s="1435"/>
      <c r="I506" t="s">
        <v>411</v>
      </c>
      <c r="AC506" s="1662">
        <v>5</v>
      </c>
      <c r="AD506" s="1663"/>
      <c r="AE506" s="1663"/>
      <c r="AF506" s="1663"/>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 customHeight="1">
      <c r="B507" s="1673"/>
      <c r="C507" s="1434"/>
      <c r="D507" s="1434"/>
      <c r="E507" s="1434"/>
      <c r="F507" s="1434"/>
      <c r="G507" s="1434"/>
      <c r="H507" s="1435"/>
      <c r="I507" s="3" t="s">
        <v>412</v>
      </c>
      <c r="AC507" s="1337">
        <v>5</v>
      </c>
      <c r="AD507" s="1338"/>
      <c r="AE507" s="1338"/>
      <c r="AF507" s="1338"/>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 customHeight="1">
      <c r="B508" s="1673"/>
      <c r="C508" s="1434"/>
      <c r="D508" s="1434"/>
      <c r="E508" s="1434"/>
      <c r="F508" s="1434"/>
      <c r="G508" s="1434"/>
      <c r="H508" s="1435"/>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9"/>
      <c r="AC508" s="1662" t="s">
        <v>590</v>
      </c>
      <c r="AD508" s="1663"/>
      <c r="AE508" s="1663"/>
      <c r="AF508" s="1663"/>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1673</v>
      </c>
      <c r="AC509" s="1826" t="s">
        <v>667</v>
      </c>
      <c r="AD509" s="1826"/>
      <c r="AE509" s="1826"/>
      <c r="AF509" s="1826"/>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1670</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5">
        <v>0.3</v>
      </c>
      <c r="AD512" s="1836"/>
      <c r="AE512" s="1836"/>
      <c r="AF512" s="1837"/>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8"/>
      <c r="AZ513" s="3"/>
      <c r="BA513" s="3"/>
      <c r="BB513" s="3"/>
      <c r="BC513" s="3"/>
      <c r="BD513" s="3"/>
      <c r="BE513" s="3"/>
      <c r="BF513" s="3"/>
      <c r="BG513" s="3"/>
      <c r="BH513" s="3"/>
      <c r="BI513" s="3"/>
      <c r="BJ513" s="3"/>
      <c r="BK513" s="3"/>
      <c r="BL513" s="3"/>
      <c r="BM513" s="3"/>
      <c r="BN513" s="3" t="s">
        <v>2102</v>
      </c>
    </row>
    <row r="514" spans="2:66" ht="12.9" customHeight="1">
      <c r="B514" s="1672"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2">
        <v>8</v>
      </c>
      <c r="AD514" s="1663"/>
      <c r="AE514" s="1663"/>
      <c r="AF514" s="1663"/>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2103</v>
      </c>
    </row>
    <row r="515" spans="2:66" ht="12.9" customHeight="1">
      <c r="B515" s="1673"/>
      <c r="C515" s="1434"/>
      <c r="D515" s="1434"/>
      <c r="E515" s="1434"/>
      <c r="F515" s="1434"/>
      <c r="G515" s="1434"/>
      <c r="H515" s="1435"/>
      <c r="I515" t="s">
        <v>415</v>
      </c>
      <c r="AC515" s="1662">
        <v>9</v>
      </c>
      <c r="AD515" s="1663"/>
      <c r="AE515" s="1663"/>
      <c r="AF515" s="1663"/>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2104</v>
      </c>
    </row>
    <row r="516" spans="2:66" ht="12.9" customHeight="1">
      <c r="B516" s="1673"/>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2105</v>
      </c>
    </row>
    <row r="517" spans="2:66" ht="12.9" customHeight="1">
      <c r="B517" s="1672"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4">
        <v>2025</v>
      </c>
      <c r="AI517" s="1404"/>
      <c r="AJ517" s="1404"/>
      <c r="AK517" s="1405"/>
      <c r="AZ517" s="3"/>
      <c r="BB517" s="3"/>
      <c r="BC517" s="3"/>
      <c r="BD517" s="3"/>
      <c r="BE517" s="3"/>
      <c r="BF517" s="3"/>
      <c r="BG517" s="3"/>
      <c r="BH517" s="3"/>
      <c r="BI517" s="3"/>
      <c r="BJ517" s="3"/>
      <c r="BK517" s="3"/>
      <c r="BL517" s="3"/>
      <c r="BM517" s="3"/>
      <c r="BN517" s="3" t="s">
        <v>2106</v>
      </c>
    </row>
    <row r="518" spans="2:66" ht="12.9" customHeight="1">
      <c r="B518" s="1673"/>
      <c r="C518" s="1434"/>
      <c r="D518" s="1434"/>
      <c r="E518" s="1434"/>
      <c r="F518" s="1434"/>
      <c r="G518" s="1434"/>
      <c r="H518" s="1435"/>
      <c r="I518" t="s">
        <v>415</v>
      </c>
      <c r="AC518" s="1662">
        <v>9</v>
      </c>
      <c r="AD518" s="1663"/>
      <c r="AE518" s="1663"/>
      <c r="AF518" s="1663"/>
      <c r="AG518" s="13" t="s">
        <v>402</v>
      </c>
      <c r="AH518" s="1404">
        <v>2025</v>
      </c>
      <c r="AI518" s="1404"/>
      <c r="AJ518" s="1404"/>
      <c r="AK518" s="1405"/>
      <c r="BB518" s="3"/>
      <c r="BC518" s="3"/>
      <c r="BD518" s="3"/>
      <c r="BE518" s="3"/>
      <c r="BF518" s="3"/>
      <c r="BG518" s="3"/>
      <c r="BH518" s="3"/>
      <c r="BI518" s="3"/>
      <c r="BJ518" s="3"/>
      <c r="BK518" s="3"/>
      <c r="BL518" s="3"/>
      <c r="BM518" s="3"/>
      <c r="BN518" s="3" t="s">
        <v>2107</v>
      </c>
    </row>
    <row r="519" spans="2:66" ht="12.9" customHeight="1">
      <c r="B519" s="1674"/>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402</v>
      </c>
      <c r="AH519" s="1404">
        <v>2029</v>
      </c>
      <c r="AI519" s="1404"/>
      <c r="AJ519" s="1404"/>
      <c r="AK519" s="1405"/>
      <c r="BB519" s="3"/>
      <c r="BC519" s="3"/>
      <c r="BD519" s="3"/>
      <c r="BE519" s="3"/>
      <c r="BF519" s="3"/>
      <c r="BG519" s="3"/>
      <c r="BH519" s="3"/>
      <c r="BI519" s="3"/>
      <c r="BJ519" s="3"/>
      <c r="BK519" s="3"/>
      <c r="BL519" s="3"/>
      <c r="BM519" s="3"/>
      <c r="BN519" s="3" t="s">
        <v>2108</v>
      </c>
    </row>
    <row r="520" spans="2:66" ht="12.9" customHeight="1">
      <c r="B520" s="1672" t="s">
        <v>418</v>
      </c>
      <c r="C520" s="1432"/>
      <c r="D520" s="1432"/>
      <c r="E520" s="1432"/>
      <c r="F520" s="1432"/>
      <c r="G520" s="1432"/>
      <c r="H520" s="1433"/>
      <c r="I520" s="41" t="s">
        <v>419</v>
      </c>
      <c r="J520" s="42"/>
      <c r="K520" s="42"/>
      <c r="L520" s="42"/>
      <c r="M520" s="42"/>
      <c r="N520" s="42"/>
      <c r="O520" s="1750" t="s">
        <v>2742</v>
      </c>
      <c r="P520" s="1751"/>
      <c r="Q520" s="1751"/>
      <c r="R520" s="1751"/>
      <c r="S520" s="1751"/>
      <c r="T520" s="1751"/>
      <c r="U520" s="1751"/>
      <c r="V520" s="1751"/>
      <c r="W520" s="1751"/>
      <c r="X520" s="1751"/>
      <c r="Y520" s="1751"/>
      <c r="Z520" s="1751"/>
      <c r="AA520" s="1751"/>
      <c r="AB520" s="58"/>
      <c r="AC520" s="1337"/>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2109</v>
      </c>
    </row>
    <row r="521" spans="2:66" ht="12.9" customHeight="1">
      <c r="B521" s="1673"/>
      <c r="C521" s="1434"/>
      <c r="D521" s="1434"/>
      <c r="E521" s="1434"/>
      <c r="F521" s="1434"/>
      <c r="G521" s="1434"/>
      <c r="H521" s="1435"/>
      <c r="I521" s="114" t="s">
        <v>420</v>
      </c>
      <c r="AB521" s="65"/>
      <c r="AC521" s="1662">
        <v>3</v>
      </c>
      <c r="AD521" s="1663"/>
      <c r="AE521" s="1663"/>
      <c r="AF521" s="1663"/>
      <c r="AG521" s="13" t="s">
        <v>402</v>
      </c>
      <c r="AH521" s="1404">
        <v>2023</v>
      </c>
      <c r="AI521" s="1404"/>
      <c r="AJ521" s="1404"/>
      <c r="AK521" s="1405"/>
      <c r="AZ521" s="3"/>
      <c r="BB521" s="3"/>
      <c r="BC521" s="3"/>
      <c r="BD521" s="3"/>
      <c r="BE521" s="3"/>
      <c r="BF521" s="3"/>
      <c r="BG521" s="3"/>
      <c r="BH521" s="3"/>
      <c r="BI521" s="3"/>
      <c r="BJ521" s="3"/>
      <c r="BK521" s="3"/>
      <c r="BL521" s="3"/>
      <c r="BM521" s="3"/>
      <c r="BN521" s="3" t="s">
        <v>2110</v>
      </c>
    </row>
    <row r="522" spans="2:66" ht="12.9" customHeight="1">
      <c r="B522" s="1673"/>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402</v>
      </c>
      <c r="AH522" s="1404">
        <v>2029</v>
      </c>
      <c r="AI522" s="1404"/>
      <c r="AJ522" s="1404"/>
      <c r="AK522" s="1405"/>
      <c r="AZ522" s="3"/>
      <c r="BA522" s="3"/>
      <c r="BB522" s="3"/>
      <c r="BC522" s="3"/>
      <c r="BD522" s="3"/>
      <c r="BE522" s="3"/>
      <c r="BF522" s="3"/>
      <c r="BG522" s="3"/>
      <c r="BH522" s="3"/>
      <c r="BI522" s="3"/>
      <c r="BJ522" s="3"/>
      <c r="BK522" s="3"/>
      <c r="BL522" s="3"/>
      <c r="BM522" s="3"/>
      <c r="BN522" s="3" t="s">
        <v>2111</v>
      </c>
    </row>
    <row r="523" spans="2:66" ht="12.9" customHeight="1">
      <c r="B523" s="1673"/>
      <c r="C523" s="1434"/>
      <c r="D523" s="1434"/>
      <c r="E523" s="1434"/>
      <c r="F523" s="1434"/>
      <c r="G523" s="1434"/>
      <c r="H523" s="1435"/>
      <c r="I523" s="42" t="s">
        <v>422</v>
      </c>
      <c r="J523" s="42"/>
      <c r="K523" s="42"/>
      <c r="L523" s="42"/>
      <c r="M523" s="42"/>
      <c r="N523" s="42"/>
      <c r="O523" s="1750" t="s">
        <v>2743</v>
      </c>
      <c r="P523" s="1751"/>
      <c r="Q523" s="1751"/>
      <c r="R523" s="1751"/>
      <c r="S523" s="1751"/>
      <c r="T523" s="1751"/>
      <c r="U523" s="1751"/>
      <c r="V523" s="1751"/>
      <c r="W523" s="1751"/>
      <c r="X523" s="1751"/>
      <c r="Y523" s="1751"/>
      <c r="Z523" s="1751"/>
      <c r="AA523" s="1751"/>
      <c r="AC523" s="1662"/>
      <c r="AD523" s="1663"/>
      <c r="AE523" s="1663"/>
      <c r="AF523" s="1663"/>
      <c r="AG523" s="13" t="s">
        <v>402</v>
      </c>
      <c r="AH523" s="1404"/>
      <c r="AI523" s="1404"/>
      <c r="AJ523" s="1404"/>
      <c r="AK523" s="1405"/>
      <c r="AZ523" s="3"/>
      <c r="BA523" s="3"/>
      <c r="BB523" s="3"/>
      <c r="BC523" s="3"/>
      <c r="BD523" s="3"/>
      <c r="BE523" s="3"/>
      <c r="BF523" s="3"/>
      <c r="BG523" s="3"/>
      <c r="BH523" s="3"/>
      <c r="BI523" s="3"/>
      <c r="BJ523" s="3"/>
      <c r="BK523" s="3"/>
      <c r="BL523" s="3"/>
      <c r="BM523" s="3"/>
      <c r="BN523" s="3" t="s">
        <v>2112</v>
      </c>
    </row>
    <row r="524" spans="2:66" ht="12.9" customHeight="1">
      <c r="B524" s="1673"/>
      <c r="C524" s="1434"/>
      <c r="D524" s="1434"/>
      <c r="E524" s="1434"/>
      <c r="F524" s="1434"/>
      <c r="G524" s="1434"/>
      <c r="H524" s="1435"/>
      <c r="I524" t="s">
        <v>420</v>
      </c>
      <c r="AC524" s="1662">
        <v>6</v>
      </c>
      <c r="AD524" s="1663"/>
      <c r="AE524" s="1663"/>
      <c r="AF524" s="1663"/>
      <c r="AG524" s="13" t="s">
        <v>402</v>
      </c>
      <c r="AH524" s="1404">
        <v>2022</v>
      </c>
      <c r="AI524" s="1404"/>
      <c r="AJ524" s="1404"/>
      <c r="AK524" s="1405"/>
      <c r="AZ524" s="3"/>
      <c r="BA524" s="3"/>
      <c r="BB524" s="3"/>
      <c r="BC524" s="3"/>
      <c r="BD524" s="3"/>
      <c r="BE524" s="3"/>
      <c r="BF524" s="3"/>
      <c r="BG524" s="3"/>
      <c r="BH524" s="3"/>
      <c r="BI524" s="3"/>
      <c r="BJ524" s="3"/>
      <c r="BK524" s="3"/>
      <c r="BL524" s="3"/>
      <c r="BM524" s="3"/>
      <c r="BN524" s="3" t="s">
        <v>2113</v>
      </c>
    </row>
    <row r="525" spans="2:66" ht="12.9" customHeight="1">
      <c r="B525" s="1673"/>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2">
        <v>5</v>
      </c>
      <c r="AD525" s="1663"/>
      <c r="AE525" s="1663"/>
      <c r="AF525" s="1663"/>
      <c r="AG525" s="38" t="s">
        <v>402</v>
      </c>
      <c r="AH525" s="1404">
        <v>2026</v>
      </c>
      <c r="AI525" s="1404"/>
      <c r="AJ525" s="1404"/>
      <c r="AK525" s="1405"/>
      <c r="AZ525" s="3"/>
      <c r="BA525" s="3"/>
      <c r="BB525" s="3"/>
      <c r="BC525" s="3"/>
      <c r="BD525" s="3"/>
      <c r="BE525" s="3"/>
      <c r="BF525" s="3"/>
      <c r="BG525" s="3"/>
      <c r="BH525" s="3"/>
      <c r="BI525" s="3"/>
      <c r="BJ525" s="3"/>
      <c r="BK525" s="3"/>
      <c r="BL525" s="3"/>
      <c r="BM525" s="3"/>
      <c r="BN525" s="3" t="s">
        <v>2114</v>
      </c>
    </row>
    <row r="526" spans="2:66" ht="12.9" customHeight="1">
      <c r="B526" s="1673"/>
      <c r="C526" s="1434"/>
      <c r="D526" s="1434"/>
      <c r="E526" s="1434"/>
      <c r="F526" s="1434"/>
      <c r="G526" s="1434"/>
      <c r="H526" s="1435"/>
      <c r="I526" s="42" t="s">
        <v>422</v>
      </c>
      <c r="J526" s="42"/>
      <c r="K526" s="42"/>
      <c r="L526" s="42"/>
      <c r="M526" s="42"/>
      <c r="N526" s="42"/>
      <c r="O526" s="1750" t="s">
        <v>2744</v>
      </c>
      <c r="P526" s="1751"/>
      <c r="Q526" s="1751"/>
      <c r="R526" s="1751"/>
      <c r="S526" s="1751"/>
      <c r="T526" s="1751"/>
      <c r="U526" s="1751"/>
      <c r="V526" s="1751"/>
      <c r="W526" s="1751"/>
      <c r="X526" s="1751"/>
      <c r="Y526" s="1751"/>
      <c r="Z526" s="1751"/>
      <c r="AA526" s="1751"/>
      <c r="AC526" s="1662"/>
      <c r="AD526" s="1663"/>
      <c r="AE526" s="1663"/>
      <c r="AF526" s="1663"/>
      <c r="AG526" s="13" t="s">
        <v>402</v>
      </c>
      <c r="AH526" s="1404"/>
      <c r="AI526" s="1404"/>
      <c r="AJ526" s="1404"/>
      <c r="AK526" s="1405"/>
      <c r="AZ526" s="3"/>
      <c r="BA526" s="3"/>
      <c r="BB526" s="3"/>
      <c r="BC526" s="3"/>
      <c r="BD526" s="3"/>
      <c r="BE526" s="3"/>
      <c r="BF526" s="3"/>
      <c r="BG526" s="3"/>
      <c r="BH526" s="3"/>
      <c r="BI526" s="3"/>
      <c r="BJ526" s="3"/>
      <c r="BK526" s="3"/>
      <c r="BL526" s="3"/>
      <c r="BM526" s="3"/>
      <c r="BN526" s="3" t="s">
        <v>2115</v>
      </c>
    </row>
    <row r="527" spans="2:66" ht="12.9" customHeight="1">
      <c r="B527" s="1673"/>
      <c r="C527" s="1434"/>
      <c r="D527" s="1434"/>
      <c r="E527" s="1434"/>
      <c r="F527" s="1434"/>
      <c r="G527" s="1434"/>
      <c r="H527" s="1435"/>
      <c r="I527" t="s">
        <v>420</v>
      </c>
      <c r="AC527" s="1662">
        <v>11</v>
      </c>
      <c r="AD527" s="1663"/>
      <c r="AE527" s="1663"/>
      <c r="AF527" s="1663"/>
      <c r="AG527" s="13" t="s">
        <v>402</v>
      </c>
      <c r="AH527" s="1404">
        <v>2023</v>
      </c>
      <c r="AI527" s="1404"/>
      <c r="AJ527" s="1404"/>
      <c r="AK527" s="1405"/>
      <c r="AZ527" s="3"/>
      <c r="BA527" s="3"/>
      <c r="BB527" s="3"/>
      <c r="BC527" s="3"/>
      <c r="BD527" s="3"/>
      <c r="BE527" s="3"/>
      <c r="BF527" s="3"/>
      <c r="BG527" s="3"/>
      <c r="BH527" s="3"/>
      <c r="BI527" s="3"/>
      <c r="BJ527" s="3"/>
      <c r="BK527" s="3"/>
      <c r="BL527" s="3"/>
      <c r="BM527" s="3"/>
      <c r="BN527" s="3" t="s">
        <v>2116</v>
      </c>
    </row>
    <row r="528" spans="2:66" ht="12.9" customHeight="1">
      <c r="B528" s="1673"/>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2">
        <v>5</v>
      </c>
      <c r="AD528" s="1663"/>
      <c r="AE528" s="1663"/>
      <c r="AF528" s="1663"/>
      <c r="AG528" s="38" t="s">
        <v>402</v>
      </c>
      <c r="AH528" s="1404">
        <v>2029</v>
      </c>
      <c r="AI528" s="1404"/>
      <c r="AJ528" s="1404"/>
      <c r="AK528" s="1405"/>
      <c r="AZ528" s="3"/>
      <c r="BA528" s="3"/>
      <c r="BB528" s="3"/>
      <c r="BC528" s="3"/>
      <c r="BD528" s="3"/>
      <c r="BE528" s="3"/>
      <c r="BF528" s="3"/>
      <c r="BG528" s="3"/>
      <c r="BH528" s="3"/>
      <c r="BI528" s="3"/>
      <c r="BJ528" s="3"/>
      <c r="BK528" s="3"/>
      <c r="BL528" s="3"/>
      <c r="BM528" s="3"/>
      <c r="BN528" s="3" t="s">
        <v>2117</v>
      </c>
    </row>
    <row r="529" spans="1:66" ht="12.9" customHeight="1">
      <c r="B529" s="1673"/>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2" t="s">
        <v>590</v>
      </c>
      <c r="AD529" s="1663"/>
      <c r="AE529" s="1663"/>
      <c r="AF529" s="1663"/>
      <c r="AG529" s="13" t="s">
        <v>402</v>
      </c>
      <c r="AH529" s="1404"/>
      <c r="AI529" s="1404"/>
      <c r="AJ529" s="1404"/>
      <c r="AK529" s="1405"/>
      <c r="AZ529" s="3"/>
      <c r="BA529" s="3"/>
      <c r="BB529" s="3"/>
      <c r="BC529" s="3"/>
      <c r="BD529" s="3"/>
      <c r="BE529" s="3"/>
      <c r="BF529" s="3"/>
      <c r="BG529" s="3"/>
      <c r="BH529" s="3"/>
      <c r="BI529" s="3"/>
      <c r="BJ529" s="3"/>
      <c r="BK529" s="3"/>
      <c r="BL529" s="3"/>
      <c r="BM529" s="3"/>
      <c r="BN529" s="3" t="s">
        <v>2118</v>
      </c>
    </row>
    <row r="530" spans="1:66" ht="12.9" customHeight="1">
      <c r="B530" s="1673"/>
      <c r="C530" s="1434"/>
      <c r="D530" s="1434"/>
      <c r="E530" s="1434"/>
      <c r="F530" s="1434"/>
      <c r="G530" s="1434"/>
      <c r="H530" s="1435"/>
      <c r="I530" t="s">
        <v>420</v>
      </c>
      <c r="AC530" s="1662" t="s">
        <v>590</v>
      </c>
      <c r="AD530" s="1663"/>
      <c r="AE530" s="1663"/>
      <c r="AF530" s="1663"/>
      <c r="AG530" s="13" t="s">
        <v>402</v>
      </c>
      <c r="AH530" s="1404"/>
      <c r="AI530" s="1404"/>
      <c r="AJ530" s="1404"/>
      <c r="AK530" s="1405"/>
      <c r="AZ530" s="3"/>
      <c r="BA530" s="3"/>
      <c r="BB530" s="3"/>
      <c r="BC530" s="3"/>
      <c r="BD530" s="3"/>
      <c r="BE530" s="3"/>
      <c r="BF530" s="3"/>
      <c r="BG530" s="3"/>
      <c r="BH530" s="3"/>
      <c r="BI530" s="3"/>
      <c r="BJ530" s="3"/>
      <c r="BK530" s="3"/>
      <c r="BL530" s="3"/>
      <c r="BM530" s="3"/>
      <c r="BN530" s="3" t="s">
        <v>2119</v>
      </c>
    </row>
    <row r="531" spans="1:66" ht="12.9" customHeight="1">
      <c r="B531" s="1673"/>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2" t="s">
        <v>590</v>
      </c>
      <c r="AD531" s="1663"/>
      <c r="AE531" s="1663"/>
      <c r="AF531" s="1663"/>
      <c r="AG531" s="38" t="s">
        <v>402</v>
      </c>
      <c r="AH531" s="1404"/>
      <c r="AI531" s="1404"/>
      <c r="AJ531" s="1404"/>
      <c r="AK531" s="1405"/>
      <c r="AZ531" s="3"/>
      <c r="BA531" s="3"/>
      <c r="BB531" s="3"/>
      <c r="BC531" s="3"/>
      <c r="BD531" s="3"/>
      <c r="BE531" s="3"/>
      <c r="BF531" s="3"/>
      <c r="BG531" s="3"/>
      <c r="BH531" s="3"/>
      <c r="BI531" s="3"/>
      <c r="BJ531" s="3"/>
      <c r="BK531" s="3"/>
      <c r="BL531" s="3"/>
      <c r="BM531" s="3"/>
      <c r="BN531" s="3" t="s">
        <v>2120</v>
      </c>
    </row>
    <row r="532" spans="1:66" ht="12.9" customHeight="1">
      <c r="B532" s="1673"/>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2" t="s">
        <v>590</v>
      </c>
      <c r="AD532" s="1663"/>
      <c r="AE532" s="1663"/>
      <c r="AF532" s="1663"/>
      <c r="AG532" s="13" t="s">
        <v>402</v>
      </c>
      <c r="AH532" s="1404"/>
      <c r="AI532" s="1404"/>
      <c r="AJ532" s="1404"/>
      <c r="AK532" s="1405"/>
      <c r="AZ532" s="3"/>
      <c r="BA532" s="3"/>
      <c r="BB532" s="3"/>
      <c r="BC532" s="3"/>
      <c r="BD532" s="3"/>
      <c r="BE532" s="3"/>
      <c r="BF532" s="3"/>
      <c r="BG532" s="3"/>
      <c r="BH532" s="3"/>
      <c r="BI532" s="3"/>
      <c r="BJ532" s="3"/>
      <c r="BK532" s="3"/>
      <c r="BL532" s="3"/>
      <c r="BM532" s="3"/>
      <c r="BN532" s="3" t="s">
        <v>2121</v>
      </c>
    </row>
    <row r="533" spans="1:66" ht="12.9" customHeight="1">
      <c r="B533" s="1673"/>
      <c r="C533" s="1434"/>
      <c r="D533" s="1434"/>
      <c r="E533" s="1434"/>
      <c r="F533" s="1434"/>
      <c r="G533" s="1434"/>
      <c r="H533" s="1435"/>
      <c r="I533" t="s">
        <v>420</v>
      </c>
      <c r="AC533" s="1662" t="s">
        <v>590</v>
      </c>
      <c r="AD533" s="1663"/>
      <c r="AE533" s="1663"/>
      <c r="AF533" s="1663"/>
      <c r="AG533" s="38" t="s">
        <v>402</v>
      </c>
      <c r="AH533" s="1404"/>
      <c r="AI533" s="1404"/>
      <c r="AJ533" s="1404"/>
      <c r="AK533" s="1405"/>
      <c r="AZ533" s="3"/>
      <c r="BA533" s="3"/>
      <c r="BB533" s="3"/>
      <c r="BC533" s="3"/>
      <c r="BD533" s="3"/>
      <c r="BE533" s="3"/>
      <c r="BF533" s="3"/>
      <c r="BG533" s="3"/>
      <c r="BH533" s="3"/>
      <c r="BI533" s="3"/>
      <c r="BJ533" s="3"/>
      <c r="BK533" s="3"/>
      <c r="BL533" s="3"/>
      <c r="BM533" s="3"/>
      <c r="BN533" s="3" t="s">
        <v>2122</v>
      </c>
    </row>
    <row r="534" spans="1:66" ht="12.9" customHeight="1">
      <c r="B534" s="1673"/>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2" t="s">
        <v>590</v>
      </c>
      <c r="AD534" s="1663"/>
      <c r="AE534" s="1663"/>
      <c r="AF534" s="1663"/>
      <c r="AG534" s="13" t="s">
        <v>402</v>
      </c>
      <c r="AH534" s="1404"/>
      <c r="AI534" s="1404"/>
      <c r="AJ534" s="1404"/>
      <c r="AK534" s="1405"/>
      <c r="AZ534" s="3"/>
      <c r="BA534" s="3"/>
      <c r="BB534" s="3"/>
      <c r="BC534" s="3"/>
      <c r="BD534" s="3"/>
      <c r="BE534" s="3"/>
      <c r="BF534" s="3"/>
      <c r="BG534" s="3"/>
      <c r="BH534" s="3"/>
      <c r="BI534" s="3"/>
      <c r="BJ534" s="3"/>
      <c r="BK534" s="3"/>
      <c r="BL534" s="3"/>
      <c r="BM534" s="3"/>
      <c r="BN534" s="3" t="s">
        <v>2123</v>
      </c>
    </row>
    <row r="535" spans="1:66" ht="12.9" customHeight="1">
      <c r="B535" s="1673"/>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2" t="s">
        <v>590</v>
      </c>
      <c r="AD535" s="1663"/>
      <c r="AE535" s="1663"/>
      <c r="AF535" s="1663"/>
      <c r="AG535" s="38" t="s">
        <v>402</v>
      </c>
      <c r="AH535" s="1404"/>
      <c r="AI535" s="1404"/>
      <c r="AJ535" s="1404"/>
      <c r="AK535" s="1405"/>
      <c r="AZ535" s="3"/>
      <c r="BA535" s="3"/>
      <c r="BB535" s="3"/>
      <c r="BC535" s="3"/>
      <c r="BD535" s="3"/>
      <c r="BE535" s="3"/>
      <c r="BF535" s="3"/>
      <c r="BG535" s="3"/>
      <c r="BH535" s="3"/>
      <c r="BI535" s="3"/>
      <c r="BJ535" s="3"/>
      <c r="BK535" s="3"/>
      <c r="BL535" s="3"/>
      <c r="BM535" s="3"/>
      <c r="BN535" s="3" t="s">
        <v>2124</v>
      </c>
    </row>
    <row r="536" spans="1:66" ht="12.9" customHeight="1">
      <c r="B536" s="1673"/>
      <c r="C536" s="1434"/>
      <c r="D536" s="1434"/>
      <c r="E536" s="1434"/>
      <c r="F536" s="1434"/>
      <c r="G536" s="1434"/>
      <c r="H536" s="1435"/>
      <c r="I536" t="s">
        <v>420</v>
      </c>
      <c r="AC536" s="1662" t="s">
        <v>590</v>
      </c>
      <c r="AD536" s="1663"/>
      <c r="AE536" s="1663"/>
      <c r="AF536" s="1663"/>
      <c r="AG536" s="13" t="s">
        <v>402</v>
      </c>
      <c r="AH536" s="1404"/>
      <c r="AI536" s="1404"/>
      <c r="AJ536" s="1404"/>
      <c r="AK536" s="1405"/>
      <c r="AZ536" s="3"/>
      <c r="BA536" s="3"/>
      <c r="BB536" s="3"/>
      <c r="BC536" s="3"/>
      <c r="BD536" s="3"/>
      <c r="BE536" s="3"/>
      <c r="BF536" s="3"/>
      <c r="BG536" s="3"/>
      <c r="BH536" s="3"/>
      <c r="BI536" s="3"/>
      <c r="BJ536" s="3"/>
      <c r="BK536" s="3"/>
      <c r="BL536" s="3"/>
      <c r="BM536" s="3"/>
      <c r="BN536" s="3" t="s">
        <v>2125</v>
      </c>
    </row>
    <row r="537" spans="1:66" ht="12.9" customHeight="1">
      <c r="B537" s="1673"/>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2" t="s">
        <v>590</v>
      </c>
      <c r="AD537" s="1663"/>
      <c r="AE537" s="1663"/>
      <c r="AF537" s="1663"/>
      <c r="AG537" s="38" t="s">
        <v>402</v>
      </c>
      <c r="AH537" s="1404"/>
      <c r="AI537" s="1404"/>
      <c r="AJ537" s="1404"/>
      <c r="AK537" s="1405"/>
      <c r="AZ537" s="3"/>
      <c r="BA537" s="3"/>
      <c r="BB537" s="3"/>
      <c r="BC537" s="3"/>
      <c r="BD537" s="3"/>
      <c r="BE537" s="3"/>
      <c r="BF537" s="3"/>
      <c r="BG537" s="3"/>
      <c r="BH537" s="3"/>
      <c r="BI537" s="3"/>
      <c r="BJ537" s="3"/>
      <c r="BK537" s="3"/>
      <c r="BL537" s="3"/>
      <c r="BM537" s="3"/>
      <c r="BN537" s="3" t="s">
        <v>2126</v>
      </c>
    </row>
    <row r="538" spans="1:66" ht="12.9" customHeight="1">
      <c r="B538" s="1673"/>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2">
        <v>10</v>
      </c>
      <c r="AD538" s="1663"/>
      <c r="AE538" s="1663"/>
      <c r="AF538" s="1663"/>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 customHeight="1">
      <c r="B539" s="1673"/>
      <c r="C539" s="1434"/>
      <c r="D539" s="1434"/>
      <c r="E539" s="1434"/>
      <c r="F539" s="1434"/>
      <c r="G539" s="1434"/>
      <c r="H539" s="1435"/>
      <c r="I539" t="s">
        <v>562</v>
      </c>
      <c r="AC539" s="1662">
        <v>5</v>
      </c>
      <c r="AD539" s="1663"/>
      <c r="AE539" s="1663"/>
      <c r="AF539" s="1663"/>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 customHeight="1">
      <c r="B540" s="1673"/>
      <c r="C540" s="1434"/>
      <c r="D540" s="1434"/>
      <c r="E540" s="1434"/>
      <c r="F540" s="1434"/>
      <c r="G540" s="1434"/>
      <c r="H540" s="1435"/>
      <c r="I540" t="s">
        <v>563</v>
      </c>
      <c r="AC540" s="1662">
        <v>5</v>
      </c>
      <c r="AD540" s="1663"/>
      <c r="AE540" s="1663"/>
      <c r="AF540" s="1663"/>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 customHeight="1">
      <c r="B541" s="1673"/>
      <c r="C541" s="1434"/>
      <c r="D541" s="1434"/>
      <c r="E541" s="1434"/>
      <c r="F541" s="1434"/>
      <c r="G541" s="1434"/>
      <c r="H541" s="1435"/>
      <c r="I541" t="s">
        <v>564</v>
      </c>
      <c r="AC541" s="1662">
        <v>5</v>
      </c>
      <c r="AD541" s="1663"/>
      <c r="AE541" s="1663"/>
      <c r="AF541" s="1663"/>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 customHeight="1">
      <c r="B542" s="1674"/>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2">
        <v>11</v>
      </c>
      <c r="AD542" s="1663"/>
      <c r="AE542" s="1663"/>
      <c r="AF542" s="1663"/>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2098</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2" t="s">
        <v>2100</v>
      </c>
      <c r="C551" s="1432"/>
      <c r="D551" s="1432"/>
      <c r="E551" s="1432"/>
      <c r="F551" s="1432"/>
      <c r="G551" s="1432"/>
      <c r="H551" s="1432"/>
      <c r="I551" s="1432"/>
      <c r="J551" s="1432"/>
      <c r="K551" s="1432"/>
      <c r="L551" s="1433"/>
      <c r="M551" s="1672" t="s">
        <v>2101</v>
      </c>
      <c r="N551" s="1432"/>
      <c r="O551" s="1432"/>
      <c r="P551" s="1433"/>
      <c r="Q551" s="1672" t="s">
        <v>2127</v>
      </c>
      <c r="R551" s="1432"/>
      <c r="S551" s="1433"/>
      <c r="T551" s="1672" t="s">
        <v>2128</v>
      </c>
      <c r="U551" s="1432"/>
      <c r="V551" s="1433"/>
      <c r="W551" s="1672" t="s">
        <v>452</v>
      </c>
      <c r="X551" s="1432"/>
      <c r="Y551" s="1433"/>
      <c r="Z551" s="1672" t="s">
        <v>1849</v>
      </c>
      <c r="AA551" s="1432"/>
      <c r="AB551" s="1432"/>
      <c r="AC551" s="1432"/>
      <c r="AD551" s="1433"/>
      <c r="AE551" s="1672" t="s">
        <v>1674</v>
      </c>
      <c r="AF551" s="1432"/>
      <c r="AG551" s="1432"/>
      <c r="AH551" s="1433"/>
      <c r="AI551" s="1672" t="s">
        <v>1675</v>
      </c>
      <c r="AJ551" s="1432"/>
      <c r="AK551" s="1432"/>
      <c r="AL551" s="1433"/>
      <c r="AM551" s="1672" t="s">
        <v>453</v>
      </c>
      <c r="AN551" s="1432"/>
      <c r="AO551" s="1432"/>
      <c r="AP551" s="1432"/>
      <c r="AQ551" s="1432"/>
      <c r="AR551" s="1432"/>
      <c r="AS551" s="1433"/>
      <c r="BB551" s="3"/>
      <c r="BC551" s="3"/>
      <c r="BD551" s="3"/>
      <c r="BE551" s="3"/>
      <c r="BF551" s="3"/>
      <c r="BG551" s="3"/>
      <c r="BH551" s="3" t="s">
        <v>580</v>
      </c>
      <c r="BI551" s="3" t="str">
        <f>AG657</f>
        <v>Yes</v>
      </c>
    </row>
    <row r="552" spans="1:61" ht="12.9" customHeight="1">
      <c r="B552" s="1673"/>
      <c r="C552" s="1434"/>
      <c r="D552" s="1434"/>
      <c r="E552" s="1434"/>
      <c r="F552" s="1434"/>
      <c r="G552" s="1434"/>
      <c r="H552" s="1434"/>
      <c r="I552" s="1434"/>
      <c r="J552" s="1434"/>
      <c r="K552" s="1434"/>
      <c r="L552" s="1435"/>
      <c r="M552" s="1673"/>
      <c r="N552" s="1434"/>
      <c r="O552" s="1434"/>
      <c r="P552" s="1435"/>
      <c r="Q552" s="1673"/>
      <c r="R552" s="1434"/>
      <c r="S552" s="1435"/>
      <c r="T552" s="1673"/>
      <c r="U552" s="1434"/>
      <c r="V552" s="1435"/>
      <c r="W552" s="1673"/>
      <c r="X552" s="1434"/>
      <c r="Y552" s="1435"/>
      <c r="Z552" s="1673"/>
      <c r="AA552" s="1434"/>
      <c r="AB552" s="1434"/>
      <c r="AC552" s="1434"/>
      <c r="AD552" s="1435"/>
      <c r="AE552" s="1673"/>
      <c r="AF552" s="1434"/>
      <c r="AG552" s="1434"/>
      <c r="AH552" s="1435"/>
      <c r="AI552" s="1673"/>
      <c r="AJ552" s="1434"/>
      <c r="AK552" s="1434"/>
      <c r="AL552" s="1435"/>
      <c r="AM552" s="1673"/>
      <c r="AN552" s="1434"/>
      <c r="AO552" s="1434"/>
      <c r="AP552" s="1434"/>
      <c r="AQ552" s="1434"/>
      <c r="AR552" s="1434"/>
      <c r="AS552" s="1435"/>
      <c r="AU552" s="1147"/>
      <c r="BB552" s="3"/>
      <c r="BC552" s="3"/>
      <c r="BD552" s="3"/>
      <c r="BE552" s="3"/>
      <c r="BF552" s="3"/>
      <c r="BG552" s="3"/>
      <c r="BH552" s="3"/>
      <c r="BI552" s="3"/>
    </row>
    <row r="553" spans="1:61" ht="12.9" customHeight="1">
      <c r="B553" s="1674"/>
      <c r="C553" s="1436"/>
      <c r="D553" s="1436"/>
      <c r="E553" s="1436"/>
      <c r="F553" s="1436"/>
      <c r="G553" s="1436"/>
      <c r="H553" s="1436"/>
      <c r="I553" s="1436"/>
      <c r="J553" s="1436"/>
      <c r="K553" s="1436"/>
      <c r="L553" s="1437"/>
      <c r="M553" s="1674"/>
      <c r="N553" s="1436"/>
      <c r="O553" s="1436"/>
      <c r="P553" s="1437"/>
      <c r="Q553" s="1674"/>
      <c r="R553" s="1436"/>
      <c r="S553" s="1437"/>
      <c r="T553" s="1674"/>
      <c r="U553" s="1436"/>
      <c r="V553" s="1437"/>
      <c r="W553" s="1674"/>
      <c r="X553" s="1436"/>
      <c r="Y553" s="1437"/>
      <c r="Z553" s="1674"/>
      <c r="AA553" s="1436"/>
      <c r="AB553" s="1436"/>
      <c r="AC553" s="1436"/>
      <c r="AD553" s="1437"/>
      <c r="AE553" s="1674"/>
      <c r="AF553" s="1436"/>
      <c r="AG553" s="1436"/>
      <c r="AH553" s="1437"/>
      <c r="AI553" s="1674"/>
      <c r="AJ553" s="1436"/>
      <c r="AK553" s="1436"/>
      <c r="AL553" s="1437"/>
      <c r="AM553" s="1674"/>
      <c r="AN553" s="1436"/>
      <c r="AO553" s="1436"/>
      <c r="AP553" s="1436"/>
      <c r="AQ553" s="1436"/>
      <c r="AR553" s="1436"/>
      <c r="AS553" s="1437"/>
      <c r="AU553" s="1147"/>
      <c r="BB553" s="3"/>
      <c r="BC553" s="3"/>
      <c r="BD553" s="3"/>
      <c r="BE553" s="3"/>
      <c r="BF553" s="3"/>
      <c r="BG553" s="3"/>
      <c r="BH553" s="3"/>
      <c r="BI553" s="3"/>
    </row>
    <row r="554" spans="1:61" ht="12.9" customHeight="1">
      <c r="B554" s="51" t="s">
        <v>112</v>
      </c>
      <c r="C554" s="1693" t="s">
        <v>2677</v>
      </c>
      <c r="D554" s="1693"/>
      <c r="E554" s="1693"/>
      <c r="F554" s="1693"/>
      <c r="G554" s="1693"/>
      <c r="H554" s="1693"/>
      <c r="I554" s="1693"/>
      <c r="J554" s="1693"/>
      <c r="K554" s="1693"/>
      <c r="L554" s="1693"/>
      <c r="M554" s="1693" t="s">
        <v>2117</v>
      </c>
      <c r="N554" s="1693"/>
      <c r="O554" s="1693"/>
      <c r="P554" s="1693"/>
      <c r="Q554" s="1454">
        <v>36</v>
      </c>
      <c r="R554" s="1454"/>
      <c r="S554" s="1455"/>
      <c r="T554" s="1453"/>
      <c r="U554" s="1454"/>
      <c r="V554" s="1455"/>
      <c r="W554" s="1456">
        <v>0.06</v>
      </c>
      <c r="X554" s="1457"/>
      <c r="Y554" s="1458"/>
      <c r="Z554" s="1694" t="s">
        <v>2678</v>
      </c>
      <c r="AA554" s="1694"/>
      <c r="AB554" s="1694"/>
      <c r="AC554" s="1694"/>
      <c r="AD554" s="1694"/>
      <c r="AE554" s="1675">
        <v>1</v>
      </c>
      <c r="AF554" s="1676"/>
      <c r="AG554" s="1676"/>
      <c r="AH554" s="1677"/>
      <c r="AI554" s="1678"/>
      <c r="AJ554" s="1679"/>
      <c r="AK554" s="1679"/>
      <c r="AL554" s="1680"/>
      <c r="AM554" s="1668">
        <v>30000000</v>
      </c>
      <c r="AN554" s="1669"/>
      <c r="AO554" s="1669"/>
      <c r="AP554" s="1669"/>
      <c r="AQ554" s="1669"/>
      <c r="AR554" s="1669"/>
      <c r="AS554" s="1670"/>
      <c r="AT554" s="1148"/>
      <c r="AU554" s="1147"/>
      <c r="BB554" s="3"/>
      <c r="BC554" s="3"/>
      <c r="BD554" s="3"/>
      <c r="BE554" s="3"/>
      <c r="BF554" s="3"/>
      <c r="BG554" s="3"/>
      <c r="BH554" s="3"/>
      <c r="BI554" s="3"/>
    </row>
    <row r="555" spans="1:61" ht="12.9" customHeight="1">
      <c r="B555" s="52" t="s">
        <v>113</v>
      </c>
      <c r="C555" s="1681" t="s">
        <v>2677</v>
      </c>
      <c r="D555" s="1681"/>
      <c r="E555" s="1681"/>
      <c r="F555" s="1681"/>
      <c r="G555" s="1681"/>
      <c r="H555" s="1681"/>
      <c r="I555" s="1681"/>
      <c r="J555" s="1681"/>
      <c r="K555" s="1681"/>
      <c r="L555" s="1681"/>
      <c r="M555" s="1693" t="s">
        <v>2116</v>
      </c>
      <c r="N555" s="1693"/>
      <c r="O555" s="1693"/>
      <c r="P555" s="1693"/>
      <c r="Q555" s="1453">
        <v>36</v>
      </c>
      <c r="R555" s="1454"/>
      <c r="S555" s="1455"/>
      <c r="T555" s="1453"/>
      <c r="U555" s="1454"/>
      <c r="V555" s="1455"/>
      <c r="W555" s="1456">
        <v>6.5000000000000002E-2</v>
      </c>
      <c r="X555" s="1457"/>
      <c r="Y555" s="1458"/>
      <c r="Z555" s="1694" t="s">
        <v>2678</v>
      </c>
      <c r="AA555" s="1694"/>
      <c r="AB555" s="1694"/>
      <c r="AC555" s="1694"/>
      <c r="AD555" s="1694"/>
      <c r="AE555" s="1675">
        <v>2</v>
      </c>
      <c r="AF555" s="1676"/>
      <c r="AG555" s="1676"/>
      <c r="AH555" s="1677"/>
      <c r="AI555" s="1678"/>
      <c r="AJ555" s="1679"/>
      <c r="AK555" s="1679"/>
      <c r="AL555" s="1680"/>
      <c r="AM555" s="1668">
        <v>53740039</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 customHeight="1">
      <c r="B556" s="52" t="s">
        <v>119</v>
      </c>
      <c r="C556" s="1681" t="s">
        <v>2743</v>
      </c>
      <c r="D556" s="1681"/>
      <c r="E556" s="1681"/>
      <c r="F556" s="1681"/>
      <c r="G556" s="1681"/>
      <c r="H556" s="1681"/>
      <c r="I556" s="1681"/>
      <c r="J556" s="1681"/>
      <c r="K556" s="1681"/>
      <c r="L556" s="1681"/>
      <c r="M556" s="1693" t="s">
        <v>2113</v>
      </c>
      <c r="N556" s="1693"/>
      <c r="O556" s="1693"/>
      <c r="P556" s="1693"/>
      <c r="Q556" s="1453">
        <v>36</v>
      </c>
      <c r="R556" s="1454"/>
      <c r="S556" s="1455"/>
      <c r="T556" s="1453"/>
      <c r="U556" s="1454"/>
      <c r="V556" s="1455"/>
      <c r="W556" s="1456">
        <v>0.03</v>
      </c>
      <c r="X556" s="1457"/>
      <c r="Y556" s="1458"/>
      <c r="Z556" s="1694" t="s">
        <v>2678</v>
      </c>
      <c r="AA556" s="1694"/>
      <c r="AB556" s="1694"/>
      <c r="AC556" s="1694"/>
      <c r="AD556" s="1694"/>
      <c r="AE556" s="1675">
        <v>3</v>
      </c>
      <c r="AF556" s="1676"/>
      <c r="AG556" s="1676"/>
      <c r="AH556" s="1677"/>
      <c r="AI556" s="1678"/>
      <c r="AJ556" s="1679"/>
      <c r="AK556" s="1679"/>
      <c r="AL556" s="1680"/>
      <c r="AM556" s="1668">
        <v>4500000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 customHeight="1">
      <c r="B557" s="52" t="s">
        <v>580</v>
      </c>
      <c r="C557" s="1681" t="s">
        <v>2629</v>
      </c>
      <c r="D557" s="1681"/>
      <c r="E557" s="1681"/>
      <c r="F557" s="1681"/>
      <c r="G557" s="1681"/>
      <c r="H557" s="1681"/>
      <c r="I557" s="1681"/>
      <c r="J557" s="1681"/>
      <c r="K557" s="1681"/>
      <c r="L557" s="1681"/>
      <c r="M557" s="1693" t="s">
        <v>2104</v>
      </c>
      <c r="N557" s="1693"/>
      <c r="O557" s="1693"/>
      <c r="P557" s="1693"/>
      <c r="Q557" s="1453"/>
      <c r="R557" s="1454"/>
      <c r="S557" s="1455"/>
      <c r="T557" s="1453"/>
      <c r="U557" s="1454"/>
      <c r="V557" s="1455"/>
      <c r="W557" s="1456"/>
      <c r="X557" s="1457"/>
      <c r="Y557" s="1458"/>
      <c r="Z557" s="1694" t="s">
        <v>590</v>
      </c>
      <c r="AA557" s="1694"/>
      <c r="AB557" s="1694"/>
      <c r="AC557" s="1694"/>
      <c r="AD557" s="1694"/>
      <c r="AE557" s="1675"/>
      <c r="AF557" s="1676"/>
      <c r="AG557" s="1676"/>
      <c r="AH557" s="1677"/>
      <c r="AI557" s="1678"/>
      <c r="AJ557" s="1679"/>
      <c r="AK557" s="1679"/>
      <c r="AL557" s="1680"/>
      <c r="AM557" s="1668">
        <v>14852350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 customHeight="1">
      <c r="B558" s="52" t="s">
        <v>761</v>
      </c>
      <c r="C558" s="1681" t="s">
        <v>2745</v>
      </c>
      <c r="D558" s="1681"/>
      <c r="E558" s="1681"/>
      <c r="F558" s="1681"/>
      <c r="G558" s="1681"/>
      <c r="H558" s="1681"/>
      <c r="I558" s="1681"/>
      <c r="J558" s="1681"/>
      <c r="K558" s="1681"/>
      <c r="L558" s="1681"/>
      <c r="M558" s="1693" t="s">
        <v>2103</v>
      </c>
      <c r="N558" s="1693"/>
      <c r="O558" s="1693"/>
      <c r="P558" s="1693"/>
      <c r="Q558" s="1453"/>
      <c r="R558" s="1454"/>
      <c r="S558" s="1455"/>
      <c r="T558" s="1453"/>
      <c r="U558" s="1454"/>
      <c r="V558" s="1455"/>
      <c r="W558" s="1456"/>
      <c r="X558" s="1457"/>
      <c r="Y558" s="1458"/>
      <c r="Z558" s="1694" t="s">
        <v>590</v>
      </c>
      <c r="AA558" s="1694"/>
      <c r="AB558" s="1694"/>
      <c r="AC558" s="1694"/>
      <c r="AD558" s="1694"/>
      <c r="AE558" s="1675"/>
      <c r="AF558" s="1676"/>
      <c r="AG558" s="1676"/>
      <c r="AH558" s="1677"/>
      <c r="AI558" s="1678"/>
      <c r="AJ558" s="1679"/>
      <c r="AK558" s="1679"/>
      <c r="AL558" s="1680"/>
      <c r="AM558" s="1668">
        <v>1021324</v>
      </c>
      <c r="AN558" s="1669"/>
      <c r="AO558" s="1669"/>
      <c r="AP558" s="1669"/>
      <c r="AQ558" s="1669"/>
      <c r="AR558" s="1669"/>
      <c r="AS558" s="1670"/>
      <c r="AT558" s="1148" t="str">
        <f t="shared" ref="AT558:AT565" si="0">IF(AND(NOT(C557=""),C558="",NOT(C559="")),"!","")</f>
        <v/>
      </c>
      <c r="AU558" s="1147"/>
      <c r="BB558" s="3"/>
      <c r="BC558" s="3"/>
      <c r="BD558" s="3"/>
      <c r="BE558" s="3"/>
      <c r="BF558" s="3"/>
      <c r="BG558" s="3"/>
      <c r="BH558" s="3" t="s">
        <v>761</v>
      </c>
      <c r="BI558" s="3" t="str">
        <f>N665</f>
        <v>Yes</v>
      </c>
    </row>
    <row r="559" spans="1:61" ht="12.9" customHeight="1">
      <c r="B559" s="52" t="s">
        <v>583</v>
      </c>
      <c r="C559" s="1681" t="s">
        <v>2649</v>
      </c>
      <c r="D559" s="1681"/>
      <c r="E559" s="1681"/>
      <c r="F559" s="1681"/>
      <c r="G559" s="1681"/>
      <c r="H559" s="1681"/>
      <c r="I559" s="1681"/>
      <c r="J559" s="1681"/>
      <c r="K559" s="1681"/>
      <c r="L559" s="1681"/>
      <c r="M559" s="1693" t="s">
        <v>2108</v>
      </c>
      <c r="N559" s="1693"/>
      <c r="O559" s="1693"/>
      <c r="P559" s="1693"/>
      <c r="Q559" s="1453"/>
      <c r="R559" s="1454"/>
      <c r="S559" s="1455"/>
      <c r="T559" s="1453"/>
      <c r="U559" s="1454"/>
      <c r="V559" s="1455"/>
      <c r="W559" s="1456"/>
      <c r="X559" s="1457"/>
      <c r="Y559" s="1458"/>
      <c r="Z559" s="1694" t="s">
        <v>590</v>
      </c>
      <c r="AA559" s="1694"/>
      <c r="AB559" s="1694"/>
      <c r="AC559" s="1694"/>
      <c r="AD559" s="1694"/>
      <c r="AE559" s="1675"/>
      <c r="AF559" s="1676"/>
      <c r="AG559" s="1676"/>
      <c r="AH559" s="1677"/>
      <c r="AI559" s="1678"/>
      <c r="AJ559" s="1679"/>
      <c r="AK559" s="1679"/>
      <c r="AL559" s="1680"/>
      <c r="AM559" s="1668">
        <v>11240340</v>
      </c>
      <c r="AN559" s="1669"/>
      <c r="AO559" s="1669"/>
      <c r="AP559" s="1669"/>
      <c r="AQ559" s="1669"/>
      <c r="AR559" s="1669"/>
      <c r="AS559" s="1670"/>
      <c r="AT559" s="1148" t="str">
        <f t="shared" si="0"/>
        <v/>
      </c>
      <c r="AU559" s="1147"/>
      <c r="BB559" s="3"/>
      <c r="BC559" s="3"/>
      <c r="BD559" s="3"/>
      <c r="BE559" s="3"/>
      <c r="BF559" s="3"/>
      <c r="BG559" s="3"/>
      <c r="BH559" s="3" t="s">
        <v>583</v>
      </c>
      <c r="BI559" s="3" t="str">
        <f>AG665</f>
        <v>No</v>
      </c>
    </row>
    <row r="560" spans="1:61" ht="12.9" customHeight="1">
      <c r="B560" s="52" t="s">
        <v>454</v>
      </c>
      <c r="C560" s="1681"/>
      <c r="D560" s="1681"/>
      <c r="E560" s="1681"/>
      <c r="F560" s="1681"/>
      <c r="G560" s="1681"/>
      <c r="H560" s="1681"/>
      <c r="I560" s="1681"/>
      <c r="J560" s="1681"/>
      <c r="K560" s="1681"/>
      <c r="L560" s="1681"/>
      <c r="M560" s="1693"/>
      <c r="N560" s="1693"/>
      <c r="O560" s="1693"/>
      <c r="P560" s="1693"/>
      <c r="Q560" s="1453"/>
      <c r="R560" s="1454"/>
      <c r="S560" s="1455"/>
      <c r="T560" s="1453"/>
      <c r="U560" s="1454"/>
      <c r="V560" s="1455"/>
      <c r="W560" s="1456"/>
      <c r="X560" s="1457"/>
      <c r="Y560" s="1458"/>
      <c r="Z560" s="1694"/>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 customHeight="1">
      <c r="B561" s="52" t="s">
        <v>455</v>
      </c>
      <c r="C561" s="1681"/>
      <c r="D561" s="1681"/>
      <c r="E561" s="1681"/>
      <c r="F561" s="1681"/>
      <c r="G561" s="1681"/>
      <c r="H561" s="1681"/>
      <c r="I561" s="1681"/>
      <c r="J561" s="1681"/>
      <c r="K561" s="1681"/>
      <c r="L561" s="1681"/>
      <c r="M561" s="1693"/>
      <c r="N561" s="1693"/>
      <c r="O561" s="1693"/>
      <c r="P561" s="1693"/>
      <c r="Q561" s="1453"/>
      <c r="R561" s="1454"/>
      <c r="S561" s="1455"/>
      <c r="T561" s="1453"/>
      <c r="U561" s="1454"/>
      <c r="V561" s="1455"/>
      <c r="W561" s="1456"/>
      <c r="X561" s="1457"/>
      <c r="Y561" s="1458"/>
      <c r="Z561" s="1694"/>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 customHeight="1">
      <c r="B562" s="52" t="s">
        <v>460</v>
      </c>
      <c r="C562" s="1681"/>
      <c r="D562" s="1681"/>
      <c r="E562" s="1681"/>
      <c r="F562" s="1681"/>
      <c r="G562" s="1681"/>
      <c r="H562" s="1681"/>
      <c r="I562" s="1681"/>
      <c r="J562" s="1681"/>
      <c r="K562" s="1681"/>
      <c r="L562" s="1681"/>
      <c r="M562" s="1693"/>
      <c r="N562" s="1693"/>
      <c r="O562" s="1693"/>
      <c r="P562" s="1693"/>
      <c r="Q562" s="1453"/>
      <c r="R562" s="1454"/>
      <c r="S562" s="1455"/>
      <c r="T562" s="1453"/>
      <c r="U562" s="1454"/>
      <c r="V562" s="1455"/>
      <c r="W562" s="1456"/>
      <c r="X562" s="1457"/>
      <c r="Y562" s="1458"/>
      <c r="Z562" s="1694"/>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 customHeight="1">
      <c r="B563" s="52" t="s">
        <v>644</v>
      </c>
      <c r="C563" s="1681"/>
      <c r="D563" s="1681"/>
      <c r="E563" s="1681"/>
      <c r="F563" s="1681"/>
      <c r="G563" s="1681"/>
      <c r="H563" s="1681"/>
      <c r="I563" s="1681"/>
      <c r="J563" s="1681"/>
      <c r="K563" s="1681"/>
      <c r="L563" s="1681"/>
      <c r="M563" s="1693"/>
      <c r="N563" s="1693"/>
      <c r="O563" s="1693"/>
      <c r="P563" s="1693"/>
      <c r="Q563" s="1453"/>
      <c r="R563" s="1454"/>
      <c r="S563" s="1455"/>
      <c r="T563" s="1453"/>
      <c r="U563" s="1454"/>
      <c r="V563" s="1455"/>
      <c r="W563" s="1456"/>
      <c r="X563" s="1457"/>
      <c r="Y563" s="1458"/>
      <c r="Z563" s="1694"/>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 customHeight="1">
      <c r="B564" s="52" t="s">
        <v>361</v>
      </c>
      <c r="C564" s="1681"/>
      <c r="D564" s="1681"/>
      <c r="E564" s="1681"/>
      <c r="F564" s="1681"/>
      <c r="G564" s="1681"/>
      <c r="H564" s="1681"/>
      <c r="I564" s="1681"/>
      <c r="J564" s="1681"/>
      <c r="K564" s="1681"/>
      <c r="L564" s="1681"/>
      <c r="M564" s="1693"/>
      <c r="N564" s="1693"/>
      <c r="O564" s="1693"/>
      <c r="P564" s="1693"/>
      <c r="Q564" s="1453"/>
      <c r="R564" s="1454"/>
      <c r="S564" s="1455"/>
      <c r="T564" s="1453"/>
      <c r="U564" s="1454"/>
      <c r="V564" s="1455"/>
      <c r="W564" s="1456"/>
      <c r="X564" s="1457"/>
      <c r="Y564" s="1458"/>
      <c r="Z564" s="1694"/>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 customHeight="1">
      <c r="B565" s="52" t="s">
        <v>362</v>
      </c>
      <c r="C565" s="1681"/>
      <c r="D565" s="1681"/>
      <c r="E565" s="1681"/>
      <c r="F565" s="1681"/>
      <c r="G565" s="1681"/>
      <c r="H565" s="1681"/>
      <c r="I565" s="1681"/>
      <c r="J565" s="1681"/>
      <c r="K565" s="1681"/>
      <c r="L565" s="1681"/>
      <c r="M565" s="1693"/>
      <c r="N565" s="1693"/>
      <c r="O565" s="1693"/>
      <c r="P565" s="1693"/>
      <c r="Q565" s="1453"/>
      <c r="R565" s="1454"/>
      <c r="S565" s="1455"/>
      <c r="T565" s="1453"/>
      <c r="U565" s="1454"/>
      <c r="V565" s="1455"/>
      <c r="W565" s="1456"/>
      <c r="X565" s="1457"/>
      <c r="Y565" s="1458"/>
      <c r="Z565" s="1694"/>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115354053</v>
      </c>
      <c r="AN566" s="1616"/>
      <c r="AO566" s="1616"/>
      <c r="AP566" s="1616"/>
      <c r="AQ566" s="1616"/>
      <c r="AR566" s="1616"/>
      <c r="AS566" s="1617"/>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359" t="str">
        <f>C554</f>
        <v>Citibank, N.A.</v>
      </c>
      <c r="H568" s="1359"/>
      <c r="I568" s="1359"/>
      <c r="J568" s="1359"/>
      <c r="K568" s="1359"/>
      <c r="L568" s="1359"/>
      <c r="M568" s="1359"/>
      <c r="N568" s="1359"/>
      <c r="O568" s="1359"/>
      <c r="P568" s="1359"/>
      <c r="Q568" s="1359"/>
      <c r="R568" s="1359"/>
      <c r="S568" s="8"/>
      <c r="T568" s="55" t="s">
        <v>113</v>
      </c>
      <c r="U568" t="s">
        <v>462</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
        <v>2679</v>
      </c>
      <c r="H569" s="1373"/>
      <c r="I569" s="1373"/>
      <c r="J569" s="1373"/>
      <c r="K569" s="1373"/>
      <c r="L569" s="1373"/>
      <c r="M569" s="1373"/>
      <c r="N569" s="1373"/>
      <c r="O569" s="1373"/>
      <c r="P569" s="1373"/>
      <c r="Q569" s="1373"/>
      <c r="R569" s="1373"/>
      <c r="S569" s="8"/>
      <c r="T569" s="22"/>
      <c r="U569" t="s">
        <v>85</v>
      </c>
      <c r="Z569" s="1372" t="s">
        <v>2679</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 customHeight="1">
      <c r="A570" s="22"/>
      <c r="B570" t="s">
        <v>579</v>
      </c>
      <c r="G570" s="1372" t="s">
        <v>2680</v>
      </c>
      <c r="H570" s="1373"/>
      <c r="I570" s="1373"/>
      <c r="J570" s="1373"/>
      <c r="K570" s="1373"/>
      <c r="L570" s="1373"/>
      <c r="M570" s="1373"/>
      <c r="N570" s="1373"/>
      <c r="O570" s="1373"/>
      <c r="P570" s="1373"/>
      <c r="Q570" s="1373"/>
      <c r="R570" s="1373"/>
      <c r="T570" s="22"/>
      <c r="U570" t="s">
        <v>579</v>
      </c>
      <c r="Z570" s="1459" t="s">
        <v>2680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
        <v>2681</v>
      </c>
      <c r="H571" s="1373"/>
      <c r="I571" s="1373"/>
      <c r="J571" s="1373"/>
      <c r="K571" s="1373"/>
      <c r="L571" s="1373"/>
      <c r="M571" s="1373"/>
      <c r="N571" s="1373"/>
      <c r="O571" s="1373"/>
      <c r="P571" s="1373"/>
      <c r="Q571" s="1373"/>
      <c r="R571" s="1373"/>
      <c r="S571" s="8"/>
      <c r="T571" s="22"/>
      <c r="U571" t="s">
        <v>17</v>
      </c>
      <c r="Z571" s="1459" t="s">
        <v>2681</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315</v>
      </c>
      <c r="G572" s="1346" t="s">
        <v>2682</v>
      </c>
      <c r="H572" s="1347"/>
      <c r="I572" s="1347"/>
      <c r="J572" s="1347"/>
      <c r="K572" s="1347"/>
      <c r="L572" s="1347"/>
      <c r="O572" s="33" t="s">
        <v>205</v>
      </c>
      <c r="P572" s="1438"/>
      <c r="Q572" s="1438"/>
      <c r="R572" s="1438"/>
      <c r="S572" s="10"/>
      <c r="T572" s="22"/>
      <c r="U572" t="s">
        <v>315</v>
      </c>
      <c r="Z572" s="1346" t="s">
        <v>2682</v>
      </c>
      <c r="AA572" s="1347"/>
      <c r="AB572" s="1347"/>
      <c r="AC572" s="1347"/>
      <c r="AD572" s="1347"/>
      <c r="AE572" s="1347"/>
      <c r="AH572" s="33" t="s">
        <v>205</v>
      </c>
      <c r="AI572" s="1438"/>
      <c r="AJ572" s="1438"/>
      <c r="AK572" s="1438"/>
      <c r="BB572" s="3"/>
      <c r="BC572" s="3"/>
      <c r="BD572" s="3"/>
      <c r="BE572" s="3"/>
      <c r="BF572" s="3"/>
      <c r="BG572" s="3"/>
      <c r="BH572" s="3"/>
      <c r="BI572" s="3"/>
    </row>
    <row r="573" spans="1:61" ht="12.9" customHeight="1">
      <c r="A573" s="22"/>
      <c r="B573" t="s">
        <v>18</v>
      </c>
      <c r="H573" s="1372" t="s">
        <v>2683</v>
      </c>
      <c r="I573" s="1373"/>
      <c r="J573" s="1373"/>
      <c r="K573" s="1373"/>
      <c r="L573" s="1373"/>
      <c r="M573" s="1373"/>
      <c r="N573" s="1373"/>
      <c r="O573" s="1373"/>
      <c r="P573" s="1373"/>
      <c r="Q573" s="1373"/>
      <c r="R573" s="1373"/>
      <c r="S573" s="8"/>
      <c r="T573" s="22"/>
      <c r="U573" t="s">
        <v>18</v>
      </c>
      <c r="AA573" s="1372" t="s">
        <v>2684</v>
      </c>
      <c r="AB573" s="1373"/>
      <c r="AC573" s="1373"/>
      <c r="AD573" s="1373"/>
      <c r="AE573" s="1373"/>
      <c r="AF573" s="1373"/>
      <c r="AG573" s="1373"/>
      <c r="AH573" s="1373"/>
      <c r="AI573" s="1373"/>
      <c r="AJ573" s="1373"/>
      <c r="AK573" s="1373"/>
      <c r="BB573" s="3"/>
      <c r="BC573" s="3"/>
      <c r="BD573" s="3"/>
      <c r="BE573" s="3"/>
      <c r="BF573" s="3"/>
      <c r="BG573" s="3"/>
      <c r="BH573" s="3"/>
      <c r="BI573" s="3"/>
    </row>
    <row r="574" spans="1:61" ht="12.9" customHeight="1">
      <c r="A574" s="22"/>
      <c r="B574" s="320" t="s">
        <v>1183</v>
      </c>
      <c r="H574" s="8"/>
      <c r="I574" s="8"/>
      <c r="J574" s="8"/>
      <c r="K574" s="8"/>
      <c r="L574" s="8"/>
      <c r="M574" s="1696" t="s">
        <v>590</v>
      </c>
      <c r="N574" s="1697"/>
      <c r="O574" s="1697"/>
      <c r="P574" s="1697"/>
      <c r="Q574" s="1697"/>
      <c r="R574" s="1697"/>
      <c r="S574" s="8"/>
      <c r="T574" s="22"/>
      <c r="U574" s="320" t="s">
        <v>1183</v>
      </c>
      <c r="AA574" s="8"/>
      <c r="AB574" s="8"/>
      <c r="AC574" s="8"/>
      <c r="AD574" s="8"/>
      <c r="AE574" s="8"/>
      <c r="AF574" s="1696" t="s">
        <v>590</v>
      </c>
      <c r="AG574" s="1697"/>
      <c r="AH574" s="1697"/>
      <c r="AI574" s="1697"/>
      <c r="AJ574" s="1697"/>
      <c r="AK574" s="1697"/>
      <c r="BB574" s="3"/>
      <c r="BC574" s="3"/>
      <c r="BD574" s="3"/>
      <c r="BE574" s="3"/>
      <c r="BF574" s="3"/>
      <c r="BG574" s="3"/>
      <c r="BH574" s="3"/>
      <c r="BI574" s="3"/>
    </row>
    <row r="575" spans="1:61" ht="12.9" customHeight="1">
      <c r="A575" s="22"/>
      <c r="B575" t="s">
        <v>20</v>
      </c>
      <c r="N575" s="1332" t="s">
        <v>544</v>
      </c>
      <c r="O575" s="1332"/>
      <c r="T575" s="22"/>
      <c r="U575" t="s">
        <v>20</v>
      </c>
      <c r="AG575" s="1332" t="s">
        <v>544</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359" t="str">
        <f>C556</f>
        <v>HCD - IIG Loan</v>
      </c>
      <c r="H577" s="1359"/>
      <c r="I577" s="1359"/>
      <c r="J577" s="1359"/>
      <c r="K577" s="1359"/>
      <c r="L577" s="1359"/>
      <c r="M577" s="1359"/>
      <c r="N577" s="1359"/>
      <c r="O577" s="1359"/>
      <c r="P577" s="1359"/>
      <c r="Q577" s="1359"/>
      <c r="R577" s="1359"/>
      <c r="T577" s="55" t="s">
        <v>580</v>
      </c>
      <c r="U577" t="s">
        <v>462</v>
      </c>
      <c r="Z577" s="1359" t="str">
        <f>C557</f>
        <v>Pacific West Communities, Inc.</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
        <v>2746</v>
      </c>
      <c r="H578" s="1373"/>
      <c r="I578" s="1373"/>
      <c r="J578" s="1373"/>
      <c r="K578" s="1373"/>
      <c r="L578" s="1373"/>
      <c r="M578" s="1373"/>
      <c r="N578" s="1373"/>
      <c r="O578" s="1373"/>
      <c r="P578" s="1373"/>
      <c r="Q578" s="1373"/>
      <c r="R578" s="1373"/>
      <c r="T578" s="22"/>
      <c r="U578" t="s">
        <v>85</v>
      </c>
      <c r="Z578" s="1372" t="s">
        <v>2613</v>
      </c>
      <c r="AA578" s="1373"/>
      <c r="AB578" s="1373"/>
      <c r="AC578" s="1373"/>
      <c r="AD578" s="1373"/>
      <c r="AE578" s="1373"/>
      <c r="AF578" s="1373"/>
      <c r="AG578" s="1373"/>
      <c r="AH578" s="1373"/>
      <c r="AI578" s="1373"/>
      <c r="AJ578" s="1373"/>
      <c r="AK578" s="1373"/>
      <c r="BB578" s="3"/>
      <c r="BC578" s="3"/>
    </row>
    <row r="579" spans="1:55" ht="12.9" customHeight="1">
      <c r="A579" s="22"/>
      <c r="B579" t="s">
        <v>579</v>
      </c>
      <c r="G579" s="1459" t="s">
        <v>2747</v>
      </c>
      <c r="H579" s="1349"/>
      <c r="I579" s="1349"/>
      <c r="J579" s="1349"/>
      <c r="K579" s="1349"/>
      <c r="L579" s="1349"/>
      <c r="M579" s="1349"/>
      <c r="N579" s="1349"/>
      <c r="O579" s="1349"/>
      <c r="P579" s="1349"/>
      <c r="Q579" s="1349"/>
      <c r="R579" s="1349"/>
      <c r="T579" s="22"/>
      <c r="U579" t="s">
        <v>579</v>
      </c>
      <c r="Z579" s="1459" t="s">
        <v>2634</v>
      </c>
      <c r="AA579" s="1349"/>
      <c r="AB579" s="1349"/>
      <c r="AC579" s="1349"/>
      <c r="AD579" s="1349"/>
      <c r="AE579" s="1349"/>
      <c r="AF579" s="1349"/>
      <c r="AG579" s="1349"/>
      <c r="AH579" s="1349"/>
      <c r="AI579" s="1349"/>
      <c r="AJ579" s="1349"/>
      <c r="AK579" s="1349"/>
      <c r="BB579" s="3"/>
      <c r="BC579" s="3"/>
    </row>
    <row r="580" spans="1:55" ht="12.9" customHeight="1">
      <c r="A580" s="22"/>
      <c r="B580" t="s">
        <v>17</v>
      </c>
      <c r="G580" s="1459" t="s">
        <v>2748</v>
      </c>
      <c r="H580" s="1349"/>
      <c r="I580" s="1349"/>
      <c r="J580" s="1349"/>
      <c r="K580" s="1349"/>
      <c r="L580" s="1349"/>
      <c r="M580" s="1349"/>
      <c r="N580" s="1349"/>
      <c r="O580" s="1349"/>
      <c r="P580" s="1349"/>
      <c r="Q580" s="1349"/>
      <c r="R580" s="1349"/>
      <c r="T580" s="22"/>
      <c r="U580" t="s">
        <v>17</v>
      </c>
      <c r="Z580" s="1459" t="s">
        <v>2612</v>
      </c>
      <c r="AA580" s="1349"/>
      <c r="AB580" s="1349"/>
      <c r="AC580" s="1349"/>
      <c r="AD580" s="1349"/>
      <c r="AE580" s="1349"/>
      <c r="AF580" s="1349"/>
      <c r="AG580" s="1349"/>
      <c r="AH580" s="1349"/>
      <c r="AI580" s="1349"/>
      <c r="AJ580" s="1349"/>
      <c r="AK580" s="1349"/>
      <c r="BB580" s="3"/>
      <c r="BC580" s="3"/>
    </row>
    <row r="581" spans="1:55" ht="12.9" customHeight="1">
      <c r="A581" s="22"/>
      <c r="B581" t="s">
        <v>315</v>
      </c>
      <c r="G581" s="1346" t="s">
        <v>2749</v>
      </c>
      <c r="H581" s="1347"/>
      <c r="I581" s="1347"/>
      <c r="J581" s="1347"/>
      <c r="K581" s="1347"/>
      <c r="L581" s="1347"/>
      <c r="O581" s="33" t="s">
        <v>205</v>
      </c>
      <c r="P581" s="1438"/>
      <c r="Q581" s="1438"/>
      <c r="R581" s="1438"/>
      <c r="T581" s="22"/>
      <c r="U581" t="s">
        <v>315</v>
      </c>
      <c r="Z581" s="1346" t="s">
        <v>2615</v>
      </c>
      <c r="AA581" s="1347"/>
      <c r="AB581" s="1347"/>
      <c r="AC581" s="1347"/>
      <c r="AD581" s="1347"/>
      <c r="AE581" s="1347"/>
      <c r="AH581" s="33" t="s">
        <v>205</v>
      </c>
      <c r="AI581" s="1438">
        <v>3015</v>
      </c>
      <c r="AJ581" s="1438"/>
      <c r="AK581" s="1438"/>
      <c r="BB581" s="3"/>
      <c r="BC581" s="3"/>
    </row>
    <row r="582" spans="1:55" ht="12.9" customHeight="1">
      <c r="A582" s="22"/>
      <c r="B582" t="s">
        <v>18</v>
      </c>
      <c r="H582" s="1372" t="s">
        <v>2750</v>
      </c>
      <c r="I582" s="1373"/>
      <c r="J582" s="1373"/>
      <c r="K582" s="1373"/>
      <c r="L582" s="1373"/>
      <c r="M582" s="1373"/>
      <c r="N582" s="1373"/>
      <c r="O582" s="1373"/>
      <c r="P582" s="1373"/>
      <c r="Q582" s="1373"/>
      <c r="R582" s="1373"/>
      <c r="T582" s="22"/>
      <c r="U582" t="s">
        <v>18</v>
      </c>
      <c r="AA582" s="1372" t="s">
        <v>2318</v>
      </c>
      <c r="AB582" s="1373"/>
      <c r="AC582" s="1373"/>
      <c r="AD582" s="1373"/>
      <c r="AE582" s="1373"/>
      <c r="AF582" s="1373"/>
      <c r="AG582" s="1373"/>
      <c r="AH582" s="1373"/>
      <c r="AI582" s="1373"/>
      <c r="AJ582" s="1373"/>
      <c r="AK582" s="1373"/>
      <c r="BB582" s="3"/>
      <c r="BC582" s="3"/>
    </row>
    <row r="583" spans="1:55" ht="12.9" customHeight="1">
      <c r="A583" s="22"/>
      <c r="B583" t="s">
        <v>20</v>
      </c>
      <c r="N583" s="1332" t="s">
        <v>544</v>
      </c>
      <c r="O583" s="1332"/>
      <c r="T583" s="22"/>
      <c r="U583" t="s">
        <v>20</v>
      </c>
      <c r="AG583" s="1332" t="s">
        <v>544</v>
      </c>
      <c r="AH583" s="1332"/>
      <c r="BB583" s="3"/>
      <c r="BC583" s="3"/>
    </row>
    <row r="584" spans="1:55" ht="12.9" customHeight="1">
      <c r="A584" s="22"/>
      <c r="T584" s="22"/>
      <c r="BB584" s="3"/>
      <c r="BC584" s="3"/>
    </row>
    <row r="585" spans="1:55" ht="12.9" customHeight="1">
      <c r="A585" s="55" t="s">
        <v>761</v>
      </c>
      <c r="B585" t="s">
        <v>462</v>
      </c>
      <c r="G585" s="1359" t="str">
        <f>C558</f>
        <v>Richmond Metrowalk Associates</v>
      </c>
      <c r="H585" s="1359"/>
      <c r="I585" s="1359"/>
      <c r="J585" s="1359"/>
      <c r="K585" s="1359"/>
      <c r="L585" s="1359"/>
      <c r="M585" s="1359"/>
      <c r="N585" s="1359"/>
      <c r="O585" s="1359"/>
      <c r="P585" s="1359"/>
      <c r="Q585" s="1359"/>
      <c r="R585" s="1359"/>
      <c r="T585" s="55" t="s">
        <v>583</v>
      </c>
      <c r="U585" t="s">
        <v>462</v>
      </c>
      <c r="Z585" s="1359" t="str">
        <f>C559</f>
        <v>Boston Financial</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
        <v>2613</v>
      </c>
      <c r="H586" s="1373"/>
      <c r="I586" s="1373"/>
      <c r="J586" s="1373"/>
      <c r="K586" s="1373"/>
      <c r="L586" s="1373"/>
      <c r="M586" s="1373"/>
      <c r="N586" s="1373"/>
      <c r="O586" s="1373"/>
      <c r="P586" s="1373"/>
      <c r="Q586" s="1373"/>
      <c r="R586" s="1373"/>
      <c r="T586" s="22"/>
      <c r="U586" t="s">
        <v>85</v>
      </c>
      <c r="Z586" s="1372" t="s">
        <v>2650</v>
      </c>
      <c r="AA586" s="1373"/>
      <c r="AB586" s="1373"/>
      <c r="AC586" s="1373"/>
      <c r="AD586" s="1373"/>
      <c r="AE586" s="1373"/>
      <c r="AF586" s="1373"/>
      <c r="AG586" s="1373"/>
      <c r="AH586" s="1373"/>
      <c r="AI586" s="1373"/>
      <c r="AJ586" s="1373"/>
      <c r="AK586" s="1373"/>
      <c r="BB586" s="3"/>
      <c r="BC586" s="3"/>
    </row>
    <row r="587" spans="1:55" ht="12.9" customHeight="1">
      <c r="A587" s="22"/>
      <c r="B587" t="s">
        <v>579</v>
      </c>
      <c r="G587" s="1372" t="s">
        <v>2634</v>
      </c>
      <c r="H587" s="1373"/>
      <c r="I587" s="1373"/>
      <c r="J587" s="1373"/>
      <c r="K587" s="1373"/>
      <c r="L587" s="1373"/>
      <c r="M587" s="1373"/>
      <c r="N587" s="1373"/>
      <c r="O587" s="1373"/>
      <c r="P587" s="1373"/>
      <c r="Q587" s="1373"/>
      <c r="R587" s="1373"/>
      <c r="T587" s="22"/>
      <c r="U587" t="s">
        <v>579</v>
      </c>
      <c r="Z587" s="1459" t="s">
        <v>2651</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
        <v>2612</v>
      </c>
      <c r="H588" s="1373"/>
      <c r="I588" s="1373"/>
      <c r="J588" s="1373"/>
      <c r="K588" s="1373"/>
      <c r="L588" s="1373"/>
      <c r="M588" s="1373"/>
      <c r="N588" s="1373"/>
      <c r="O588" s="1373"/>
      <c r="P588" s="1373"/>
      <c r="Q588" s="1373"/>
      <c r="R588" s="1373"/>
      <c r="T588" s="22"/>
      <c r="U588" t="s">
        <v>17</v>
      </c>
      <c r="Z588" s="1459" t="s">
        <v>2652</v>
      </c>
      <c r="AA588" s="1349"/>
      <c r="AB588" s="1349"/>
      <c r="AC588" s="1349"/>
      <c r="AD588" s="1349"/>
      <c r="AE588" s="1349"/>
      <c r="AF588" s="1349"/>
      <c r="AG588" s="1349"/>
      <c r="AH588" s="1349"/>
      <c r="AI588" s="1349"/>
      <c r="AJ588" s="1349"/>
      <c r="AK588" s="1349"/>
    </row>
    <row r="589" spans="1:55" ht="12.9" customHeight="1">
      <c r="A589" s="22"/>
      <c r="B589" t="s">
        <v>315</v>
      </c>
      <c r="G589" s="1346" t="s">
        <v>2615</v>
      </c>
      <c r="H589" s="1347"/>
      <c r="I589" s="1347"/>
      <c r="J589" s="1347"/>
      <c r="K589" s="1347"/>
      <c r="L589" s="1347"/>
      <c r="O589" s="33" t="s">
        <v>205</v>
      </c>
      <c r="P589" s="1438">
        <v>3015</v>
      </c>
      <c r="Q589" s="1438"/>
      <c r="R589" s="1438"/>
      <c r="T589" s="22"/>
      <c r="U589" t="s">
        <v>315</v>
      </c>
      <c r="Z589" s="1346" t="s">
        <v>2653</v>
      </c>
      <c r="AA589" s="1347"/>
      <c r="AB589" s="1347"/>
      <c r="AC589" s="1347"/>
      <c r="AD589" s="1347"/>
      <c r="AE589" s="1347"/>
      <c r="AH589" s="33" t="s">
        <v>205</v>
      </c>
      <c r="AI589" s="1438"/>
      <c r="AJ589" s="1438"/>
      <c r="AK589" s="1438"/>
      <c r="AZ589" s="3"/>
      <c r="BA589" s="3"/>
      <c r="BB589" s="3"/>
      <c r="BC589" s="3"/>
    </row>
    <row r="590" spans="1:55" ht="12.9" customHeight="1">
      <c r="A590" s="22"/>
      <c r="B590" t="s">
        <v>18</v>
      </c>
      <c r="H590" s="1372" t="s">
        <v>2685</v>
      </c>
      <c r="I590" s="1373"/>
      <c r="J590" s="1373"/>
      <c r="K590" s="1373"/>
      <c r="L590" s="1373"/>
      <c r="M590" s="1373"/>
      <c r="N590" s="1373"/>
      <c r="O590" s="1373"/>
      <c r="P590" s="1373"/>
      <c r="Q590" s="1373"/>
      <c r="R590" s="1373"/>
      <c r="T590" s="22"/>
      <c r="U590" t="s">
        <v>18</v>
      </c>
      <c r="AA590" s="1372" t="s">
        <v>2686</v>
      </c>
      <c r="AB590" s="1373"/>
      <c r="AC590" s="1373"/>
      <c r="AD590" s="1373"/>
      <c r="AE590" s="1373"/>
      <c r="AF590" s="1373"/>
      <c r="AG590" s="1373"/>
      <c r="AH590" s="1373"/>
      <c r="AI590" s="1373"/>
      <c r="AJ590" s="1373"/>
      <c r="AK590" s="1373"/>
      <c r="AZ590" s="3"/>
      <c r="BA590" s="3"/>
      <c r="BB590" s="3"/>
      <c r="BC590" s="3"/>
    </row>
    <row r="591" spans="1:55" ht="12.9" customHeight="1">
      <c r="A591" s="22"/>
      <c r="B591" t="s">
        <v>20</v>
      </c>
      <c r="N591" s="1332" t="s">
        <v>544</v>
      </c>
      <c r="O591" s="1332"/>
      <c r="T591" s="22"/>
      <c r="U591" t="s">
        <v>20</v>
      </c>
      <c r="AG591" s="1332" t="s">
        <v>667</v>
      </c>
      <c r="AH591" s="1332"/>
      <c r="AZ591" s="3"/>
      <c r="BA591" s="3"/>
      <c r="BB591" s="3"/>
      <c r="BC591" s="3"/>
    </row>
    <row r="592" spans="1:55" ht="12.9" customHeight="1">
      <c r="A592" s="22"/>
      <c r="T592" s="22"/>
      <c r="AZ592" s="3"/>
      <c r="BA592" s="3"/>
      <c r="BB592" s="3"/>
      <c r="BC592" s="3"/>
    </row>
    <row r="593" spans="1:55" ht="12.9" customHeight="1">
      <c r="A593" s="55" t="s">
        <v>454</v>
      </c>
      <c r="B593" t="s">
        <v>462</v>
      </c>
      <c r="G593" s="1359">
        <f>C560</f>
        <v>0</v>
      </c>
      <c r="H593" s="1359"/>
      <c r="I593" s="1359"/>
      <c r="J593" s="1359"/>
      <c r="K593" s="1359"/>
      <c r="L593" s="1359"/>
      <c r="M593" s="1359"/>
      <c r="N593" s="1359"/>
      <c r="O593" s="1359"/>
      <c r="P593" s="1359"/>
      <c r="Q593" s="1359"/>
      <c r="R593" s="1359"/>
      <c r="T593" s="55" t="s">
        <v>455</v>
      </c>
      <c r="U593" t="s">
        <v>462</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373"/>
      <c r="H595" s="1373"/>
      <c r="I595" s="1373"/>
      <c r="J595" s="1373"/>
      <c r="K595" s="1373"/>
      <c r="L595" s="1373"/>
      <c r="M595" s="1373"/>
      <c r="N595" s="1373"/>
      <c r="O595" s="1373"/>
      <c r="P595" s="1373"/>
      <c r="Q595" s="1373"/>
      <c r="R595" s="1373"/>
      <c r="S595"/>
      <c r="T595" s="22"/>
      <c r="U595" t="s">
        <v>579</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346"/>
      <c r="H597" s="1347"/>
      <c r="I597" s="1347"/>
      <c r="J597" s="1347"/>
      <c r="K597" s="1347"/>
      <c r="L597" s="1347"/>
      <c r="M597"/>
      <c r="N597"/>
      <c r="O597" s="33" t="s">
        <v>205</v>
      </c>
      <c r="P597" s="1438"/>
      <c r="Q597" s="1438"/>
      <c r="R597" s="1438"/>
      <c r="S597"/>
      <c r="T597" s="22"/>
      <c r="U597" t="s">
        <v>315</v>
      </c>
      <c r="V597"/>
      <c r="W597"/>
      <c r="X597"/>
      <c r="Y597"/>
      <c r="Z597" s="1346"/>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 customHeight="1">
      <c r="A599" s="22"/>
      <c r="B599" t="s">
        <v>20</v>
      </c>
      <c r="N599" s="1332" t="s">
        <v>667</v>
      </c>
      <c r="O599" s="1332"/>
      <c r="T599" s="22"/>
      <c r="U599" t="s">
        <v>20</v>
      </c>
      <c r="AG599" s="1332" t="s">
        <v>667</v>
      </c>
      <c r="AH599" s="1332"/>
      <c r="BB599" s="3"/>
      <c r="BC599" s="3"/>
    </row>
    <row r="600" spans="1:55" ht="12.9" customHeight="1">
      <c r="A600" s="22"/>
      <c r="T600" s="22"/>
      <c r="BB600" s="3"/>
      <c r="BC600" s="3"/>
    </row>
    <row r="601" spans="1:55" ht="12.9" customHeight="1">
      <c r="A601" s="55" t="s">
        <v>460</v>
      </c>
      <c r="B601" t="s">
        <v>462</v>
      </c>
      <c r="G601" s="1359">
        <f>C562</f>
        <v>0</v>
      </c>
      <c r="H601" s="1359"/>
      <c r="I601" s="1359"/>
      <c r="J601" s="1359"/>
      <c r="K601" s="1359"/>
      <c r="L601" s="1359"/>
      <c r="M601" s="1359"/>
      <c r="N601" s="1359"/>
      <c r="O601" s="1359"/>
      <c r="P601" s="1359"/>
      <c r="Q601" s="1359"/>
      <c r="R601" s="1359"/>
      <c r="T601" s="55" t="s">
        <v>644</v>
      </c>
      <c r="U601" t="s">
        <v>462</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 customHeight="1">
      <c r="A603" s="22"/>
      <c r="B603" t="s">
        <v>579</v>
      </c>
      <c r="G603" s="1373"/>
      <c r="H603" s="1373"/>
      <c r="I603" s="1373"/>
      <c r="J603" s="1373"/>
      <c r="K603" s="1373"/>
      <c r="L603" s="1373"/>
      <c r="M603" s="1373"/>
      <c r="N603" s="1373"/>
      <c r="O603" s="1373"/>
      <c r="P603" s="1373"/>
      <c r="Q603" s="1373"/>
      <c r="R603" s="1373"/>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667</v>
      </c>
      <c r="O607" s="1332"/>
      <c r="P607"/>
      <c r="Q607"/>
      <c r="R607"/>
      <c r="S607"/>
      <c r="T607" s="22"/>
      <c r="U607" t="s">
        <v>20</v>
      </c>
      <c r="V607"/>
      <c r="W607"/>
      <c r="X607"/>
      <c r="Y607"/>
      <c r="Z607"/>
      <c r="AA607"/>
      <c r="AB607"/>
      <c r="AC607"/>
      <c r="AD607"/>
      <c r="AE607"/>
      <c r="AF607"/>
      <c r="AG607" s="1332" t="s">
        <v>667</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462</v>
      </c>
      <c r="G609" s="1359">
        <f>C564</f>
        <v>0</v>
      </c>
      <c r="H609" s="1359"/>
      <c r="I609" s="1359"/>
      <c r="J609" s="1359"/>
      <c r="K609" s="1359"/>
      <c r="L609" s="1359"/>
      <c r="M609" s="1359"/>
      <c r="N609" s="1359"/>
      <c r="O609" s="1359"/>
      <c r="P609" s="1359"/>
      <c r="Q609" s="1359"/>
      <c r="R609" s="1359"/>
      <c r="T609" s="55" t="s">
        <v>362</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 customHeight="1">
      <c r="B611" t="s">
        <v>579</v>
      </c>
      <c r="G611" s="1373"/>
      <c r="H611" s="1373"/>
      <c r="I611" s="1373"/>
      <c r="J611" s="1373"/>
      <c r="K611" s="1373"/>
      <c r="L611" s="1373"/>
      <c r="M611" s="1373"/>
      <c r="N611" s="1373"/>
      <c r="O611" s="1373"/>
      <c r="P611" s="1373"/>
      <c r="Q611" s="1373"/>
      <c r="R611" s="1373"/>
      <c r="U611" t="s">
        <v>579</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2.9"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 customHeight="1">
      <c r="B615" t="s">
        <v>20</v>
      </c>
      <c r="N615" s="1332" t="s">
        <v>667</v>
      </c>
      <c r="O615" s="1332"/>
      <c r="U615" t="s">
        <v>20</v>
      </c>
      <c r="AG615" s="1332" t="s">
        <v>667</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2098</v>
      </c>
      <c r="AZ622" s="3"/>
      <c r="BA622" s="3"/>
      <c r="BB622" s="3"/>
      <c r="BC622" s="3"/>
    </row>
    <row r="623" spans="1:55" ht="12.9" customHeight="1">
      <c r="B623" s="512"/>
      <c r="C623" s="2"/>
      <c r="AU623" s="3"/>
      <c r="AZ623" s="3"/>
      <c r="BA623" s="3"/>
      <c r="BB623" s="3"/>
      <c r="BC623" s="3"/>
    </row>
    <row r="624" spans="1:55" ht="12.9" customHeight="1">
      <c r="B624" s="1701" t="s">
        <v>2100</v>
      </c>
      <c r="C624" s="1701"/>
      <c r="D624" s="1701"/>
      <c r="E624" s="1701"/>
      <c r="F624" s="1701"/>
      <c r="G624" s="1701"/>
      <c r="H624" s="1701"/>
      <c r="I624" s="1701"/>
      <c r="J624" s="1701"/>
      <c r="K624" s="1701"/>
      <c r="L624" s="1701"/>
      <c r="M624" s="1443" t="s">
        <v>2101</v>
      </c>
      <c r="N624" s="1443"/>
      <c r="O624" s="1443"/>
      <c r="P624" s="1443"/>
      <c r="Q624" s="1443" t="s">
        <v>1850</v>
      </c>
      <c r="R624" s="1443"/>
      <c r="S624" s="1443"/>
      <c r="T624" s="1443" t="s">
        <v>1848</v>
      </c>
      <c r="U624" s="1443"/>
      <c r="V624" s="1443"/>
      <c r="W624" s="1702" t="s">
        <v>452</v>
      </c>
      <c r="X624" s="1702"/>
      <c r="Y624" s="1702"/>
      <c r="Z624" s="1432" t="s">
        <v>2130</v>
      </c>
      <c r="AA624" s="1432"/>
      <c r="AB624" s="1433"/>
      <c r="AC624" s="1682" t="s">
        <v>1674</v>
      </c>
      <c r="AD624" s="1683"/>
      <c r="AE624" s="1684"/>
      <c r="AF624" s="1672"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5"/>
      <c r="AD625" s="1686"/>
      <c r="AE625" s="1687"/>
      <c r="AF625" s="1673"/>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8"/>
      <c r="AD626" s="1689"/>
      <c r="AE626" s="1690"/>
      <c r="AF626" s="1674"/>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 customHeight="1">
      <c r="B627" s="51" t="s">
        <v>112</v>
      </c>
      <c r="C627" s="1692" t="s">
        <v>2677</v>
      </c>
      <c r="D627" s="1692"/>
      <c r="E627" s="1692"/>
      <c r="F627" s="1692"/>
      <c r="G627" s="1692"/>
      <c r="H627" s="1692"/>
      <c r="I627" s="1692"/>
      <c r="J627" s="1692"/>
      <c r="K627" s="1692"/>
      <c r="L627" s="1692"/>
      <c r="M627" s="1618" t="s">
        <v>2117</v>
      </c>
      <c r="N627" s="1618"/>
      <c r="O627" s="1618"/>
      <c r="P627" s="1618"/>
      <c r="Q627" s="1427">
        <v>360</v>
      </c>
      <c r="R627" s="1427"/>
      <c r="S627" s="1428"/>
      <c r="T627" s="1426">
        <v>480</v>
      </c>
      <c r="U627" s="1427"/>
      <c r="V627" s="1428"/>
      <c r="W627" s="1439">
        <v>6.25E-2</v>
      </c>
      <c r="X627" s="1440"/>
      <c r="Y627" s="1441"/>
      <c r="Z627" s="1480" t="s">
        <v>2129</v>
      </c>
      <c r="AA627" s="1481"/>
      <c r="AB627" s="1482"/>
      <c r="AC627" s="1447">
        <v>1</v>
      </c>
      <c r="AD627" s="1448"/>
      <c r="AE627" s="1449"/>
      <c r="AF627" s="1477">
        <v>783480</v>
      </c>
      <c r="AG627" s="1478"/>
      <c r="AH627" s="1478"/>
      <c r="AI627" s="1478"/>
      <c r="AJ627" s="1479"/>
      <c r="AK627" s="1429"/>
      <c r="AL627" s="1430"/>
      <c r="AM627" s="1430"/>
      <c r="AN627" s="1431"/>
      <c r="AO627" s="1483">
        <v>11500000</v>
      </c>
      <c r="AP627" s="1483"/>
      <c r="AQ627" s="1483"/>
      <c r="AR627" s="1483"/>
      <c r="AS627" s="1483"/>
      <c r="AT627" s="3"/>
      <c r="AU627" s="3"/>
      <c r="AZ627" s="3"/>
      <c r="BA627" s="3"/>
      <c r="BB627" s="3"/>
      <c r="BC627" s="3"/>
      <c r="BD627" s="3"/>
    </row>
    <row r="628" spans="2:157" ht="12.9" customHeight="1">
      <c r="B628" s="52" t="s">
        <v>113</v>
      </c>
      <c r="C628" s="1692" t="s">
        <v>2742</v>
      </c>
      <c r="D628" s="1692"/>
      <c r="E628" s="1692"/>
      <c r="F628" s="1692"/>
      <c r="G628" s="1692"/>
      <c r="H628" s="1692"/>
      <c r="I628" s="1692"/>
      <c r="J628" s="1692"/>
      <c r="K628" s="1692"/>
      <c r="L628" s="1692"/>
      <c r="M628" s="1618" t="s">
        <v>2113</v>
      </c>
      <c r="N628" s="1618"/>
      <c r="O628" s="1618"/>
      <c r="P628" s="1618"/>
      <c r="Q628" s="1426">
        <v>660</v>
      </c>
      <c r="R628" s="1427"/>
      <c r="S628" s="1428"/>
      <c r="T628" s="1426"/>
      <c r="U628" s="1427"/>
      <c r="V628" s="1428"/>
      <c r="W628" s="1439">
        <v>0.03</v>
      </c>
      <c r="X628" s="1440"/>
      <c r="Y628" s="1441"/>
      <c r="Z628" s="1480" t="s">
        <v>456</v>
      </c>
      <c r="AA628" s="1481"/>
      <c r="AB628" s="1482"/>
      <c r="AC628" s="1447">
        <v>2</v>
      </c>
      <c r="AD628" s="1448"/>
      <c r="AE628" s="1449"/>
      <c r="AF628" s="1477">
        <v>116815</v>
      </c>
      <c r="AG628" s="1478"/>
      <c r="AH628" s="1478"/>
      <c r="AI628" s="1478"/>
      <c r="AJ628" s="1479"/>
      <c r="AK628" s="1429"/>
      <c r="AL628" s="1430"/>
      <c r="AM628" s="1430"/>
      <c r="AN628" s="1431"/>
      <c r="AO628" s="1468">
        <v>27813000</v>
      </c>
      <c r="AP628" s="1469"/>
      <c r="AQ628" s="1469"/>
      <c r="AR628" s="1469"/>
      <c r="AS628" s="1470"/>
      <c r="AT628" s="1148" t="str">
        <f>IF(AND(NOT(C627=""),C628="",NOT(C629="")),"!","")</f>
        <v/>
      </c>
      <c r="AU628" s="3"/>
      <c r="AZ628" s="3"/>
      <c r="BA628" s="3"/>
      <c r="BB628" s="3"/>
      <c r="BC628" s="3"/>
      <c r="BD628" s="3"/>
    </row>
    <row r="629" spans="2:157" ht="12.9" customHeight="1">
      <c r="B629" s="52" t="s">
        <v>119</v>
      </c>
      <c r="C629" s="1692" t="s">
        <v>2743</v>
      </c>
      <c r="D629" s="1692"/>
      <c r="E629" s="1692"/>
      <c r="F629" s="1692"/>
      <c r="G629" s="1692"/>
      <c r="H629" s="1692"/>
      <c r="I629" s="1692"/>
      <c r="J629" s="1692"/>
      <c r="K629" s="1692"/>
      <c r="L629" s="1692"/>
      <c r="M629" s="1618" t="s">
        <v>2113</v>
      </c>
      <c r="N629" s="1618"/>
      <c r="O629" s="1618"/>
      <c r="P629" s="1618"/>
      <c r="Q629" s="1426">
        <v>660</v>
      </c>
      <c r="R629" s="1427"/>
      <c r="S629" s="1428"/>
      <c r="T629" s="1426"/>
      <c r="U629" s="1427"/>
      <c r="V629" s="1428"/>
      <c r="W629" s="1439">
        <v>0.03</v>
      </c>
      <c r="X629" s="1440"/>
      <c r="Y629" s="1441"/>
      <c r="Z629" s="1480" t="s">
        <v>456</v>
      </c>
      <c r="AA629" s="1481"/>
      <c r="AB629" s="1482"/>
      <c r="AC629" s="1447">
        <v>3</v>
      </c>
      <c r="AD629" s="1448"/>
      <c r="AE629" s="1449"/>
      <c r="AF629" s="1477"/>
      <c r="AG629" s="1478"/>
      <c r="AH629" s="1478"/>
      <c r="AI629" s="1478"/>
      <c r="AJ629" s="1479"/>
      <c r="AK629" s="1429"/>
      <c r="AL629" s="1430"/>
      <c r="AM629" s="1430"/>
      <c r="AN629" s="1431"/>
      <c r="AO629" s="1468">
        <v>5000000</v>
      </c>
      <c r="AP629" s="1469"/>
      <c r="AQ629" s="1469"/>
      <c r="AR629" s="1469"/>
      <c r="AS629" s="1470"/>
      <c r="AT629" s="1148" t="str">
        <f t="shared" ref="AT629:AT638" si="1">IF(AND(NOT(C628=""),C629="",NOT(C630="")),"!","")</f>
        <v/>
      </c>
      <c r="AU629" s="3"/>
      <c r="AZ629" s="3"/>
      <c r="BA629" s="3"/>
      <c r="BB629" s="3"/>
      <c r="BC629" s="3"/>
      <c r="BD629" s="3"/>
    </row>
    <row r="630" spans="2:157" ht="12.9" customHeight="1">
      <c r="B630" s="52" t="s">
        <v>580</v>
      </c>
      <c r="C630" s="1692" t="s">
        <v>2717</v>
      </c>
      <c r="D630" s="1348"/>
      <c r="E630" s="1348"/>
      <c r="F630" s="1348"/>
      <c r="G630" s="1348"/>
      <c r="H630" s="1348"/>
      <c r="I630" s="1348"/>
      <c r="J630" s="1348"/>
      <c r="K630" s="1348"/>
      <c r="L630" s="1348"/>
      <c r="M630" s="1618" t="s">
        <v>2113</v>
      </c>
      <c r="N630" s="1618"/>
      <c r="O630" s="1618"/>
      <c r="P630" s="1618"/>
      <c r="Q630" s="1426">
        <v>660</v>
      </c>
      <c r="R630" s="1427"/>
      <c r="S630" s="1428"/>
      <c r="T630" s="1426"/>
      <c r="U630" s="1427"/>
      <c r="V630" s="1428"/>
      <c r="W630" s="1439">
        <v>0.03</v>
      </c>
      <c r="X630" s="1440"/>
      <c r="Y630" s="1441"/>
      <c r="Z630" s="1480" t="s">
        <v>456</v>
      </c>
      <c r="AA630" s="1481"/>
      <c r="AB630" s="1482"/>
      <c r="AC630" s="1447">
        <v>4</v>
      </c>
      <c r="AD630" s="1448"/>
      <c r="AE630" s="1449"/>
      <c r="AF630" s="1477"/>
      <c r="AG630" s="1478"/>
      <c r="AH630" s="1478"/>
      <c r="AI630" s="1478"/>
      <c r="AJ630" s="1479"/>
      <c r="AK630" s="1429"/>
      <c r="AL630" s="1430"/>
      <c r="AM630" s="1430"/>
      <c r="AN630" s="1431"/>
      <c r="AO630" s="1468">
        <v>2187000</v>
      </c>
      <c r="AP630" s="1469"/>
      <c r="AQ630" s="1469"/>
      <c r="AR630" s="1469"/>
      <c r="AS630" s="1470"/>
      <c r="AT630" s="1148" t="str">
        <f t="shared" si="1"/>
        <v/>
      </c>
      <c r="AU630" s="3"/>
      <c r="AZ630" s="3"/>
      <c r="BA630" s="3"/>
      <c r="BB630" s="3"/>
      <c r="BC630" s="3"/>
      <c r="BD630" s="3"/>
    </row>
    <row r="631" spans="2:157" ht="12.9" customHeight="1">
      <c r="B631" s="52" t="s">
        <v>761</v>
      </c>
      <c r="C631" s="1692" t="s">
        <v>2629</v>
      </c>
      <c r="D631" s="1348"/>
      <c r="E631" s="1348"/>
      <c r="F631" s="1348"/>
      <c r="G631" s="1348"/>
      <c r="H631" s="1348"/>
      <c r="I631" s="1348"/>
      <c r="J631" s="1348"/>
      <c r="K631" s="1348"/>
      <c r="L631" s="1348"/>
      <c r="M631" s="1618" t="s">
        <v>2104</v>
      </c>
      <c r="N631" s="1618"/>
      <c r="O631" s="1618"/>
      <c r="P631" s="1618"/>
      <c r="Q631" s="1426">
        <v>156</v>
      </c>
      <c r="R631" s="1427"/>
      <c r="S631" s="1428"/>
      <c r="T631" s="1426"/>
      <c r="U631" s="1427"/>
      <c r="V631" s="1428"/>
      <c r="W631" s="1439">
        <v>9.9999999999999995E-8</v>
      </c>
      <c r="X631" s="1440"/>
      <c r="Y631" s="1441"/>
      <c r="Z631" s="1480" t="s">
        <v>456</v>
      </c>
      <c r="AA631" s="1481"/>
      <c r="AB631" s="1482"/>
      <c r="AC631" s="1447"/>
      <c r="AD631" s="1448"/>
      <c r="AE631" s="1449"/>
      <c r="AF631" s="1477"/>
      <c r="AG631" s="1478"/>
      <c r="AH631" s="1478"/>
      <c r="AI631" s="1478"/>
      <c r="AJ631" s="1479"/>
      <c r="AK631" s="1429"/>
      <c r="AL631" s="1430"/>
      <c r="AM631" s="1430"/>
      <c r="AN631" s="1431"/>
      <c r="AO631" s="1468">
        <v>12652350</v>
      </c>
      <c r="AP631" s="1469"/>
      <c r="AQ631" s="1469"/>
      <c r="AR631" s="1469"/>
      <c r="AS631" s="1470"/>
      <c r="AT631" s="1148" t="str">
        <f t="shared" si="1"/>
        <v/>
      </c>
      <c r="AU631" s="3"/>
      <c r="AZ631" s="3"/>
      <c r="BA631" s="3"/>
      <c r="BB631" s="3"/>
      <c r="BC631" s="3"/>
      <c r="BD631" s="3"/>
    </row>
    <row r="632" spans="2:157" ht="12.9" customHeight="1">
      <c r="B632" s="52" t="s">
        <v>583</v>
      </c>
      <c r="C632" s="1348"/>
      <c r="D632" s="1348"/>
      <c r="E632" s="1348"/>
      <c r="F632" s="1348"/>
      <c r="G632" s="1348"/>
      <c r="H632" s="1348"/>
      <c r="I632" s="1348"/>
      <c r="J632" s="1348"/>
      <c r="K632" s="1348"/>
      <c r="L632" s="1348"/>
      <c r="M632" s="1618"/>
      <c r="N632" s="1618"/>
      <c r="O632" s="1618"/>
      <c r="P632" s="1618"/>
      <c r="Q632" s="1426"/>
      <c r="R632" s="1427"/>
      <c r="S632" s="1428"/>
      <c r="T632" s="1426"/>
      <c r="U632" s="1427"/>
      <c r="V632" s="1428"/>
      <c r="W632" s="1439"/>
      <c r="X632" s="1440"/>
      <c r="Y632" s="1441"/>
      <c r="Z632" s="1480"/>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2.9" customHeight="1">
      <c r="B633" s="52" t="s">
        <v>454</v>
      </c>
      <c r="C633" s="1348"/>
      <c r="D633" s="1348"/>
      <c r="E633" s="1348"/>
      <c r="F633" s="1348"/>
      <c r="G633" s="1348"/>
      <c r="H633" s="1348"/>
      <c r="I633" s="1348"/>
      <c r="J633" s="1348"/>
      <c r="K633" s="1348"/>
      <c r="L633" s="1348"/>
      <c r="M633" s="1618"/>
      <c r="N633" s="1618"/>
      <c r="O633" s="1618"/>
      <c r="P633" s="1618"/>
      <c r="Q633" s="1426"/>
      <c r="R633" s="1427"/>
      <c r="S633" s="1428"/>
      <c r="T633" s="1426"/>
      <c r="U633" s="1427"/>
      <c r="V633" s="1428"/>
      <c r="W633" s="1439"/>
      <c r="X633" s="1440"/>
      <c r="Y633" s="1441"/>
      <c r="Z633" s="1480"/>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2.9" customHeight="1">
      <c r="B634" s="52" t="s">
        <v>455</v>
      </c>
      <c r="C634" s="1348"/>
      <c r="D634" s="1348"/>
      <c r="E634" s="1348"/>
      <c r="F634" s="1348"/>
      <c r="G634" s="1348"/>
      <c r="H634" s="1348"/>
      <c r="I634" s="1348"/>
      <c r="J634" s="1348"/>
      <c r="K634" s="1348"/>
      <c r="L634" s="1348"/>
      <c r="M634" s="1618"/>
      <c r="N634" s="1618"/>
      <c r="O634" s="1618"/>
      <c r="P634" s="1618"/>
      <c r="Q634" s="1426"/>
      <c r="R634" s="1427"/>
      <c r="S634" s="1428"/>
      <c r="T634" s="1426"/>
      <c r="U634" s="1427"/>
      <c r="V634" s="1428"/>
      <c r="W634" s="1439"/>
      <c r="X634" s="1440"/>
      <c r="Y634" s="1441"/>
      <c r="Z634" s="1480"/>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1182</v>
      </c>
      <c r="BB634" s="3"/>
      <c r="BC634" s="3"/>
      <c r="BD634" s="3"/>
    </row>
    <row r="635" spans="2:157" ht="12.9" customHeight="1">
      <c r="B635" s="52" t="s">
        <v>460</v>
      </c>
      <c r="C635" s="1348"/>
      <c r="D635" s="1348"/>
      <c r="E635" s="1348"/>
      <c r="F635" s="1348"/>
      <c r="G635" s="1348"/>
      <c r="H635" s="1348"/>
      <c r="I635" s="1348"/>
      <c r="J635" s="1348"/>
      <c r="K635" s="1348"/>
      <c r="L635" s="1348"/>
      <c r="M635" s="1618"/>
      <c r="N635" s="1618"/>
      <c r="O635" s="1618"/>
      <c r="P635" s="1618"/>
      <c r="Q635" s="1426"/>
      <c r="R635" s="1427"/>
      <c r="S635" s="1428"/>
      <c r="T635" s="1426"/>
      <c r="U635" s="1427"/>
      <c r="V635" s="1428"/>
      <c r="W635" s="1439"/>
      <c r="X635" s="1440"/>
      <c r="Y635" s="1441"/>
      <c r="Z635" s="1480"/>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698.18181818181813</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 customHeight="1">
      <c r="B636" s="52" t="s">
        <v>644</v>
      </c>
      <c r="C636" s="1348"/>
      <c r="D636" s="1348"/>
      <c r="E636" s="1348"/>
      <c r="F636" s="1348"/>
      <c r="G636" s="1348"/>
      <c r="H636" s="1348"/>
      <c r="I636" s="1348"/>
      <c r="J636" s="1348"/>
      <c r="K636" s="1348"/>
      <c r="L636" s="1348"/>
      <c r="M636" s="1618"/>
      <c r="N636" s="1618"/>
      <c r="O636" s="1618"/>
      <c r="P636" s="1618"/>
      <c r="Q636" s="1426"/>
      <c r="R636" s="1427"/>
      <c r="S636" s="1428"/>
      <c r="T636" s="1426"/>
      <c r="U636" s="1427"/>
      <c r="V636" s="1428"/>
      <c r="W636" s="1439"/>
      <c r="X636" s="1440"/>
      <c r="Y636" s="1441"/>
      <c r="Z636" s="1480"/>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f t="shared" si="2"/>
        <v>60.31818181818182</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 customHeight="1">
      <c r="B637" s="52" t="s">
        <v>361</v>
      </c>
      <c r="C637" s="1348"/>
      <c r="D637" s="1348"/>
      <c r="E637" s="1348"/>
      <c r="F637" s="1348"/>
      <c r="G637" s="1348"/>
      <c r="H637" s="1348"/>
      <c r="I637" s="1348"/>
      <c r="J637" s="1348"/>
      <c r="K637" s="1348"/>
      <c r="L637" s="1348"/>
      <c r="M637" s="1618"/>
      <c r="N637" s="1618"/>
      <c r="O637" s="1618"/>
      <c r="P637" s="1618"/>
      <c r="Q637" s="1426"/>
      <c r="R637" s="1427"/>
      <c r="S637" s="1428"/>
      <c r="T637" s="1426"/>
      <c r="U637" s="1427"/>
      <c r="V637" s="1428"/>
      <c r="W637" s="1439"/>
      <c r="X637" s="1440"/>
      <c r="Y637" s="1441"/>
      <c r="Z637" s="1480"/>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6">
        <f t="shared" si="2"/>
        <v>73.045454545454547</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 customHeight="1">
      <c r="B638" s="52" t="s">
        <v>362</v>
      </c>
      <c r="C638" s="1348"/>
      <c r="D638" s="1348"/>
      <c r="E638" s="1348"/>
      <c r="F638" s="1348"/>
      <c r="G638" s="1348"/>
      <c r="H638" s="1348"/>
      <c r="I638" s="1348"/>
      <c r="J638" s="1348"/>
      <c r="K638" s="1348"/>
      <c r="L638" s="1348"/>
      <c r="M638" s="1618"/>
      <c r="N638" s="1618"/>
      <c r="O638" s="1618"/>
      <c r="P638" s="1618"/>
      <c r="Q638" s="1426"/>
      <c r="R638" s="1427"/>
      <c r="S638" s="1428"/>
      <c r="T638" s="1426"/>
      <c r="U638" s="1427"/>
      <c r="V638" s="1428"/>
      <c r="W638" s="1439"/>
      <c r="X638" s="1440"/>
      <c r="Y638" s="1441"/>
      <c r="Z638" s="1480"/>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651.20000000000005</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59152350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141.30000000000001</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56201703</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171.3</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5">
        <f>AO639+AO640</f>
        <v>115354053</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465.39705882352939</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666.26470588235293</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 customHeight="1">
      <c r="A643" s="55" t="s">
        <v>112</v>
      </c>
      <c r="B643" t="s">
        <v>462</v>
      </c>
      <c r="G643" s="1359" t="str">
        <f>C627</f>
        <v>Citibank, N.A.</v>
      </c>
      <c r="H643" s="1359"/>
      <c r="I643" s="1359"/>
      <c r="J643" s="1359"/>
      <c r="K643" s="1359"/>
      <c r="L643" s="1359"/>
      <c r="M643" s="1359"/>
      <c r="N643" s="1359"/>
      <c r="O643" s="1359"/>
      <c r="P643" s="1359"/>
      <c r="Q643" s="1359"/>
      <c r="R643" s="1359"/>
      <c r="S643" s="8"/>
      <c r="T643" s="55" t="s">
        <v>113</v>
      </c>
      <c r="U643" t="s">
        <v>462</v>
      </c>
      <c r="Z643" s="1359" t="str">
        <f>C628</f>
        <v>HCD - AHSC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239.76470588235293</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 customHeight="1">
      <c r="A644" s="22"/>
      <c r="B644" t="s">
        <v>85</v>
      </c>
      <c r="G644" s="1372" t="s">
        <v>2679</v>
      </c>
      <c r="H644" s="1373"/>
      <c r="I644" s="1373"/>
      <c r="J644" s="1373"/>
      <c r="K644" s="1373"/>
      <c r="L644" s="1373"/>
      <c r="M644" s="1373"/>
      <c r="N644" s="1373"/>
      <c r="O644" s="1373"/>
      <c r="P644" s="1373"/>
      <c r="Q644" s="1373"/>
      <c r="R644" s="1373"/>
      <c r="S644" s="8"/>
      <c r="T644" s="22"/>
      <c r="U644" t="s">
        <v>85</v>
      </c>
      <c r="Z644" s="1372" t="s">
        <v>2746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289.71428571428572</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 customHeight="1">
      <c r="A645" s="22"/>
      <c r="B645" t="s">
        <v>579</v>
      </c>
      <c r="G645" s="1372" t="s">
        <v>2680</v>
      </c>
      <c r="H645" s="1373"/>
      <c r="I645" s="1373"/>
      <c r="J645" s="1373"/>
      <c r="K645" s="1373"/>
      <c r="L645" s="1373"/>
      <c r="M645" s="1373"/>
      <c r="N645" s="1373"/>
      <c r="O645" s="1373"/>
      <c r="P645" s="1373"/>
      <c r="Q645" s="1373"/>
      <c r="R645" s="1373"/>
      <c r="T645" s="22"/>
      <c r="U645" t="s">
        <v>579</v>
      </c>
      <c r="Z645" s="1459" t="s">
        <v>2747</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1138.1020408163265</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 customHeight="1">
      <c r="A646" s="22"/>
      <c r="B646" t="s">
        <v>17</v>
      </c>
      <c r="G646" s="1372" t="s">
        <v>2681</v>
      </c>
      <c r="H646" s="1373"/>
      <c r="I646" s="1373"/>
      <c r="J646" s="1373"/>
      <c r="K646" s="1373"/>
      <c r="L646" s="1373"/>
      <c r="M646" s="1373"/>
      <c r="N646" s="1373"/>
      <c r="O646" s="1373"/>
      <c r="P646" s="1373"/>
      <c r="Q646" s="1373"/>
      <c r="R646" s="1373"/>
      <c r="S646" s="8"/>
      <c r="T646" s="22"/>
      <c r="U646" t="s">
        <v>17</v>
      </c>
      <c r="Z646" s="1459" t="s">
        <v>2751</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334.14285714285711</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 customHeight="1">
      <c r="A647" s="22"/>
      <c r="B647" t="s">
        <v>315</v>
      </c>
      <c r="G647" s="1346" t="s">
        <v>2682</v>
      </c>
      <c r="H647" s="1347"/>
      <c r="I647" s="1347"/>
      <c r="J647" s="1347"/>
      <c r="K647" s="1347"/>
      <c r="L647" s="1347"/>
      <c r="O647" s="33" t="s">
        <v>205</v>
      </c>
      <c r="P647" s="1438"/>
      <c r="Q647" s="1438"/>
      <c r="R647" s="1438"/>
      <c r="S647" s="10"/>
      <c r="T647" s="22"/>
      <c r="U647" t="s">
        <v>315</v>
      </c>
      <c r="Z647" s="1346" t="s">
        <v>2752</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 customHeight="1">
      <c r="A648" s="22"/>
      <c r="B648" t="s">
        <v>18</v>
      </c>
      <c r="H648" s="1372" t="s">
        <v>2687</v>
      </c>
      <c r="I648" s="1373"/>
      <c r="J648" s="1373"/>
      <c r="K648" s="1373"/>
      <c r="L648" s="1373"/>
      <c r="M648" s="1373"/>
      <c r="N648" s="1373"/>
      <c r="O648" s="1373"/>
      <c r="P648" s="1373"/>
      <c r="Q648" s="1373"/>
      <c r="R648" s="1373"/>
      <c r="S648" s="8"/>
      <c r="T648" s="22"/>
      <c r="U648" t="s">
        <v>18</v>
      </c>
      <c r="AA648" s="1372" t="s">
        <v>2753</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 customHeight="1">
      <c r="A651" s="55" t="s">
        <v>119</v>
      </c>
      <c r="B651" t="s">
        <v>462</v>
      </c>
      <c r="G651" s="1359" t="str">
        <f>C629</f>
        <v>HCD - IIG Loan</v>
      </c>
      <c r="H651" s="1359"/>
      <c r="I651" s="1359"/>
      <c r="J651" s="1359"/>
      <c r="K651" s="1359"/>
      <c r="L651" s="1359"/>
      <c r="M651" s="1359"/>
      <c r="N651" s="1359"/>
      <c r="O651" s="1359"/>
      <c r="P651" s="1359"/>
      <c r="Q651" s="1359"/>
      <c r="R651" s="1359"/>
      <c r="T651" s="55" t="s">
        <v>580</v>
      </c>
      <c r="U651" t="s">
        <v>462</v>
      </c>
      <c r="Z651" s="1359" t="str">
        <f>C630</f>
        <v>City of Richmond</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 customHeight="1">
      <c r="A652" s="22"/>
      <c r="B652" t="s">
        <v>85</v>
      </c>
      <c r="G652" s="1372" t="s">
        <v>2746</v>
      </c>
      <c r="H652" s="1373"/>
      <c r="I652" s="1373"/>
      <c r="J652" s="1373"/>
      <c r="K652" s="1373"/>
      <c r="L652" s="1373"/>
      <c r="M652" s="1373"/>
      <c r="N652" s="1373"/>
      <c r="O652" s="1373"/>
      <c r="P652" s="1373"/>
      <c r="Q652" s="1373"/>
      <c r="R652" s="1373"/>
      <c r="T652" s="22"/>
      <c r="U652" t="s">
        <v>85</v>
      </c>
      <c r="Z652" s="1373" t="s">
        <v>2754</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 customHeight="1">
      <c r="A653" s="22"/>
      <c r="B653" t="s">
        <v>579</v>
      </c>
      <c r="G653" s="1459" t="s">
        <v>2747</v>
      </c>
      <c r="H653" s="1349"/>
      <c r="I653" s="1349"/>
      <c r="J653" s="1349"/>
      <c r="K653" s="1349"/>
      <c r="L653" s="1349"/>
      <c r="M653" s="1349"/>
      <c r="N653" s="1349"/>
      <c r="O653" s="1349"/>
      <c r="P653" s="1349"/>
      <c r="Q653" s="1349"/>
      <c r="R653" s="1349"/>
      <c r="T653" s="22"/>
      <c r="U653" t="s">
        <v>579</v>
      </c>
      <c r="Z653" s="1349" t="s">
        <v>2736</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 customHeight="1">
      <c r="A654" s="22"/>
      <c r="B654" t="s">
        <v>17</v>
      </c>
      <c r="G654" s="1459" t="s">
        <v>2755</v>
      </c>
      <c r="H654" s="1349"/>
      <c r="I654" s="1349"/>
      <c r="J654" s="1349"/>
      <c r="K654" s="1349"/>
      <c r="L654" s="1349"/>
      <c r="M654" s="1349"/>
      <c r="N654" s="1349"/>
      <c r="O654" s="1349"/>
      <c r="P654" s="1349"/>
      <c r="Q654" s="1349"/>
      <c r="R654" s="1349"/>
      <c r="T654" s="22"/>
      <c r="U654" t="s">
        <v>17</v>
      </c>
      <c r="Z654" s="1349" t="s">
        <v>2756</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 customHeight="1">
      <c r="A655" s="22"/>
      <c r="B655" t="s">
        <v>315</v>
      </c>
      <c r="G655" s="1346" t="s">
        <v>2749</v>
      </c>
      <c r="H655" s="1347"/>
      <c r="I655" s="1347"/>
      <c r="J655" s="1347"/>
      <c r="K655" s="1347"/>
      <c r="L655" s="1347"/>
      <c r="O655" s="33" t="s">
        <v>205</v>
      </c>
      <c r="P655" s="1438"/>
      <c r="Q655" s="1438"/>
      <c r="R655" s="1438"/>
      <c r="T655" s="22"/>
      <c r="U655" t="s">
        <v>315</v>
      </c>
      <c r="Z655" s="1346" t="s">
        <v>2757</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 customHeight="1">
      <c r="A656" s="22"/>
      <c r="B656" t="s">
        <v>18</v>
      </c>
      <c r="H656" s="1372" t="s">
        <v>2750</v>
      </c>
      <c r="I656" s="1373"/>
      <c r="J656" s="1373"/>
      <c r="K656" s="1373"/>
      <c r="L656" s="1373"/>
      <c r="M656" s="1373"/>
      <c r="N656" s="1373"/>
      <c r="O656" s="1373"/>
      <c r="P656" s="1373"/>
      <c r="Q656" s="1373"/>
      <c r="R656" s="1373"/>
      <c r="T656" s="22"/>
      <c r="U656" t="s">
        <v>18</v>
      </c>
      <c r="AA656" s="1373" t="s">
        <v>2758</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 customHeight="1">
      <c r="A659" s="55" t="s">
        <v>761</v>
      </c>
      <c r="B659" t="s">
        <v>462</v>
      </c>
      <c r="G659" s="1359" t="str">
        <f>C631</f>
        <v>Pacific West Communities, Inc.</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 customHeight="1">
      <c r="A660" s="22"/>
      <c r="B660" t="s">
        <v>85</v>
      </c>
      <c r="G660" s="1373" t="s">
        <v>2613</v>
      </c>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 customHeight="1">
      <c r="A661" s="22"/>
      <c r="B661" t="s">
        <v>579</v>
      </c>
      <c r="G661" s="1373" t="s">
        <v>2634</v>
      </c>
      <c r="H661" s="1373"/>
      <c r="I661" s="1373"/>
      <c r="J661" s="1373"/>
      <c r="K661" s="1373"/>
      <c r="L661" s="1373"/>
      <c r="M661" s="1373"/>
      <c r="N661" s="1373"/>
      <c r="O661" s="1373"/>
      <c r="P661" s="1373"/>
      <c r="Q661" s="1373"/>
      <c r="R661" s="1373"/>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 customHeight="1">
      <c r="A662" s="22"/>
      <c r="B662" t="s">
        <v>17</v>
      </c>
      <c r="G662" s="1373" t="s">
        <v>2612</v>
      </c>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 customHeight="1">
      <c r="A663" s="22"/>
      <c r="B663" t="s">
        <v>315</v>
      </c>
      <c r="G663" s="1346" t="s">
        <v>2615</v>
      </c>
      <c r="H663" s="1347"/>
      <c r="I663" s="1347"/>
      <c r="J663" s="1347"/>
      <c r="K663" s="1347"/>
      <c r="L663" s="1347"/>
      <c r="O663" s="33" t="s">
        <v>205</v>
      </c>
      <c r="P663" s="1438">
        <v>3015</v>
      </c>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 customHeight="1">
      <c r="A664" s="22"/>
      <c r="B664" t="s">
        <v>18</v>
      </c>
      <c r="H664" s="1373" t="s">
        <v>2318</v>
      </c>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 customHeight="1">
      <c r="A665" s="22"/>
      <c r="B665" t="s">
        <v>20</v>
      </c>
      <c r="N665" s="1332" t="s">
        <v>544</v>
      </c>
      <c r="O665" s="1332"/>
      <c r="T665" s="22"/>
      <c r="U665" t="s">
        <v>20</v>
      </c>
      <c r="AG665" s="1332" t="s">
        <v>667</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 customHeight="1">
      <c r="A669" s="22"/>
      <c r="B669" t="s">
        <v>579</v>
      </c>
      <c r="G669" s="1373"/>
      <c r="H669" s="1373"/>
      <c r="I669" s="1373"/>
      <c r="J669" s="1373"/>
      <c r="K669" s="1373"/>
      <c r="L669" s="1373"/>
      <c r="M669" s="1373"/>
      <c r="N669" s="1373"/>
      <c r="O669" s="1373"/>
      <c r="P669" s="1373"/>
      <c r="Q669" s="1373"/>
      <c r="R669" s="1373"/>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831.5454545454545</v>
      </c>
      <c r="DY670" s="1446"/>
      <c r="DZ670" s="1446"/>
      <c r="EA670" s="1446"/>
      <c r="EB670" s="1446"/>
      <c r="EC670" s="1446">
        <f>SUMIF(EC635:EG669,"&gt;0")</f>
        <v>963.8</v>
      </c>
      <c r="ED670" s="1446"/>
      <c r="EE670" s="1446"/>
      <c r="EF670" s="1446"/>
      <c r="EG670" s="1446"/>
      <c r="EH670" s="1446">
        <f>SUMIF(EH635:EL669,"&gt;0")</f>
        <v>1371.4264705882354</v>
      </c>
      <c r="EI670" s="1446"/>
      <c r="EJ670" s="1446"/>
      <c r="EK670" s="1446"/>
      <c r="EL670" s="1446"/>
      <c r="EM670" s="1446">
        <f>SUMIF(EM635:EQ669,"&gt;0")</f>
        <v>1761.9591836734694</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667</v>
      </c>
      <c r="O673" s="1332"/>
      <c r="T673" s="22"/>
      <c r="U673" t="s">
        <v>20</v>
      </c>
      <c r="AG673" s="1332" t="s">
        <v>667</v>
      </c>
      <c r="AH673" s="1332"/>
      <c r="AZ673" s="3"/>
    </row>
    <row r="674" spans="1:52" ht="12.9" customHeight="1">
      <c r="A674" s="22"/>
      <c r="T674" s="22"/>
      <c r="AZ674" s="3"/>
    </row>
    <row r="675" spans="1:52" ht="12.9" customHeight="1">
      <c r="A675" s="55" t="s">
        <v>460</v>
      </c>
      <c r="B675" t="s">
        <v>462</v>
      </c>
      <c r="G675" s="1359">
        <f>C635</f>
        <v>0</v>
      </c>
      <c r="H675" s="1359"/>
      <c r="I675" s="1359"/>
      <c r="J675" s="1359"/>
      <c r="K675" s="1359"/>
      <c r="L675" s="1359"/>
      <c r="M675" s="1359"/>
      <c r="N675" s="1359"/>
      <c r="O675" s="1359"/>
      <c r="P675" s="1359"/>
      <c r="Q675" s="1359"/>
      <c r="R675" s="1359"/>
      <c r="T675" s="55" t="s">
        <v>644</v>
      </c>
      <c r="U675" t="s">
        <v>462</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 customHeight="1">
      <c r="A677" s="22"/>
      <c r="B677" t="s">
        <v>579</v>
      </c>
      <c r="G677" s="1373"/>
      <c r="H677" s="1373"/>
      <c r="I677" s="1373"/>
      <c r="J677" s="1373"/>
      <c r="K677" s="1373"/>
      <c r="L677" s="1373"/>
      <c r="M677" s="1373"/>
      <c r="N677" s="1373"/>
      <c r="O677" s="1373"/>
      <c r="P677" s="1373"/>
      <c r="Q677" s="1373"/>
      <c r="R677" s="1373"/>
      <c r="T677" s="22"/>
      <c r="U677" t="s">
        <v>579</v>
      </c>
      <c r="Z677" s="1349"/>
      <c r="AA677" s="1349"/>
      <c r="AB677" s="1349"/>
      <c r="AC677" s="1349"/>
      <c r="AD677" s="1349"/>
      <c r="AE677" s="1349"/>
      <c r="AF677" s="1349"/>
      <c r="AG677" s="1349"/>
      <c r="AH677" s="1349"/>
      <c r="AI677" s="1349"/>
      <c r="AJ677" s="1349"/>
      <c r="AK677" s="1349"/>
      <c r="AZ677" s="3"/>
    </row>
    <row r="678" spans="1:52" ht="12.9"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2.9"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 customHeight="1">
      <c r="A681" s="22"/>
      <c r="B681" t="s">
        <v>20</v>
      </c>
      <c r="N681" s="1332" t="s">
        <v>667</v>
      </c>
      <c r="O681" s="1332"/>
      <c r="T681" s="22"/>
      <c r="U681" t="s">
        <v>20</v>
      </c>
      <c r="AG681" s="1332" t="s">
        <v>667</v>
      </c>
      <c r="AH681" s="1332"/>
      <c r="AZ681" s="3"/>
    </row>
    <row r="682" spans="1:52" ht="12.9" customHeight="1">
      <c r="A682" s="22"/>
      <c r="T682" s="22"/>
      <c r="AZ682" s="3"/>
    </row>
    <row r="683" spans="1:52" ht="12.9" customHeight="1">
      <c r="A683" s="55" t="s">
        <v>361</v>
      </c>
      <c r="B683" t="s">
        <v>462</v>
      </c>
      <c r="G683" s="1359">
        <f>C637</f>
        <v>0</v>
      </c>
      <c r="H683" s="1359"/>
      <c r="I683" s="1359"/>
      <c r="J683" s="1359"/>
      <c r="K683" s="1359"/>
      <c r="L683" s="1359"/>
      <c r="M683" s="1359"/>
      <c r="N683" s="1359"/>
      <c r="O683" s="1359"/>
      <c r="P683" s="1359"/>
      <c r="Q683" s="1359"/>
      <c r="R683" s="1359"/>
      <c r="T683" s="55" t="s">
        <v>362</v>
      </c>
      <c r="U683" t="s">
        <v>462</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 customHeight="1">
      <c r="B685" t="s">
        <v>579</v>
      </c>
      <c r="G685" s="1373"/>
      <c r="H685" s="1373"/>
      <c r="I685" s="1373"/>
      <c r="J685" s="1373"/>
      <c r="K685" s="1373"/>
      <c r="L685" s="1373"/>
      <c r="M685" s="1373"/>
      <c r="N685" s="1373"/>
      <c r="O685" s="1373"/>
      <c r="P685" s="1373"/>
      <c r="Q685" s="1373"/>
      <c r="R685" s="1373"/>
      <c r="U685" t="s">
        <v>579</v>
      </c>
      <c r="Z685" s="1349"/>
      <c r="AA685" s="1349"/>
      <c r="AB685" s="1349"/>
      <c r="AC685" s="1349"/>
      <c r="AD685" s="1349"/>
      <c r="AE685" s="1349"/>
      <c r="AF685" s="1349"/>
      <c r="AG685" s="1349"/>
      <c r="AH685" s="1349"/>
      <c r="AI685" s="1349"/>
      <c r="AJ685" s="1349"/>
      <c r="AK685" s="1349"/>
      <c r="AZ685" s="3"/>
    </row>
    <row r="686" spans="1:52" ht="12.9"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2.9"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 customHeight="1">
      <c r="B689" t="s">
        <v>20</v>
      </c>
      <c r="N689" s="1332" t="s">
        <v>667</v>
      </c>
      <c r="O689" s="1332"/>
      <c r="U689" t="s">
        <v>20</v>
      </c>
      <c r="AG689" s="1332" t="s">
        <v>667</v>
      </c>
      <c r="AH689" s="1332"/>
      <c r="AZ689" s="3"/>
    </row>
    <row r="690" spans="1:67" ht="12.9" customHeight="1">
      <c r="AZ690" s="3"/>
    </row>
    <row r="691" spans="1:67" ht="12.9" customHeight="1">
      <c r="A691" s="2" t="s">
        <v>575</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2" t="s">
        <v>667</v>
      </c>
      <c r="AF693" s="1332"/>
      <c r="AZ693" s="3"/>
    </row>
    <row r="694" spans="1:67" ht="12.9" customHeight="1">
      <c r="B694" s="135"/>
      <c r="C694" s="135"/>
      <c r="D694" s="136" t="s">
        <v>437</v>
      </c>
      <c r="E694" s="135"/>
      <c r="F694" s="135"/>
      <c r="G694" s="135"/>
      <c r="H694" s="135"/>
      <c r="AE694" s="1332" t="s">
        <v>667</v>
      </c>
      <c r="AF694" s="1332"/>
      <c r="AZ694" s="3"/>
    </row>
    <row r="695" spans="1:67" ht="12.9" customHeight="1">
      <c r="B695" s="135"/>
      <c r="C695" s="135"/>
      <c r="D695" s="136" t="s">
        <v>918</v>
      </c>
      <c r="E695" s="135"/>
      <c r="F695" s="135"/>
      <c r="G695" s="135"/>
      <c r="H695" s="135"/>
      <c r="AE695" s="1691">
        <v>45909</v>
      </c>
      <c r="AF695" s="1691"/>
      <c r="AG695" s="1691"/>
      <c r="AH695" s="1691"/>
      <c r="AI695" s="1691"/>
    </row>
    <row r="696" spans="1:67" ht="12.9" customHeight="1">
      <c r="B696" s="135"/>
      <c r="C696" s="135"/>
      <c r="D696" s="317" t="s">
        <v>981</v>
      </c>
      <c r="E696" s="135"/>
      <c r="F696" s="135"/>
      <c r="G696" s="135"/>
      <c r="H696" s="135"/>
      <c r="AE696" s="1703">
        <v>45980</v>
      </c>
      <c r="AF696" s="1703"/>
      <c r="AG696" s="1703"/>
      <c r="AH696" s="1703"/>
      <c r="AI696" s="1703"/>
    </row>
    <row r="697" spans="1:67" ht="12.9" customHeight="1">
      <c r="B697" s="135"/>
      <c r="C697" s="135"/>
    </row>
    <row r="698" spans="1:67" ht="12.9" customHeight="1">
      <c r="B698" s="135"/>
      <c r="C698" s="135"/>
      <c r="D698" s="136" t="s">
        <v>814</v>
      </c>
      <c r="E698" s="135"/>
      <c r="F698" s="135"/>
      <c r="G698" s="135"/>
      <c r="H698" s="135"/>
      <c r="AE698" s="1691">
        <v>46148</v>
      </c>
      <c r="AF698" s="1691"/>
      <c r="AG698" s="1691"/>
      <c r="AH698" s="1691"/>
      <c r="AI698" s="1691"/>
    </row>
    <row r="699" spans="1:67" ht="12.9" customHeight="1">
      <c r="B699" s="135"/>
      <c r="C699" s="135"/>
      <c r="D699" s="136" t="s">
        <v>435</v>
      </c>
      <c r="E699" s="135"/>
      <c r="F699" s="135"/>
      <c r="G699" s="135"/>
      <c r="H699" s="135"/>
      <c r="AE699" s="1661">
        <f xml:space="preserve"> (30000000) / (113868019)</f>
        <v>0.26346291314684239</v>
      </c>
      <c r="AF699" s="1661"/>
      <c r="AG699" s="1661"/>
      <c r="AH699" s="1661"/>
      <c r="AI699" s="1661"/>
    </row>
    <row r="700" spans="1:67" ht="12.9"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2" t="s">
        <v>667</v>
      </c>
      <c r="AF702" s="1332"/>
      <c r="AZ702" s="4" t="s">
        <v>323</v>
      </c>
    </row>
    <row r="703" spans="1:67" ht="12.9" customHeight="1">
      <c r="B703" s="135"/>
      <c r="C703" s="135"/>
      <c r="D703" s="136" t="s">
        <v>441</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388</v>
      </c>
      <c r="C714" s="1364"/>
      <c r="D714" s="1364"/>
      <c r="E714" s="1364"/>
      <c r="F714" s="1365"/>
      <c r="G714" s="1363" t="s">
        <v>284</v>
      </c>
      <c r="H714" s="1364"/>
      <c r="I714" s="1364"/>
      <c r="J714" s="1365"/>
      <c r="K714" s="1720" t="s">
        <v>1677</v>
      </c>
      <c r="L714" s="1721"/>
      <c r="M714" s="1721"/>
      <c r="N714" s="1722"/>
      <c r="O714" s="1363" t="s">
        <v>446</v>
      </c>
      <c r="P714" s="1364"/>
      <c r="Q714" s="1364"/>
      <c r="R714" s="1364"/>
      <c r="S714" s="1365"/>
      <c r="T714" s="1659" t="s">
        <v>1947</v>
      </c>
      <c r="U714" s="1364"/>
      <c r="V714" s="1364"/>
      <c r="W714" s="1365"/>
      <c r="X714" s="1659" t="s">
        <v>1949</v>
      </c>
      <c r="Y714" s="1364"/>
      <c r="Z714" s="1364"/>
      <c r="AA714" s="1364"/>
      <c r="AB714" s="1365"/>
      <c r="AC714" s="1659" t="s">
        <v>1948</v>
      </c>
      <c r="AD714" s="1364"/>
      <c r="AE714" s="1364"/>
      <c r="AF714" s="1364"/>
      <c r="AG714" s="1365"/>
      <c r="AH714" s="1659" t="s">
        <v>1950</v>
      </c>
      <c r="AI714" s="1364"/>
      <c r="AJ714" s="1365"/>
      <c r="AK714" s="1659"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471"/>
      <c r="CJ717" s="1472"/>
      <c r="CK717" s="121" t="s">
        <v>474</v>
      </c>
      <c r="CL717" s="122"/>
      <c r="CM717" s="1471"/>
      <c r="CN717" s="1472"/>
      <c r="CO717" s="3"/>
      <c r="CP717" s="1388" t="s">
        <v>631</v>
      </c>
      <c r="CQ717" s="1389"/>
      <c r="CR717" s="1389"/>
      <c r="CS717" s="1389"/>
      <c r="CT717" s="1390"/>
      <c r="CU717" s="1464" t="s">
        <v>324</v>
      </c>
      <c r="CV717" s="1464"/>
      <c r="CW717" s="1464"/>
      <c r="CX717" s="1464"/>
      <c r="CY717" s="1464"/>
      <c r="CZ717" s="1464" t="s">
        <v>163</v>
      </c>
      <c r="DA717" s="1464"/>
      <c r="DB717" s="1464"/>
      <c r="DC717" s="1464"/>
      <c r="DD717" s="1464"/>
      <c r="DE717" s="1464" t="s">
        <v>164</v>
      </c>
      <c r="DF717" s="1464"/>
      <c r="DG717" s="1464"/>
      <c r="DH717" s="1464"/>
      <c r="DI717" s="1464"/>
      <c r="DJ717" s="1464" t="s">
        <v>459</v>
      </c>
      <c r="DK717" s="1464"/>
      <c r="DL717" s="1464"/>
      <c r="DM717" s="1464"/>
      <c r="DN717" s="1464"/>
      <c r="DO717" s="1464" t="s">
        <v>30</v>
      </c>
      <c r="DP717" s="1464"/>
      <c r="DQ717" s="1464"/>
      <c r="DR717" s="1464"/>
      <c r="DS717" s="1464"/>
      <c r="DT717" s="89"/>
      <c r="DU717" s="1464" t="s">
        <v>631</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459</v>
      </c>
      <c r="EP717" s="1464"/>
      <c r="EQ717" s="1464"/>
      <c r="ER717" s="1464"/>
      <c r="ES717" s="1464"/>
      <c r="ET717" s="1464" t="s">
        <v>30</v>
      </c>
      <c r="EU717" s="1464"/>
      <c r="EV717" s="1464"/>
      <c r="EW717" s="1464"/>
      <c r="EX717" s="1464"/>
      <c r="EY717" s="4"/>
      <c r="EZ717" s="1464" t="s">
        <v>631</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459</v>
      </c>
      <c r="FU717" s="1464"/>
      <c r="FV717" s="1464"/>
      <c r="FW717" s="1464"/>
      <c r="FX717" s="1464"/>
      <c r="FY717" s="1464" t="s">
        <v>30</v>
      </c>
      <c r="FZ717" s="1464"/>
      <c r="GA717" s="1464"/>
      <c r="GB717" s="1464"/>
      <c r="GC717" s="1464"/>
    </row>
    <row r="718" spans="1:185" ht="12.9" customHeight="1">
      <c r="A718" s="4"/>
      <c r="B718" s="1337" t="s">
        <v>323</v>
      </c>
      <c r="C718" s="1338"/>
      <c r="D718" s="1338"/>
      <c r="E718" s="1338"/>
      <c r="F718" s="1339"/>
      <c r="G718" s="1350">
        <v>20</v>
      </c>
      <c r="H718" s="1351"/>
      <c r="I718" s="1351"/>
      <c r="J718" s="1352"/>
      <c r="K718" s="1343">
        <v>411</v>
      </c>
      <c r="L718" s="1344"/>
      <c r="M718" s="1344"/>
      <c r="N718" s="1345"/>
      <c r="O718" s="1340">
        <v>768</v>
      </c>
      <c r="P718" s="1341"/>
      <c r="Q718" s="1341"/>
      <c r="R718" s="1341"/>
      <c r="S718" s="1342"/>
      <c r="T718" s="1340">
        <v>71</v>
      </c>
      <c r="U718" s="1341"/>
      <c r="V718" s="1341"/>
      <c r="W718" s="1342"/>
      <c r="X718" s="1353">
        <f t="shared" ref="X718:X741" si="8">O718+T718</f>
        <v>839</v>
      </c>
      <c r="Y718" s="1354"/>
      <c r="Z718" s="1354"/>
      <c r="AA718" s="1354"/>
      <c r="AB718" s="1355"/>
      <c r="AC718" s="1360">
        <v>0.3</v>
      </c>
      <c r="AD718" s="1361"/>
      <c r="AE718" s="1361"/>
      <c r="AF718" s="1361"/>
      <c r="AG718" s="1362"/>
      <c r="AH718" s="1356">
        <f>IF($AC718&gt;0,($X718/$AZ718), "")</f>
        <v>0.30007153075822601</v>
      </c>
      <c r="AI718" s="1357"/>
      <c r="AJ718" s="1358"/>
      <c r="AK718" s="1337" t="s">
        <v>590</v>
      </c>
      <c r="AL718" s="1338"/>
      <c r="AM718" s="1338"/>
      <c r="AN718" s="1338"/>
      <c r="AO718" s="1339"/>
      <c r="AP718" s="3"/>
      <c r="AQ718" s="3"/>
      <c r="AR718" s="3"/>
      <c r="AS718" s="3"/>
      <c r="AZ718" s="118">
        <f t="shared" ref="AZ718:AZ752" si="9">IF($G718=0,"N/A",VLOOKUP($T$189,TC_Rent,(MATCH($B718,bedrooms,FALSE)),FALSE))</f>
        <v>2796</v>
      </c>
      <c r="BA718" s="3"/>
      <c r="BB718" s="3"/>
      <c r="BC718" s="3"/>
      <c r="BD718" s="3"/>
      <c r="BE718" s="204"/>
      <c r="BF718" s="293">
        <f t="shared" ref="BF718:BF752" si="10">G718</f>
        <v>20</v>
      </c>
      <c r="BG718" s="297">
        <f t="shared" ref="BG718:BG752" si="11">IF($BF$753=0,0,BF718/$BF$753)</f>
        <v>0.13422818791946309</v>
      </c>
      <c r="BH718" s="298">
        <f t="shared" ref="BH718:BH752" si="12">IF(BG718=0,"",BG718*AC718)</f>
        <v>4.0268456375838924E-2</v>
      </c>
      <c r="BI718" s="3"/>
      <c r="BJ718" s="3"/>
      <c r="BK718" s="3"/>
      <c r="BL718" s="3"/>
      <c r="BM718" s="3"/>
      <c r="BN718" s="3"/>
      <c r="BS718" s="293">
        <f t="shared" ref="BS718:BS752" si="13">G718</f>
        <v>20</v>
      </c>
      <c r="BT718" s="297">
        <f t="shared" ref="BT718:BT752" si="14">IF($BS$753=0,0,BS718/$BS$753)</f>
        <v>0.13422818791946309</v>
      </c>
      <c r="BU718" s="298">
        <f t="shared" ref="BU718:BU752" si="15">IF(BT718=0,"",BT718*AH718)</f>
        <v>4.0278057819896108E-2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20</v>
      </c>
      <c r="CN718" s="1472"/>
      <c r="CO718" s="3"/>
      <c r="CP718" s="1460">
        <f t="shared" ref="CP718:CP752" si="18">IF(B718="SRO/Studio",G718,0)</f>
        <v>20</v>
      </c>
      <c r="CQ718" s="1461"/>
      <c r="CR718" s="1461"/>
      <c r="CS718" s="1461"/>
      <c r="CT718" s="1462"/>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20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f t="shared" ref="EZ718:EZ752" si="30">IF(CP718&gt;0,O718,"")</f>
        <v>768</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 customHeight="1">
      <c r="A719" s="4"/>
      <c r="B719" s="1337" t="s">
        <v>323</v>
      </c>
      <c r="C719" s="1338"/>
      <c r="D719" s="1338"/>
      <c r="E719" s="1338"/>
      <c r="F719" s="1339"/>
      <c r="G719" s="1350">
        <v>1</v>
      </c>
      <c r="H719" s="1351"/>
      <c r="I719" s="1351"/>
      <c r="J719" s="1352"/>
      <c r="K719" s="1343">
        <v>411</v>
      </c>
      <c r="L719" s="1344"/>
      <c r="M719" s="1344"/>
      <c r="N719" s="1345"/>
      <c r="O719" s="1340">
        <v>1327</v>
      </c>
      <c r="P719" s="1341"/>
      <c r="Q719" s="1341"/>
      <c r="R719" s="1341"/>
      <c r="S719" s="1342"/>
      <c r="T719" s="1340">
        <v>71</v>
      </c>
      <c r="U719" s="1341"/>
      <c r="V719" s="1341"/>
      <c r="W719" s="1342"/>
      <c r="X719" s="1353">
        <f t="shared" si="8"/>
        <v>1398</v>
      </c>
      <c r="Y719" s="1354"/>
      <c r="Z719" s="1354"/>
      <c r="AA719" s="1354"/>
      <c r="AB719" s="1355"/>
      <c r="AC719" s="1360">
        <v>0.5</v>
      </c>
      <c r="AD719" s="1361"/>
      <c r="AE719" s="1361"/>
      <c r="AF719" s="1361"/>
      <c r="AG719" s="1362"/>
      <c r="AH719" s="1356">
        <f t="shared" ref="AH719:AH752" si="36">IF($AC719&gt;0,($X719/$AZ719), "")</f>
        <v>0.5</v>
      </c>
      <c r="AI719" s="1357"/>
      <c r="AJ719" s="1358"/>
      <c r="AK719" s="1337" t="s">
        <v>590</v>
      </c>
      <c r="AL719" s="1338"/>
      <c r="AM719" s="1338"/>
      <c r="AN719" s="1338"/>
      <c r="AO719" s="1339"/>
      <c r="AP719" s="3"/>
      <c r="AQ719" s="3"/>
      <c r="AR719" s="3"/>
      <c r="AS719" s="3"/>
      <c r="AZ719" s="118">
        <f t="shared" si="9"/>
        <v>2796</v>
      </c>
      <c r="BA719" s="3"/>
      <c r="BB719" s="3"/>
      <c r="BC719" s="3"/>
      <c r="BD719" s="3"/>
      <c r="BE719" s="204"/>
      <c r="BF719" s="294">
        <f t="shared" si="10"/>
        <v>1</v>
      </c>
      <c r="BG719" s="297">
        <f t="shared" si="11"/>
        <v>6.7114093959731542E-3</v>
      </c>
      <c r="BH719" s="298">
        <f t="shared" si="12"/>
        <v>3.3557046979865771E-3</v>
      </c>
      <c r="BI719" s="3"/>
      <c r="BJ719" s="3"/>
      <c r="BK719" s="3"/>
      <c r="BL719" s="3"/>
      <c r="BM719" s="3"/>
      <c r="BN719" s="3"/>
      <c r="BS719" s="294">
        <f t="shared" si="13"/>
        <v>1</v>
      </c>
      <c r="BT719" s="297">
        <f t="shared" si="14"/>
        <v>6.7114093959731542E-3</v>
      </c>
      <c r="BU719" s="298">
        <f t="shared" si="15"/>
        <v>3.3557046979865771E-3</v>
      </c>
      <c r="CC719" s="3"/>
      <c r="CD719" s="3"/>
      <c r="CE719" s="3"/>
      <c r="CF719" s="3"/>
      <c r="CG719" s="1465">
        <f t="shared" ref="CG719:CG752" si="37">IF(AND(AC719&lt;=0.5,AC719&gt;=0.36),1,0)</f>
        <v>1</v>
      </c>
      <c r="CH719" s="1466"/>
      <c r="CI719" s="1471">
        <f t="shared" ref="CI719:CI752" si="38">IF(CG719=1,G719,0)</f>
        <v>1</v>
      </c>
      <c r="CJ719" s="1472"/>
      <c r="CK719" s="1465">
        <f t="shared" si="16"/>
        <v>0</v>
      </c>
      <c r="CL719" s="1466"/>
      <c r="CM719" s="1471">
        <f t="shared" si="17"/>
        <v>0</v>
      </c>
      <c r="CN719" s="1472"/>
      <c r="CO719" s="3"/>
      <c r="CP719" s="1460">
        <f t="shared" si="18"/>
        <v>1</v>
      </c>
      <c r="CQ719" s="1461"/>
      <c r="CR719" s="1461"/>
      <c r="CS719" s="1461"/>
      <c r="CT719" s="1462"/>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f t="shared" si="30"/>
        <v>1327</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 customHeight="1">
      <c r="A720" s="4"/>
      <c r="B720" s="1337" t="s">
        <v>323</v>
      </c>
      <c r="C720" s="1338"/>
      <c r="D720" s="1338"/>
      <c r="E720" s="1338"/>
      <c r="F720" s="1339"/>
      <c r="G720" s="1350">
        <v>1</v>
      </c>
      <c r="H720" s="1351"/>
      <c r="I720" s="1351"/>
      <c r="J720" s="1352"/>
      <c r="K720" s="1343">
        <v>411</v>
      </c>
      <c r="L720" s="1344"/>
      <c r="M720" s="1344"/>
      <c r="N720" s="1345"/>
      <c r="O720" s="1340">
        <v>1607</v>
      </c>
      <c r="P720" s="1341"/>
      <c r="Q720" s="1341"/>
      <c r="R720" s="1341"/>
      <c r="S720" s="1342"/>
      <c r="T720" s="1340">
        <v>71</v>
      </c>
      <c r="U720" s="1341"/>
      <c r="V720" s="1341"/>
      <c r="W720" s="1342"/>
      <c r="X720" s="1353">
        <f t="shared" si="8"/>
        <v>1678</v>
      </c>
      <c r="Y720" s="1354"/>
      <c r="Z720" s="1354"/>
      <c r="AA720" s="1354"/>
      <c r="AB720" s="1355"/>
      <c r="AC720" s="1360">
        <v>0.6</v>
      </c>
      <c r="AD720" s="1361"/>
      <c r="AE720" s="1361"/>
      <c r="AF720" s="1361"/>
      <c r="AG720" s="1362"/>
      <c r="AH720" s="1356">
        <f t="shared" si="36"/>
        <v>0.60014306151645203</v>
      </c>
      <c r="AI720" s="1357"/>
      <c r="AJ720" s="1358"/>
      <c r="AK720" s="1337" t="s">
        <v>590</v>
      </c>
      <c r="AL720" s="1338"/>
      <c r="AM720" s="1338"/>
      <c r="AN720" s="1338"/>
      <c r="AO720" s="1339"/>
      <c r="AP720" s="3"/>
      <c r="AQ720" s="3"/>
      <c r="AR720" s="3"/>
      <c r="AS720" s="3"/>
      <c r="AZ720" s="118">
        <f t="shared" si="9"/>
        <v>2796</v>
      </c>
      <c r="BA720" s="3"/>
      <c r="BB720" s="3"/>
      <c r="BC720" s="3"/>
      <c r="BD720" s="3"/>
      <c r="BE720" s="204"/>
      <c r="BF720" s="294">
        <f t="shared" si="10"/>
        <v>1</v>
      </c>
      <c r="BG720" s="297">
        <f t="shared" si="11"/>
        <v>6.7114093959731542E-3</v>
      </c>
      <c r="BH720" s="298">
        <f t="shared" si="12"/>
        <v>4.0268456375838922E-3</v>
      </c>
      <c r="BI720" s="3"/>
      <c r="BJ720" s="3"/>
      <c r="BK720" s="3"/>
      <c r="BL720" s="3"/>
      <c r="BM720" s="3"/>
      <c r="BN720" s="3"/>
      <c r="BS720" s="294">
        <f t="shared" si="13"/>
        <v>1</v>
      </c>
      <c r="BT720" s="297">
        <f t="shared" si="14"/>
        <v>6.7114093959731542E-3</v>
      </c>
      <c r="BU720" s="298">
        <f t="shared" si="15"/>
        <v>4.0278057819896108E-3</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1</v>
      </c>
      <c r="CQ720" s="1461"/>
      <c r="CR720" s="1461"/>
      <c r="CS720" s="1461"/>
      <c r="CT720" s="1462"/>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f t="shared" si="30"/>
        <v>1607</v>
      </c>
      <c r="FA720" s="1467"/>
      <c r="FB720" s="1467"/>
      <c r="FC720" s="1467"/>
      <c r="FD720" s="1466"/>
      <c r="FE720" s="1465" t="str">
        <f t="shared" si="31"/>
        <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 customHeight="1">
      <c r="B721" s="1337" t="s">
        <v>324</v>
      </c>
      <c r="C721" s="1338"/>
      <c r="D721" s="1338"/>
      <c r="E721" s="1338"/>
      <c r="F721" s="1339"/>
      <c r="G721" s="1350">
        <v>8</v>
      </c>
      <c r="H721" s="1351"/>
      <c r="I721" s="1351"/>
      <c r="J721" s="1352"/>
      <c r="K721" s="1343">
        <v>554</v>
      </c>
      <c r="L721" s="1344"/>
      <c r="M721" s="1344"/>
      <c r="N721" s="1345"/>
      <c r="O721" s="1340">
        <v>814</v>
      </c>
      <c r="P721" s="1341"/>
      <c r="Q721" s="1341"/>
      <c r="R721" s="1341"/>
      <c r="S721" s="1342"/>
      <c r="T721" s="1340">
        <v>85</v>
      </c>
      <c r="U721" s="1341"/>
      <c r="V721" s="1341"/>
      <c r="W721" s="1342"/>
      <c r="X721" s="1353">
        <f t="shared" si="8"/>
        <v>899</v>
      </c>
      <c r="Y721" s="1354"/>
      <c r="Z721" s="1354"/>
      <c r="AA721" s="1354"/>
      <c r="AB721" s="1355"/>
      <c r="AC721" s="1360">
        <v>0.3</v>
      </c>
      <c r="AD721" s="1361"/>
      <c r="AE721" s="1361"/>
      <c r="AF721" s="1361"/>
      <c r="AG721" s="1362"/>
      <c r="AH721" s="1356">
        <f t="shared" si="36"/>
        <v>0.3000667556742323</v>
      </c>
      <c r="AI721" s="1357"/>
      <c r="AJ721" s="1358"/>
      <c r="AK721" s="1337" t="s">
        <v>590</v>
      </c>
      <c r="AL721" s="1338"/>
      <c r="AM721" s="1338"/>
      <c r="AN721" s="1338"/>
      <c r="AO721" s="1339"/>
      <c r="AP721" s="3"/>
      <c r="AQ721" s="3"/>
      <c r="AR721" s="3"/>
      <c r="AS721" s="3"/>
      <c r="AY721" s="116"/>
      <c r="AZ721" s="118">
        <f t="shared" si="9"/>
        <v>2996</v>
      </c>
      <c r="BA721" s="3"/>
      <c r="BB721" s="3"/>
      <c r="BC721" s="3"/>
      <c r="BD721" s="3"/>
      <c r="BE721" s="204"/>
      <c r="BF721" s="294">
        <f t="shared" si="10"/>
        <v>8</v>
      </c>
      <c r="BG721" s="297">
        <f t="shared" si="11"/>
        <v>5.3691275167785234E-2</v>
      </c>
      <c r="BH721" s="298">
        <f t="shared" si="12"/>
        <v>1.6107382550335569E-2</v>
      </c>
      <c r="BI721" s="3"/>
      <c r="BJ721" s="3"/>
      <c r="BK721" s="3"/>
      <c r="BL721" s="3"/>
      <c r="BM721" s="3"/>
      <c r="BN721" s="3"/>
      <c r="BS721" s="294">
        <f t="shared" si="13"/>
        <v>8</v>
      </c>
      <c r="BT721" s="297">
        <f t="shared" si="14"/>
        <v>5.3691275167785234E-2</v>
      </c>
      <c r="BU721" s="298">
        <f t="shared" si="15"/>
        <v>1.6110966747609787E-2</v>
      </c>
      <c r="CC721" s="3"/>
      <c r="CD721" s="3"/>
      <c r="CE721" s="3"/>
      <c r="CF721" s="3"/>
      <c r="CG721" s="1465">
        <f t="shared" si="37"/>
        <v>0</v>
      </c>
      <c r="CH721" s="1466"/>
      <c r="CI721" s="1471">
        <f t="shared" si="38"/>
        <v>0</v>
      </c>
      <c r="CJ721" s="1472"/>
      <c r="CK721" s="1465">
        <f t="shared" si="16"/>
        <v>1</v>
      </c>
      <c r="CL721" s="1466"/>
      <c r="CM721" s="1471">
        <f t="shared" si="17"/>
        <v>8</v>
      </c>
      <c r="CN721" s="1472"/>
      <c r="CO721" s="3"/>
      <c r="CP721" s="1460">
        <f t="shared" si="18"/>
        <v>0</v>
      </c>
      <c r="CQ721" s="1461"/>
      <c r="CR721" s="1461"/>
      <c r="CS721" s="1461"/>
      <c r="CT721" s="1462"/>
      <c r="CU721" s="1444">
        <f t="shared" si="19"/>
        <v>8</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8</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f t="shared" si="31"/>
        <v>814</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 customHeight="1">
      <c r="B722" s="1337" t="s">
        <v>324</v>
      </c>
      <c r="C722" s="1338"/>
      <c r="D722" s="1338"/>
      <c r="E722" s="1338"/>
      <c r="F722" s="1339"/>
      <c r="G722" s="1350">
        <v>1</v>
      </c>
      <c r="H722" s="1351"/>
      <c r="I722" s="1351"/>
      <c r="J722" s="1352"/>
      <c r="K722" s="1343">
        <v>554</v>
      </c>
      <c r="L722" s="1344"/>
      <c r="M722" s="1344"/>
      <c r="N722" s="1345"/>
      <c r="O722" s="1340">
        <v>1413</v>
      </c>
      <c r="P722" s="1341"/>
      <c r="Q722" s="1341"/>
      <c r="R722" s="1341"/>
      <c r="S722" s="1342"/>
      <c r="T722" s="1340">
        <v>85</v>
      </c>
      <c r="U722" s="1341"/>
      <c r="V722" s="1341"/>
      <c r="W722" s="1342"/>
      <c r="X722" s="1353">
        <f t="shared" si="8"/>
        <v>1498</v>
      </c>
      <c r="Y722" s="1354"/>
      <c r="Z722" s="1354"/>
      <c r="AA722" s="1354"/>
      <c r="AB722" s="1355"/>
      <c r="AC722" s="1360">
        <v>0.5</v>
      </c>
      <c r="AD722" s="1361"/>
      <c r="AE722" s="1361"/>
      <c r="AF722" s="1361"/>
      <c r="AG722" s="1362"/>
      <c r="AH722" s="1356">
        <f t="shared" si="36"/>
        <v>0.5</v>
      </c>
      <c r="AI722" s="1357"/>
      <c r="AJ722" s="1358"/>
      <c r="AK722" s="1337" t="s">
        <v>590</v>
      </c>
      <c r="AL722" s="1338"/>
      <c r="AM722" s="1338"/>
      <c r="AN722" s="1338"/>
      <c r="AO722" s="1339"/>
      <c r="AP722" s="3"/>
      <c r="AQ722" s="3"/>
      <c r="AR722" s="3"/>
      <c r="AS722" s="3"/>
      <c r="AY722" s="116"/>
      <c r="AZ722" s="118">
        <f t="shared" si="9"/>
        <v>2996</v>
      </c>
      <c r="BA722" s="3"/>
      <c r="BB722" s="3"/>
      <c r="BC722" s="3"/>
      <c r="BD722" s="3"/>
      <c r="BE722" s="204"/>
      <c r="BF722" s="294">
        <f t="shared" si="10"/>
        <v>1</v>
      </c>
      <c r="BG722" s="297">
        <f t="shared" si="11"/>
        <v>6.7114093959731542E-3</v>
      </c>
      <c r="BH722" s="298">
        <f t="shared" si="12"/>
        <v>3.3557046979865771E-3</v>
      </c>
      <c r="BI722" s="3"/>
      <c r="BJ722" s="3"/>
      <c r="BK722" s="3"/>
      <c r="BL722" s="3"/>
      <c r="BM722" s="3"/>
      <c r="BN722" s="3"/>
      <c r="BS722" s="294">
        <f t="shared" si="13"/>
        <v>1</v>
      </c>
      <c r="BT722" s="297">
        <f t="shared" si="14"/>
        <v>6.7114093959731542E-3</v>
      </c>
      <c r="BU722" s="298">
        <f t="shared" si="15"/>
        <v>3.3557046979865771E-3</v>
      </c>
      <c r="CC722" s="3"/>
      <c r="CD722" s="3"/>
      <c r="CE722" s="3"/>
      <c r="CF722" s="3"/>
      <c r="CG722" s="1465">
        <f t="shared" si="37"/>
        <v>1</v>
      </c>
      <c r="CH722" s="1466"/>
      <c r="CI722" s="1471">
        <f t="shared" si="38"/>
        <v>1</v>
      </c>
      <c r="CJ722" s="1472"/>
      <c r="CK722" s="1465">
        <f t="shared" si="16"/>
        <v>0</v>
      </c>
      <c r="CL722" s="1466"/>
      <c r="CM722" s="1471">
        <f t="shared" si="17"/>
        <v>0</v>
      </c>
      <c r="CN722" s="1472"/>
      <c r="CO722" s="3"/>
      <c r="CP722" s="1460">
        <f t="shared" si="18"/>
        <v>0</v>
      </c>
      <c r="CQ722" s="1461"/>
      <c r="CR722" s="1461"/>
      <c r="CS722" s="1461"/>
      <c r="CT722" s="1462"/>
      <c r="CU722" s="1444">
        <f t="shared" si="19"/>
        <v>1</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f t="shared" si="31"/>
        <v>1413</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 customHeight="1">
      <c r="B723" s="1337" t="s">
        <v>324</v>
      </c>
      <c r="C723" s="1338"/>
      <c r="D723" s="1338"/>
      <c r="E723" s="1338"/>
      <c r="F723" s="1339"/>
      <c r="G723" s="1350">
        <v>1</v>
      </c>
      <c r="H723" s="1351"/>
      <c r="I723" s="1351"/>
      <c r="J723" s="1352"/>
      <c r="K723" s="1343">
        <v>554</v>
      </c>
      <c r="L723" s="1344"/>
      <c r="M723" s="1344"/>
      <c r="N723" s="1345"/>
      <c r="O723" s="1340">
        <v>1713</v>
      </c>
      <c r="P723" s="1341"/>
      <c r="Q723" s="1341"/>
      <c r="R723" s="1341"/>
      <c r="S723" s="1342"/>
      <c r="T723" s="1340">
        <v>85</v>
      </c>
      <c r="U723" s="1341"/>
      <c r="V723" s="1341"/>
      <c r="W723" s="1342"/>
      <c r="X723" s="1353">
        <f t="shared" si="8"/>
        <v>1798</v>
      </c>
      <c r="Y723" s="1354"/>
      <c r="Z723" s="1354"/>
      <c r="AA723" s="1354"/>
      <c r="AB723" s="1355"/>
      <c r="AC723" s="1360">
        <v>0.6</v>
      </c>
      <c r="AD723" s="1361"/>
      <c r="AE723" s="1361"/>
      <c r="AF723" s="1361"/>
      <c r="AG723" s="1362"/>
      <c r="AH723" s="1356">
        <f t="shared" si="36"/>
        <v>0.6001335113484646</v>
      </c>
      <c r="AI723" s="1357"/>
      <c r="AJ723" s="1358"/>
      <c r="AK723" s="1337" t="s">
        <v>590</v>
      </c>
      <c r="AL723" s="1338"/>
      <c r="AM723" s="1338"/>
      <c r="AN723" s="1338"/>
      <c r="AO723" s="1339"/>
      <c r="AP723" s="3"/>
      <c r="AQ723" s="3"/>
      <c r="AR723" s="3"/>
      <c r="AS723" s="3"/>
      <c r="AY723" s="116"/>
      <c r="AZ723" s="118">
        <f t="shared" si="9"/>
        <v>2996</v>
      </c>
      <c r="BA723" s="3"/>
      <c r="BB723" s="3"/>
      <c r="BC723" s="3"/>
      <c r="BD723" s="3"/>
      <c r="BE723" s="204"/>
      <c r="BF723" s="294">
        <f t="shared" si="10"/>
        <v>1</v>
      </c>
      <c r="BG723" s="297">
        <f t="shared" si="11"/>
        <v>6.7114093959731542E-3</v>
      </c>
      <c r="BH723" s="298">
        <f t="shared" si="12"/>
        <v>4.0268456375838922E-3</v>
      </c>
      <c r="BI723" s="3"/>
      <c r="BJ723" s="3"/>
      <c r="BK723" s="3"/>
      <c r="BL723" s="3"/>
      <c r="BM723" s="3"/>
      <c r="BN723" s="3"/>
      <c r="BS723" s="294">
        <f t="shared" si="13"/>
        <v>1</v>
      </c>
      <c r="BT723" s="297">
        <f t="shared" si="14"/>
        <v>6.7114093959731542E-3</v>
      </c>
      <c r="BU723" s="298">
        <f t="shared" si="15"/>
        <v>4.0277416869024469E-3</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4">
        <f t="shared" si="19"/>
        <v>1</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f t="shared" si="31"/>
        <v>1713</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 customHeight="1">
      <c r="B724" s="1337" t="s">
        <v>163</v>
      </c>
      <c r="C724" s="1338"/>
      <c r="D724" s="1338"/>
      <c r="E724" s="1338"/>
      <c r="F724" s="1339"/>
      <c r="G724" s="1350">
        <v>33</v>
      </c>
      <c r="H724" s="1351"/>
      <c r="I724" s="1351"/>
      <c r="J724" s="1352"/>
      <c r="K724" s="1343">
        <v>792</v>
      </c>
      <c r="L724" s="1344"/>
      <c r="M724" s="1344"/>
      <c r="N724" s="1345"/>
      <c r="O724" s="1340">
        <v>959</v>
      </c>
      <c r="P724" s="1341"/>
      <c r="Q724" s="1341"/>
      <c r="R724" s="1341"/>
      <c r="S724" s="1342"/>
      <c r="T724" s="1340">
        <v>120</v>
      </c>
      <c r="U724" s="1341"/>
      <c r="V724" s="1341"/>
      <c r="W724" s="1342"/>
      <c r="X724" s="1353">
        <f t="shared" si="8"/>
        <v>1079</v>
      </c>
      <c r="Y724" s="1354"/>
      <c r="Z724" s="1354"/>
      <c r="AA724" s="1354"/>
      <c r="AB724" s="1355"/>
      <c r="AC724" s="1360">
        <v>0.3</v>
      </c>
      <c r="AD724" s="1361"/>
      <c r="AE724" s="1361"/>
      <c r="AF724" s="1361"/>
      <c r="AG724" s="1362"/>
      <c r="AH724" s="1356">
        <f t="shared" si="36"/>
        <v>0.30005561735261399</v>
      </c>
      <c r="AI724" s="1357"/>
      <c r="AJ724" s="1358"/>
      <c r="AK724" s="1337" t="s">
        <v>590</v>
      </c>
      <c r="AL724" s="1338"/>
      <c r="AM724" s="1338"/>
      <c r="AN724" s="1338"/>
      <c r="AO724" s="1339"/>
      <c r="AP724" s="3"/>
      <c r="AQ724" s="3"/>
      <c r="AR724" s="3"/>
      <c r="AS724" s="3"/>
      <c r="AY724" s="116"/>
      <c r="AZ724" s="118">
        <f t="shared" si="9"/>
        <v>3596</v>
      </c>
      <c r="BA724" s="3"/>
      <c r="BB724" s="3"/>
      <c r="BC724" s="3"/>
      <c r="BD724" s="3"/>
      <c r="BE724" s="204"/>
      <c r="BF724" s="294">
        <f t="shared" si="10"/>
        <v>33</v>
      </c>
      <c r="BG724" s="297">
        <f t="shared" si="11"/>
        <v>0.22147651006711411</v>
      </c>
      <c r="BH724" s="298">
        <f t="shared" si="12"/>
        <v>6.6442953020134227E-2</v>
      </c>
      <c r="BI724" s="3"/>
      <c r="BJ724" s="3"/>
      <c r="BK724" s="3"/>
      <c r="BL724" s="3"/>
      <c r="BM724" s="3"/>
      <c r="BN724" s="3"/>
      <c r="BS724" s="294">
        <f t="shared" si="13"/>
        <v>33</v>
      </c>
      <c r="BT724" s="297">
        <f t="shared" si="14"/>
        <v>0.22147651006711411</v>
      </c>
      <c r="BU724" s="298">
        <f t="shared" si="15"/>
        <v>6.6455270957290355E-2</v>
      </c>
      <c r="CC724" s="3"/>
      <c r="CE724" s="3"/>
      <c r="CF724" s="3"/>
      <c r="CG724" s="1465">
        <f t="shared" si="37"/>
        <v>0</v>
      </c>
      <c r="CH724" s="1466"/>
      <c r="CI724" s="1471">
        <f t="shared" si="38"/>
        <v>0</v>
      </c>
      <c r="CJ724" s="1472"/>
      <c r="CK724" s="1465">
        <f t="shared" si="16"/>
        <v>1</v>
      </c>
      <c r="CL724" s="1466"/>
      <c r="CM724" s="1471">
        <f t="shared" si="17"/>
        <v>33</v>
      </c>
      <c r="CN724" s="1472"/>
      <c r="CO724" s="3"/>
      <c r="CP724" s="1460">
        <f t="shared" si="18"/>
        <v>0</v>
      </c>
      <c r="CQ724" s="1461"/>
      <c r="CR724" s="1461"/>
      <c r="CS724" s="1461"/>
      <c r="CT724" s="1462"/>
      <c r="CU724" s="1444">
        <f t="shared" si="19"/>
        <v>0</v>
      </c>
      <c r="CV724" s="1444"/>
      <c r="CW724" s="1444"/>
      <c r="CX724" s="1444"/>
      <c r="CY724" s="1444"/>
      <c r="CZ724" s="1444">
        <f t="shared" si="20"/>
        <v>33</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33</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f t="shared" si="32"/>
        <v>959</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 customHeight="1">
      <c r="B725" s="1337" t="s">
        <v>163</v>
      </c>
      <c r="C725" s="1338"/>
      <c r="D725" s="1338"/>
      <c r="E725" s="1338"/>
      <c r="F725" s="1339"/>
      <c r="G725" s="1350">
        <v>27</v>
      </c>
      <c r="H725" s="1351"/>
      <c r="I725" s="1351"/>
      <c r="J725" s="1352"/>
      <c r="K725" s="1343">
        <v>792</v>
      </c>
      <c r="L725" s="1344"/>
      <c r="M725" s="1344"/>
      <c r="N725" s="1345"/>
      <c r="O725" s="1340">
        <v>1678</v>
      </c>
      <c r="P725" s="1341"/>
      <c r="Q725" s="1341"/>
      <c r="R725" s="1341"/>
      <c r="S725" s="1342"/>
      <c r="T725" s="1340">
        <v>120</v>
      </c>
      <c r="U725" s="1341"/>
      <c r="V725" s="1341"/>
      <c r="W725" s="1342"/>
      <c r="X725" s="1353">
        <f t="shared" si="8"/>
        <v>1798</v>
      </c>
      <c r="Y725" s="1354"/>
      <c r="Z725" s="1354"/>
      <c r="AA725" s="1354"/>
      <c r="AB725" s="1355"/>
      <c r="AC725" s="1360">
        <v>0.5</v>
      </c>
      <c r="AD725" s="1361"/>
      <c r="AE725" s="1361"/>
      <c r="AF725" s="1361"/>
      <c r="AG725" s="1362"/>
      <c r="AH725" s="1356">
        <f t="shared" si="36"/>
        <v>0.5</v>
      </c>
      <c r="AI725" s="1357"/>
      <c r="AJ725" s="1358"/>
      <c r="AK725" s="1337" t="s">
        <v>590</v>
      </c>
      <c r="AL725" s="1338"/>
      <c r="AM725" s="1338"/>
      <c r="AN725" s="1338"/>
      <c r="AO725" s="1339"/>
      <c r="AP725" s="3"/>
      <c r="AQ725" s="3"/>
      <c r="AR725" s="3"/>
      <c r="AS725" s="3"/>
      <c r="AY725" s="1085"/>
      <c r="AZ725" s="118">
        <f t="shared" si="9"/>
        <v>3596</v>
      </c>
      <c r="BA725" s="3"/>
      <c r="BB725" s="3"/>
      <c r="BC725" s="3"/>
      <c r="BD725" s="3"/>
      <c r="BE725" s="204"/>
      <c r="BF725" s="294">
        <f t="shared" si="10"/>
        <v>27</v>
      </c>
      <c r="BG725" s="297">
        <f t="shared" si="11"/>
        <v>0.18120805369127516</v>
      </c>
      <c r="BH725" s="298">
        <f t="shared" si="12"/>
        <v>9.0604026845637578E-2</v>
      </c>
      <c r="BI725" s="3"/>
      <c r="BJ725" s="3"/>
      <c r="BK725" s="3"/>
      <c r="BL725" s="3"/>
      <c r="BM725" s="3"/>
      <c r="BN725" s="3"/>
      <c r="BS725" s="294">
        <f t="shared" si="13"/>
        <v>27</v>
      </c>
      <c r="BT725" s="297">
        <f t="shared" si="14"/>
        <v>0.18120805369127516</v>
      </c>
      <c r="BU725" s="298">
        <f t="shared" si="15"/>
        <v>9.0604026845637578E-2</v>
      </c>
      <c r="BV725" s="292"/>
      <c r="BW725" s="3"/>
      <c r="BX725" s="3"/>
      <c r="BY725" s="3"/>
      <c r="BZ725" s="3"/>
      <c r="CA725" s="3"/>
      <c r="CB725" s="3"/>
      <c r="CC725" s="3"/>
      <c r="CE725" s="3"/>
      <c r="CF725" s="3"/>
      <c r="CG725" s="1465">
        <f t="shared" si="37"/>
        <v>1</v>
      </c>
      <c r="CH725" s="1466"/>
      <c r="CI725" s="1471">
        <f t="shared" si="38"/>
        <v>27</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27</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f t="shared" si="32"/>
        <v>1678</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 customHeight="1">
      <c r="B726" s="1337" t="s">
        <v>163</v>
      </c>
      <c r="C726" s="1338"/>
      <c r="D726" s="1338"/>
      <c r="E726" s="1338"/>
      <c r="F726" s="1339"/>
      <c r="G726" s="1350">
        <v>8</v>
      </c>
      <c r="H726" s="1351"/>
      <c r="I726" s="1351"/>
      <c r="J726" s="1352"/>
      <c r="K726" s="1343">
        <v>792</v>
      </c>
      <c r="L726" s="1344"/>
      <c r="M726" s="1344"/>
      <c r="N726" s="1345"/>
      <c r="O726" s="1340">
        <v>2038</v>
      </c>
      <c r="P726" s="1341"/>
      <c r="Q726" s="1341"/>
      <c r="R726" s="1341"/>
      <c r="S726" s="1342"/>
      <c r="T726" s="1340">
        <v>120</v>
      </c>
      <c r="U726" s="1341"/>
      <c r="V726" s="1341"/>
      <c r="W726" s="1342"/>
      <c r="X726" s="1353">
        <f t="shared" si="8"/>
        <v>2158</v>
      </c>
      <c r="Y726" s="1354"/>
      <c r="Z726" s="1354"/>
      <c r="AA726" s="1354"/>
      <c r="AB726" s="1355"/>
      <c r="AC726" s="1360">
        <v>0.6</v>
      </c>
      <c r="AD726" s="1361"/>
      <c r="AE726" s="1361"/>
      <c r="AF726" s="1361"/>
      <c r="AG726" s="1362"/>
      <c r="AH726" s="1356">
        <f t="shared" si="36"/>
        <v>0.60011123470522798</v>
      </c>
      <c r="AI726" s="1357"/>
      <c r="AJ726" s="1358"/>
      <c r="AK726" s="1337" t="s">
        <v>590</v>
      </c>
      <c r="AL726" s="1338"/>
      <c r="AM726" s="1338"/>
      <c r="AN726" s="1338"/>
      <c r="AO726" s="1339"/>
      <c r="AP726" s="3"/>
      <c r="AQ726" s="3"/>
      <c r="AR726" s="3"/>
      <c r="AS726" s="3"/>
      <c r="AY726" s="1085"/>
      <c r="AZ726" s="118">
        <f t="shared" si="9"/>
        <v>3596</v>
      </c>
      <c r="BA726" s="3"/>
      <c r="BB726" s="3"/>
      <c r="BC726" s="3"/>
      <c r="BD726" s="3"/>
      <c r="BE726" s="204"/>
      <c r="BF726" s="294">
        <f t="shared" si="10"/>
        <v>8</v>
      </c>
      <c r="BG726" s="297">
        <f t="shared" si="11"/>
        <v>5.3691275167785234E-2</v>
      </c>
      <c r="BH726" s="298">
        <f t="shared" si="12"/>
        <v>3.2214765100671137E-2</v>
      </c>
      <c r="BI726" s="3"/>
      <c r="BJ726" s="3"/>
      <c r="BK726" s="3"/>
      <c r="BL726" s="3"/>
      <c r="BM726" s="3"/>
      <c r="BN726" s="3"/>
      <c r="BS726" s="294">
        <f t="shared" si="13"/>
        <v>8</v>
      </c>
      <c r="BT726" s="297">
        <f t="shared" si="14"/>
        <v>5.3691275167785234E-2</v>
      </c>
      <c r="BU726" s="298">
        <f t="shared" si="15"/>
        <v>3.2220737433837743E-2</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4">
        <f t="shared" si="19"/>
        <v>0</v>
      </c>
      <c r="CV726" s="1444"/>
      <c r="CW726" s="1444"/>
      <c r="CX726" s="1444"/>
      <c r="CY726" s="1444"/>
      <c r="CZ726" s="1444">
        <f t="shared" si="20"/>
        <v>8</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f t="shared" si="32"/>
        <v>2038</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 customHeight="1">
      <c r="A727" s="4"/>
      <c r="B727" s="1337" t="s">
        <v>164</v>
      </c>
      <c r="C727" s="1338"/>
      <c r="D727" s="1338"/>
      <c r="E727" s="1338"/>
      <c r="F727" s="1339"/>
      <c r="G727" s="1350">
        <v>13</v>
      </c>
      <c r="H727" s="1351"/>
      <c r="I727" s="1351"/>
      <c r="J727" s="1352"/>
      <c r="K727" s="1343">
        <v>1076</v>
      </c>
      <c r="L727" s="1344"/>
      <c r="M727" s="1344"/>
      <c r="N727" s="1345"/>
      <c r="O727" s="1340">
        <v>1092</v>
      </c>
      <c r="P727" s="1341"/>
      <c r="Q727" s="1341"/>
      <c r="R727" s="1341"/>
      <c r="S727" s="1342"/>
      <c r="T727" s="1340">
        <v>154</v>
      </c>
      <c r="U727" s="1341"/>
      <c r="V727" s="1341"/>
      <c r="W727" s="1342"/>
      <c r="X727" s="1353">
        <f t="shared" si="8"/>
        <v>1246</v>
      </c>
      <c r="Y727" s="1354"/>
      <c r="Z727" s="1354"/>
      <c r="AA727" s="1354"/>
      <c r="AB727" s="1355"/>
      <c r="AC727" s="1360">
        <v>0.3</v>
      </c>
      <c r="AD727" s="1361"/>
      <c r="AE727" s="1361"/>
      <c r="AF727" s="1361"/>
      <c r="AG727" s="1362"/>
      <c r="AH727" s="1356">
        <f t="shared" si="36"/>
        <v>0.29995185363505056</v>
      </c>
      <c r="AI727" s="1357"/>
      <c r="AJ727" s="1358"/>
      <c r="AK727" s="1337" t="s">
        <v>590</v>
      </c>
      <c r="AL727" s="1338"/>
      <c r="AM727" s="1338"/>
      <c r="AN727" s="1338"/>
      <c r="AO727" s="1339"/>
      <c r="AP727" s="3"/>
      <c r="AQ727" s="3"/>
      <c r="AR727" s="3"/>
      <c r="AS727" s="3"/>
      <c r="AY727" s="1085"/>
      <c r="AZ727" s="118">
        <f t="shared" si="9"/>
        <v>4154</v>
      </c>
      <c r="BA727" s="3"/>
      <c r="BB727" s="3"/>
      <c r="BC727" s="3"/>
      <c r="BD727" s="3"/>
      <c r="BE727" s="204"/>
      <c r="BF727" s="294">
        <f t="shared" si="10"/>
        <v>13</v>
      </c>
      <c r="BG727" s="297">
        <f t="shared" si="11"/>
        <v>8.7248322147651006E-2</v>
      </c>
      <c r="BH727" s="298">
        <f t="shared" si="12"/>
        <v>2.61744966442953E-2</v>
      </c>
      <c r="BI727" s="3"/>
      <c r="BJ727" s="3"/>
      <c r="BK727" s="3"/>
      <c r="BL727" s="3"/>
      <c r="BM727" s="3"/>
      <c r="BN727" s="3"/>
      <c r="BS727" s="294">
        <f t="shared" si="13"/>
        <v>13</v>
      </c>
      <c r="BT727" s="297">
        <f t="shared" si="14"/>
        <v>8.7248322147651006E-2</v>
      </c>
      <c r="BU727" s="298">
        <f t="shared" si="15"/>
        <v>2.6170295954735953E-2</v>
      </c>
      <c r="BV727" s="3"/>
      <c r="BW727" s="3"/>
      <c r="BX727" s="3"/>
      <c r="BY727" s="3"/>
      <c r="BZ727" s="3"/>
      <c r="CA727" s="3"/>
      <c r="CB727" s="3"/>
      <c r="CC727" s="3"/>
      <c r="CE727" s="3"/>
      <c r="CF727" s="3"/>
      <c r="CG727" s="1465">
        <f t="shared" si="37"/>
        <v>0</v>
      </c>
      <c r="CH727" s="1466"/>
      <c r="CI727" s="1471">
        <f t="shared" si="38"/>
        <v>0</v>
      </c>
      <c r="CJ727" s="1472"/>
      <c r="CK727" s="1465">
        <f t="shared" si="16"/>
        <v>1</v>
      </c>
      <c r="CL727" s="1466"/>
      <c r="CM727" s="1471">
        <f t="shared" si="17"/>
        <v>13</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13</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13</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f t="shared" si="33"/>
        <v>1092</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 customHeight="1">
      <c r="A728" s="4"/>
      <c r="B728" s="1337" t="s">
        <v>164</v>
      </c>
      <c r="C728" s="1338"/>
      <c r="D728" s="1338"/>
      <c r="E728" s="1338"/>
      <c r="F728" s="1339"/>
      <c r="G728" s="1350">
        <v>29</v>
      </c>
      <c r="H728" s="1351"/>
      <c r="I728" s="1351"/>
      <c r="J728" s="1352"/>
      <c r="K728" s="1343">
        <v>1076</v>
      </c>
      <c r="L728" s="1344"/>
      <c r="M728" s="1344"/>
      <c r="N728" s="1345"/>
      <c r="O728" s="1340">
        <v>1923</v>
      </c>
      <c r="P728" s="1341"/>
      <c r="Q728" s="1341"/>
      <c r="R728" s="1341"/>
      <c r="S728" s="1342"/>
      <c r="T728" s="1340">
        <v>154</v>
      </c>
      <c r="U728" s="1341"/>
      <c r="V728" s="1341"/>
      <c r="W728" s="1342"/>
      <c r="X728" s="1353">
        <f t="shared" si="8"/>
        <v>2077</v>
      </c>
      <c r="Y728" s="1354"/>
      <c r="Z728" s="1354"/>
      <c r="AA728" s="1354"/>
      <c r="AB728" s="1355"/>
      <c r="AC728" s="1360">
        <v>0.5</v>
      </c>
      <c r="AD728" s="1361"/>
      <c r="AE728" s="1361"/>
      <c r="AF728" s="1361"/>
      <c r="AG728" s="1362"/>
      <c r="AH728" s="1356">
        <f t="shared" si="36"/>
        <v>0.5</v>
      </c>
      <c r="AI728" s="1357"/>
      <c r="AJ728" s="1358"/>
      <c r="AK728" s="1337" t="s">
        <v>590</v>
      </c>
      <c r="AL728" s="1338"/>
      <c r="AM728" s="1338"/>
      <c r="AN728" s="1338"/>
      <c r="AO728" s="1339"/>
      <c r="AP728" s="3"/>
      <c r="AQ728" s="3"/>
      <c r="AR728" s="3"/>
      <c r="AS728" s="3"/>
      <c r="AY728" s="1085"/>
      <c r="AZ728" s="118">
        <f t="shared" si="9"/>
        <v>4154</v>
      </c>
      <c r="BA728" s="3"/>
      <c r="BB728" s="3"/>
      <c r="BC728" s="3"/>
      <c r="BD728" s="3"/>
      <c r="BE728" s="204"/>
      <c r="BF728" s="294">
        <f t="shared" si="10"/>
        <v>29</v>
      </c>
      <c r="BG728" s="297">
        <f t="shared" si="11"/>
        <v>0.19463087248322147</v>
      </c>
      <c r="BH728" s="298">
        <f t="shared" si="12"/>
        <v>9.7315436241610737E-2</v>
      </c>
      <c r="BI728" s="3"/>
      <c r="BJ728" s="3"/>
      <c r="BK728" s="3"/>
      <c r="BL728" s="3"/>
      <c r="BM728" s="3"/>
      <c r="BN728" s="3"/>
      <c r="BS728" s="294">
        <f t="shared" si="13"/>
        <v>29</v>
      </c>
      <c r="BT728" s="297">
        <f t="shared" si="14"/>
        <v>0.19463087248322147</v>
      </c>
      <c r="BU728" s="298">
        <f t="shared" si="15"/>
        <v>9.7315436241610737E-2</v>
      </c>
      <c r="BV728" s="3"/>
      <c r="BW728" s="3"/>
      <c r="BX728" s="3"/>
      <c r="BY728" s="3"/>
      <c r="BZ728" s="3"/>
      <c r="CA728" s="3"/>
      <c r="CB728" s="3"/>
      <c r="CC728" s="3"/>
      <c r="CE728" s="3"/>
      <c r="CF728" s="3"/>
      <c r="CG728" s="1465">
        <f t="shared" si="37"/>
        <v>1</v>
      </c>
      <c r="CH728" s="1466"/>
      <c r="CI728" s="1471">
        <f t="shared" si="38"/>
        <v>29</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29</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f t="shared" si="33"/>
        <v>1923</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 customHeight="1">
      <c r="A729" s="4"/>
      <c r="B729" s="1337" t="s">
        <v>164</v>
      </c>
      <c r="C729" s="1338"/>
      <c r="D729" s="1338"/>
      <c r="E729" s="1338"/>
      <c r="F729" s="1339"/>
      <c r="G729" s="1350">
        <v>7</v>
      </c>
      <c r="H729" s="1351"/>
      <c r="I729" s="1351"/>
      <c r="J729" s="1352"/>
      <c r="K729" s="1343">
        <v>1076</v>
      </c>
      <c r="L729" s="1344"/>
      <c r="M729" s="1344"/>
      <c r="N729" s="1345"/>
      <c r="O729" s="1340">
        <v>2339</v>
      </c>
      <c r="P729" s="1341"/>
      <c r="Q729" s="1341"/>
      <c r="R729" s="1341"/>
      <c r="S729" s="1342"/>
      <c r="T729" s="1340">
        <v>154</v>
      </c>
      <c r="U729" s="1341"/>
      <c r="V729" s="1341"/>
      <c r="W729" s="1342"/>
      <c r="X729" s="1353">
        <f t="shared" si="8"/>
        <v>2493</v>
      </c>
      <c r="Y729" s="1354"/>
      <c r="Z729" s="1354"/>
      <c r="AA729" s="1354"/>
      <c r="AB729" s="1355"/>
      <c r="AC729" s="1360">
        <v>0.6</v>
      </c>
      <c r="AD729" s="1361"/>
      <c r="AE729" s="1361"/>
      <c r="AF729" s="1361"/>
      <c r="AG729" s="1362"/>
      <c r="AH729" s="1356">
        <f t="shared" si="36"/>
        <v>0.60014443909484838</v>
      </c>
      <c r="AI729" s="1357"/>
      <c r="AJ729" s="1358"/>
      <c r="AK729" s="1337" t="s">
        <v>590</v>
      </c>
      <c r="AL729" s="1338"/>
      <c r="AM729" s="1338"/>
      <c r="AN729" s="1338"/>
      <c r="AO729" s="1339"/>
      <c r="AP729" s="3"/>
      <c r="AQ729" s="3"/>
      <c r="AR729" s="3"/>
      <c r="AS729" s="3"/>
      <c r="AY729" s="1085"/>
      <c r="AZ729" s="118">
        <f t="shared" si="9"/>
        <v>4154</v>
      </c>
      <c r="BA729" s="3"/>
      <c r="BB729" s="3"/>
      <c r="BC729" s="3"/>
      <c r="BD729" s="3"/>
      <c r="BE729" s="204"/>
      <c r="BF729" s="294">
        <f t="shared" si="10"/>
        <v>7</v>
      </c>
      <c r="BG729" s="297">
        <f t="shared" si="11"/>
        <v>4.6979865771812082E-2</v>
      </c>
      <c r="BH729" s="298">
        <f t="shared" si="12"/>
        <v>2.8187919463087248E-2</v>
      </c>
      <c r="BI729" s="3"/>
      <c r="BJ729" s="3"/>
      <c r="BK729" s="3"/>
      <c r="BL729" s="3"/>
      <c r="BM729" s="3"/>
      <c r="BN729" s="3"/>
      <c r="BS729" s="294">
        <f t="shared" si="13"/>
        <v>7</v>
      </c>
      <c r="BT729" s="297">
        <f t="shared" si="14"/>
        <v>4.6979865771812082E-2</v>
      </c>
      <c r="BU729" s="298">
        <f t="shared" si="15"/>
        <v>2.8194705192375429E-2</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7</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f t="shared" si="33"/>
        <v>2339</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 customHeight="1">
      <c r="A753"/>
      <c r="B753" s="1450" t="s">
        <v>125</v>
      </c>
      <c r="C753" s="1451"/>
      <c r="D753" s="1451"/>
      <c r="E753" s="1451"/>
      <c r="F753" s="1452"/>
      <c r="G753" s="1621">
        <f>SUM(G718:G752)</f>
        <v>149</v>
      </c>
      <c r="H753" s="1622"/>
      <c r="I753" s="1622"/>
      <c r="J753" s="1623"/>
      <c r="K753" s="902" t="s">
        <v>124</v>
      </c>
      <c r="L753" s="5"/>
      <c r="M753" s="5"/>
      <c r="N753" s="46"/>
      <c r="O753" s="1353">
        <f>SUMPRODUCT(G718:G752,O718:O752)</f>
        <v>207525</v>
      </c>
      <c r="P753" s="1354"/>
      <c r="Q753" s="1354"/>
      <c r="R753" s="1354"/>
      <c r="S753" s="1355"/>
      <c r="T753"/>
      <c r="U753"/>
      <c r="V753"/>
      <c r="W753"/>
      <c r="X753" s="904" t="s">
        <v>898</v>
      </c>
      <c r="Y753" s="903"/>
      <c r="Z753" s="903"/>
      <c r="AA753" s="903"/>
      <c r="AB753" s="905"/>
      <c r="AC753" s="1604">
        <f>BH753</f>
        <v>0.41208053691275154</v>
      </c>
      <c r="AD753" s="1605"/>
      <c r="AE753" s="1605"/>
      <c r="AF753" s="1605"/>
      <c r="AG753" s="1606"/>
      <c r="AH753" s="1604">
        <f>IFERROR(BU753,"")</f>
        <v>0.41211645405785891</v>
      </c>
      <c r="AI753" s="1605"/>
      <c r="AJ753" s="1606"/>
      <c r="AK753"/>
      <c r="AL753"/>
      <c r="AM753"/>
      <c r="AN753"/>
      <c r="AO753"/>
      <c r="AP753" s="205"/>
      <c r="AQ753" s="205"/>
      <c r="AR753" s="205"/>
      <c r="AS753" s="205"/>
      <c r="AT753"/>
      <c r="AU753"/>
      <c r="AV753"/>
      <c r="AW753"/>
      <c r="AX753"/>
      <c r="AY753"/>
      <c r="AZ753" s="34"/>
      <c r="BA753" s="34"/>
      <c r="BB753" s="34"/>
      <c r="BC753" s="34"/>
      <c r="BE753" s="290" t="s">
        <v>897</v>
      </c>
      <c r="BF753" s="299">
        <f>SUM(BF718:BF752)</f>
        <v>149</v>
      </c>
      <c r="BG753" s="300">
        <f>SUM(BG718:BG752)</f>
        <v>1</v>
      </c>
      <c r="BH753" s="300">
        <f>SUM(BH718:BH752)</f>
        <v>0.41208053691275154</v>
      </c>
      <c r="BI753"/>
      <c r="BJ753"/>
      <c r="BK753"/>
      <c r="BL753"/>
      <c r="BO753"/>
      <c r="BP753"/>
      <c r="BQ753"/>
      <c r="BR753"/>
      <c r="BS753" s="859">
        <f>SUM(BS718:BS752)</f>
        <v>149</v>
      </c>
      <c r="BT753" s="300">
        <f>SUM(BT718:BT752)</f>
        <v>1</v>
      </c>
      <c r="BU753" s="300">
        <f>SUM(BU718:BU752)</f>
        <v>0.41211645405785891</v>
      </c>
      <c r="CI753" s="1465">
        <f>SUM(CI718:CJ752)</f>
        <v>58</v>
      </c>
      <c r="CJ753" s="1466"/>
      <c r="CM753" s="1465">
        <f>SUM(CM718:CN752)</f>
        <v>74</v>
      </c>
      <c r="CN753" s="1466"/>
      <c r="CP753" s="1465">
        <f>SUM(CP718:CT752)</f>
        <v>22</v>
      </c>
      <c r="CQ753" s="1467"/>
      <c r="CR753" s="1467"/>
      <c r="CS753" s="1467"/>
      <c r="CT753" s="1466"/>
      <c r="CU753" s="1463">
        <f>SUM(CU718:CY752)</f>
        <v>10</v>
      </c>
      <c r="CV753" s="1463"/>
      <c r="CW753" s="1463"/>
      <c r="CX753" s="1463"/>
      <c r="CY753" s="1463"/>
      <c r="CZ753" s="1463">
        <f>SUM(CZ718:DD752)</f>
        <v>68</v>
      </c>
      <c r="DA753" s="1463"/>
      <c r="DB753" s="1463"/>
      <c r="DC753" s="1463"/>
      <c r="DD753" s="1463"/>
      <c r="DE753" s="1463">
        <f>SUM(DE718:DI752)</f>
        <v>49</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20</v>
      </c>
      <c r="DV753" s="1463"/>
      <c r="DW753" s="1463"/>
      <c r="DX753" s="1463"/>
      <c r="DY753" s="1463"/>
      <c r="DZ753" s="1463">
        <f>SUM(DZ718:ED752)</f>
        <v>8</v>
      </c>
      <c r="EA753" s="1463"/>
      <c r="EB753" s="1463"/>
      <c r="EC753" s="1463"/>
      <c r="ED753" s="1463"/>
      <c r="EE753" s="1463">
        <f>SUM(EE718:EI752)</f>
        <v>33</v>
      </c>
      <c r="EF753" s="1463"/>
      <c r="EG753" s="1463"/>
      <c r="EH753" s="1463"/>
      <c r="EI753" s="1463"/>
      <c r="EJ753" s="1463">
        <f>SUM(EJ718:EN752)</f>
        <v>13</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3702</v>
      </c>
      <c r="FA753" s="1463"/>
      <c r="FB753" s="1463"/>
      <c r="FC753" s="1463"/>
      <c r="FD753" s="1463"/>
      <c r="FE753" s="1463">
        <f>SUM(FE718:FI752)</f>
        <v>3940</v>
      </c>
      <c r="FF753" s="1463"/>
      <c r="FG753" s="1463"/>
      <c r="FH753" s="1463"/>
      <c r="FI753" s="1463"/>
      <c r="FJ753" s="1463">
        <f>SUM(FJ718:FN752)</f>
        <v>4675</v>
      </c>
      <c r="FK753" s="1463"/>
      <c r="FL753" s="1463"/>
      <c r="FM753" s="1463"/>
      <c r="FN753" s="1463"/>
      <c r="FO753" s="1463">
        <f>SUM(FO718:FS752)</f>
        <v>5354</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 customHeight="1">
      <c r="A754"/>
      <c r="B754" s="1620" t="s">
        <v>1891</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1858</v>
      </c>
      <c r="DO754" s="1465">
        <f>CP753+CU753+CZ753+DE753+DJ753+DO753</f>
        <v>149</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22</v>
      </c>
      <c r="CU755" s="3"/>
      <c r="CV755" s="3"/>
      <c r="CW755" s="3"/>
      <c r="CX755" s="3"/>
      <c r="CY755" s="861">
        <f>CU753*1</f>
        <v>10</v>
      </c>
      <c r="CZ755" s="3"/>
      <c r="DA755" s="3"/>
      <c r="DB755" s="3"/>
      <c r="DC755" s="3"/>
      <c r="DD755" s="861">
        <f>CZ753*2</f>
        <v>136</v>
      </c>
      <c r="DE755" s="3"/>
      <c r="DF755" s="3"/>
      <c r="DG755" s="3"/>
      <c r="DH755" s="3"/>
      <c r="DI755" s="861">
        <f>DE753*3</f>
        <v>147</v>
      </c>
      <c r="DJ755" s="3"/>
      <c r="DK755" s="3"/>
      <c r="DL755" s="3"/>
      <c r="DM755" s="3"/>
      <c r="DN755" s="861">
        <f>DJ753*4</f>
        <v>0</v>
      </c>
      <c r="DO755" s="3"/>
      <c r="DP755" s="3"/>
      <c r="DQ755" s="3"/>
      <c r="DR755" s="3"/>
      <c r="DS755" s="861">
        <f>DO753*5</f>
        <v>0</v>
      </c>
      <c r="DU755" s="861">
        <f>CT755+CY755+DD755+DI755+DN755+DS755</f>
        <v>315</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463">
        <f>DU755</f>
        <v>315</v>
      </c>
      <c r="P756" s="1463"/>
      <c r="Q756" s="1463"/>
      <c r="R756" s="1463"/>
      <c r="S756" s="969"/>
      <c r="T756" s="969"/>
      <c r="U756" s="118" t="s">
        <v>1890</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388</v>
      </c>
      <c r="K769" s="1364"/>
      <c r="L769" s="1364"/>
      <c r="M769" s="1364"/>
      <c r="N769" s="1365"/>
      <c r="O769" s="1619" t="s">
        <v>284</v>
      </c>
      <c r="P769" s="1619"/>
      <c r="Q769" s="1619"/>
      <c r="R769" s="1619"/>
      <c r="S769" s="1619"/>
      <c r="T769" s="1720" t="s">
        <v>1677</v>
      </c>
      <c r="U769" s="1721"/>
      <c r="V769" s="1721"/>
      <c r="W769" s="1722"/>
      <c r="X769" s="1363" t="s">
        <v>446</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163</v>
      </c>
      <c r="K773" s="1338"/>
      <c r="L773" s="1338"/>
      <c r="M773" s="1338"/>
      <c r="N773" s="1339"/>
      <c r="O773" s="1613">
        <v>1</v>
      </c>
      <c r="P773" s="1613"/>
      <c r="Q773" s="1613"/>
      <c r="R773" s="1613"/>
      <c r="S773" s="1613"/>
      <c r="T773" s="1343">
        <v>792</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2.9" customHeight="1">
      <c r="B779" s="56"/>
      <c r="C779" s="56"/>
      <c r="D779" s="56"/>
      <c r="E779" s="56"/>
      <c r="F779" s="56"/>
      <c r="G779" s="6"/>
      <c r="H779" s="6"/>
      <c r="I779" s="6"/>
      <c r="J779" s="1663" t="s">
        <v>667</v>
      </c>
      <c r="K779" s="1663"/>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388</v>
      </c>
      <c r="K783" s="1364"/>
      <c r="L783" s="1364"/>
      <c r="M783" s="1364"/>
      <c r="N783" s="1365"/>
      <c r="O783" s="1619" t="s">
        <v>284</v>
      </c>
      <c r="P783" s="1619"/>
      <c r="Q783" s="1619"/>
      <c r="R783" s="1619"/>
      <c r="S783" s="1619"/>
      <c r="T783" s="1720" t="s">
        <v>1677</v>
      </c>
      <c r="U783" s="1721"/>
      <c r="V783" s="1721"/>
      <c r="W783" s="1722"/>
      <c r="X783" s="1363" t="s">
        <v>446</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1">
        <f>SUM(DU797:EX797)</f>
        <v>0</v>
      </c>
      <c r="EU799" s="1862"/>
      <c r="EV799" s="1862"/>
      <c r="EW799" s="1862"/>
      <c r="EX799" s="1863"/>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207525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2490300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22</v>
      </c>
      <c r="CQ802" s="1475"/>
      <c r="CR802" s="1475"/>
      <c r="CS802" s="1475"/>
      <c r="CT802" s="1476"/>
      <c r="CU802" s="1474">
        <f>CU753+CU777+CU797</f>
        <v>10</v>
      </c>
      <c r="CV802" s="1475"/>
      <c r="CW802" s="1475"/>
      <c r="CX802" s="1475"/>
      <c r="CY802" s="1476"/>
      <c r="CZ802" s="1474">
        <f>CZ753+CZ777+CZ797</f>
        <v>69</v>
      </c>
      <c r="DA802" s="1475"/>
      <c r="DB802" s="1475"/>
      <c r="DC802" s="1475"/>
      <c r="DD802" s="1476"/>
      <c r="DE802" s="1474">
        <f>DE753+DE777+DE797</f>
        <v>49</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315</v>
      </c>
      <c r="DV802" s="57" t="s">
        <v>1861</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15000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2500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2500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38" t="s">
        <v>2688</v>
      </c>
      <c r="Q816" s="1594"/>
      <c r="R816" s="1594"/>
      <c r="S816" s="1594"/>
      <c r="T816" s="1594"/>
      <c r="U816" s="1594"/>
      <c r="V816" s="1594"/>
      <c r="W816" s="1594"/>
      <c r="X816" s="1594"/>
      <c r="Y816" s="1595"/>
      <c r="Z816" s="1468">
        <v>2500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22500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615">
        <f>Z817+Y801+Z809</f>
        <v>2512800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6" t="s">
        <v>126</v>
      </c>
      <c r="N823" s="1586"/>
      <c r="O823" s="1586"/>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9" t="s">
        <v>40</v>
      </c>
      <c r="D825" s="1359"/>
      <c r="E825" s="1359"/>
      <c r="F825" s="1359"/>
      <c r="G825" s="1359"/>
      <c r="H825" s="1359"/>
      <c r="I825" s="48"/>
      <c r="J825" s="48"/>
      <c r="K825" s="48"/>
      <c r="L825" s="49"/>
      <c r="M825" s="1642">
        <v>25</v>
      </c>
      <c r="N825" s="1642"/>
      <c r="O825" s="1642"/>
      <c r="P825" s="1642"/>
      <c r="Q825" s="1642">
        <v>29</v>
      </c>
      <c r="R825" s="1642"/>
      <c r="S825" s="1642"/>
      <c r="T825" s="1642"/>
      <c r="U825" s="1642">
        <v>37</v>
      </c>
      <c r="V825" s="1642"/>
      <c r="W825" s="1642"/>
      <c r="X825" s="1642"/>
      <c r="Y825" s="1642">
        <v>45</v>
      </c>
      <c r="Z825" s="1642"/>
      <c r="AA825" s="1642"/>
      <c r="AB825" s="1642"/>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5" t="s">
        <v>42</v>
      </c>
      <c r="D827" s="1626"/>
      <c r="E827" s="1626"/>
      <c r="F827" s="1626"/>
      <c r="G827" s="1626"/>
      <c r="H827" s="1626"/>
      <c r="I827" s="60"/>
      <c r="J827" s="60"/>
      <c r="K827" s="60"/>
      <c r="L827" s="61"/>
      <c r="M827" s="1642">
        <v>10</v>
      </c>
      <c r="N827" s="1642"/>
      <c r="O827" s="1642"/>
      <c r="P827" s="1642"/>
      <c r="Q827" s="1642">
        <v>12</v>
      </c>
      <c r="R827" s="1642"/>
      <c r="S827" s="1642"/>
      <c r="T827" s="1642"/>
      <c r="U827" s="1642">
        <v>18</v>
      </c>
      <c r="V827" s="1642"/>
      <c r="W827" s="1642"/>
      <c r="X827" s="1642"/>
      <c r="Y827" s="1642">
        <v>23</v>
      </c>
      <c r="Z827" s="1642"/>
      <c r="AA827" s="1642"/>
      <c r="AB827" s="1642"/>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5" t="s">
        <v>760</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5" t="s">
        <v>458</v>
      </c>
      <c r="D829" s="1626"/>
      <c r="E829" s="1626"/>
      <c r="F829" s="1626"/>
      <c r="G829" s="1626"/>
      <c r="H829" s="1626"/>
      <c r="I829" s="60"/>
      <c r="J829" s="60"/>
      <c r="K829" s="60"/>
      <c r="L829" s="61"/>
      <c r="M829" s="1642">
        <v>30</v>
      </c>
      <c r="N829" s="1642"/>
      <c r="O829" s="1642"/>
      <c r="P829" s="1642"/>
      <c r="Q829" s="1642">
        <v>37</v>
      </c>
      <c r="R829" s="1642"/>
      <c r="S829" s="1642"/>
      <c r="T829" s="1642"/>
      <c r="U829" s="1642">
        <v>55</v>
      </c>
      <c r="V829" s="1642"/>
      <c r="W829" s="1642"/>
      <c r="X829" s="1642"/>
      <c r="Y829" s="1642">
        <v>74</v>
      </c>
      <c r="Z829" s="1642"/>
      <c r="AA829" s="1642"/>
      <c r="AB829" s="1642"/>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781</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538" t="s">
        <v>2710</v>
      </c>
      <c r="G831" s="1594"/>
      <c r="H831" s="1594"/>
      <c r="I831" s="1594"/>
      <c r="J831" s="1594"/>
      <c r="K831" s="1594"/>
      <c r="L831" s="1594"/>
      <c r="M831" s="1642">
        <v>6</v>
      </c>
      <c r="N831" s="1642"/>
      <c r="O831" s="1642"/>
      <c r="P831" s="1642"/>
      <c r="Q831" s="1642">
        <v>7</v>
      </c>
      <c r="R831" s="1642"/>
      <c r="S831" s="1642"/>
      <c r="T831" s="1642"/>
      <c r="U831" s="1642">
        <v>10</v>
      </c>
      <c r="V831" s="1642"/>
      <c r="W831" s="1642"/>
      <c r="X831" s="1642"/>
      <c r="Y831" s="1642">
        <v>12</v>
      </c>
      <c r="Z831" s="1642"/>
      <c r="AA831" s="1642"/>
      <c r="AB831" s="1642"/>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0" t="s">
        <v>124</v>
      </c>
      <c r="D832" s="1451"/>
      <c r="E832" s="1451"/>
      <c r="F832" s="1451"/>
      <c r="G832" s="1451"/>
      <c r="H832" s="1451"/>
      <c r="I832" s="1451"/>
      <c r="J832" s="1451"/>
      <c r="K832" s="1451"/>
      <c r="L832" s="1452"/>
      <c r="M832" s="1636">
        <f>SUM(M825:P831)</f>
        <v>71</v>
      </c>
      <c r="N832" s="1636"/>
      <c r="O832" s="1636"/>
      <c r="P832" s="1636"/>
      <c r="Q832" s="1636">
        <f>SUM(Q825:T831)</f>
        <v>85</v>
      </c>
      <c r="R832" s="1636"/>
      <c r="S832" s="1636"/>
      <c r="T832" s="1636"/>
      <c r="U832" s="1636">
        <f>SUM(U825:X831)</f>
        <v>120</v>
      </c>
      <c r="V832" s="1636"/>
      <c r="W832" s="1636"/>
      <c r="X832" s="1636"/>
      <c r="Y832" s="1636">
        <f>SUM(Y825:AB831)</f>
        <v>154</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t="s">
        <v>2759</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483">
        <v>3300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483">
        <v>2000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483">
        <v>5500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 customHeight="1">
      <c r="J846" s="45" t="s">
        <v>169</v>
      </c>
      <c r="K846" s="5"/>
      <c r="L846" s="5"/>
      <c r="M846" s="1538" t="s">
        <v>2689</v>
      </c>
      <c r="N846" s="1594"/>
      <c r="O846" s="1594"/>
      <c r="P846" s="1594"/>
      <c r="Q846" s="1594"/>
      <c r="R846" s="1594"/>
      <c r="S846" s="1594"/>
      <c r="T846" s="1594"/>
      <c r="U846" s="1594"/>
      <c r="V846" s="1595"/>
      <c r="W846" s="1483">
        <v>18199</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615">
        <f>SUM(W842:W846)</f>
        <v>28999</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8"/>
      <c r="BH848" s="1628"/>
      <c r="BI848" s="1628"/>
      <c r="BJ848" s="1628"/>
      <c r="BK848" s="1628"/>
      <c r="BL848" s="1628"/>
    </row>
    <row r="849" spans="3:55" ht="12.9" customHeight="1">
      <c r="C849" s="2" t="s">
        <v>343</v>
      </c>
      <c r="J849" s="1450" t="s">
        <v>344</v>
      </c>
      <c r="K849" s="1451"/>
      <c r="L849" s="1451"/>
      <c r="M849" s="1451"/>
      <c r="N849" s="1451"/>
      <c r="O849" s="1451"/>
      <c r="P849" s="1451"/>
      <c r="Q849" s="1451"/>
      <c r="R849" s="1451"/>
      <c r="S849" s="1451"/>
      <c r="T849" s="1451"/>
      <c r="U849" s="1451"/>
      <c r="V849" s="1452"/>
      <c r="W849" s="1468">
        <v>94600</v>
      </c>
      <c r="X849" s="1469"/>
      <c r="Y849" s="1469"/>
      <c r="Z849" s="1469"/>
      <c r="AA849" s="1469"/>
      <c r="AB849" s="1469"/>
      <c r="AC849" s="1470"/>
      <c r="AD849" s="533"/>
      <c r="AZ849" s="30"/>
      <c r="BA849" s="30"/>
      <c r="BB849" s="14"/>
      <c r="BC849" s="14"/>
    </row>
    <row r="850" spans="3:55" ht="12.9" customHeight="1">
      <c r="AD850" s="533"/>
      <c r="AZ850" s="30"/>
      <c r="BA850" s="30"/>
      <c r="BB850" s="14"/>
      <c r="BC850" s="14"/>
    </row>
    <row r="851" spans="3:55" ht="12.9" customHeight="1">
      <c r="C851" s="2" t="s">
        <v>560</v>
      </c>
      <c r="J851" s="45" t="s">
        <v>351</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 customHeight="1">
      <c r="J853" s="45" t="s">
        <v>458</v>
      </c>
      <c r="K853" s="5"/>
      <c r="L853" s="5"/>
      <c r="M853" s="5"/>
      <c r="N853" s="5"/>
      <c r="O853" s="5"/>
      <c r="P853" s="5"/>
      <c r="Q853" s="5"/>
      <c r="R853" s="5"/>
      <c r="S853" s="5"/>
      <c r="T853" s="5"/>
      <c r="U853" s="5"/>
      <c r="V853" s="46"/>
      <c r="W853" s="1651">
        <v>105000</v>
      </c>
      <c r="X853" s="1651"/>
      <c r="Y853" s="1651"/>
      <c r="Z853" s="1651"/>
      <c r="AA853" s="1651"/>
      <c r="AB853" s="1651"/>
      <c r="AC853" s="1651"/>
      <c r="AZ853" s="30"/>
      <c r="BA853" s="30"/>
      <c r="BB853" s="14"/>
      <c r="BC853" s="14"/>
    </row>
    <row r="854" spans="3:55" ht="12.9" customHeight="1">
      <c r="J854" s="62" t="s">
        <v>619</v>
      </c>
      <c r="K854" s="5"/>
      <c r="L854" s="5"/>
      <c r="M854" s="5"/>
      <c r="N854" s="5"/>
      <c r="O854" s="5"/>
      <c r="P854" s="5"/>
      <c r="Q854" s="5"/>
      <c r="R854" s="5"/>
      <c r="S854" s="5"/>
      <c r="T854" s="5"/>
      <c r="U854" s="5"/>
      <c r="V854" s="46"/>
      <c r="W854" s="1651">
        <v>156600</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271</v>
      </c>
      <c r="W855" s="1706">
        <f>SUM(W851:W854)</f>
        <v>261600</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345</v>
      </c>
      <c r="J857" s="45" t="s">
        <v>618</v>
      </c>
      <c r="K857" s="5"/>
      <c r="L857" s="5"/>
      <c r="M857" s="5"/>
      <c r="N857" s="5"/>
      <c r="O857" s="5"/>
      <c r="P857" s="5"/>
      <c r="Q857" s="5"/>
      <c r="R857" s="5"/>
      <c r="S857" s="5"/>
      <c r="T857" s="5"/>
      <c r="U857" s="5"/>
      <c r="V857" s="46"/>
      <c r="W857" s="1630">
        <v>72000</v>
      </c>
      <c r="X857" s="1631"/>
      <c r="Y857" s="1631"/>
      <c r="Z857" s="1631"/>
      <c r="AA857" s="1631"/>
      <c r="AB857" s="1631"/>
      <c r="AC857" s="1632"/>
      <c r="AD857" s="528"/>
      <c r="AZ857" s="34"/>
      <c r="BA857" s="34"/>
      <c r="BB857" s="34"/>
      <c r="BC857" s="34"/>
    </row>
    <row r="858" spans="3:55" ht="12.9" customHeight="1">
      <c r="C858" s="2" t="s">
        <v>346</v>
      </c>
      <c r="J858" s="121" t="s">
        <v>1653</v>
      </c>
      <c r="K858" s="5"/>
      <c r="L858" s="5"/>
      <c r="M858" s="5"/>
      <c r="N858" s="5"/>
      <c r="O858" s="5"/>
      <c r="P858" s="5"/>
      <c r="Q858" s="5"/>
      <c r="R858" s="5"/>
      <c r="S858" s="5"/>
      <c r="T858" s="1710">
        <v>2.5</v>
      </c>
      <c r="U858" s="1697"/>
      <c r="V858" s="1711"/>
      <c r="W858" s="874"/>
      <c r="X858" s="875"/>
      <c r="Y858" s="875"/>
      <c r="Z858" s="875"/>
      <c r="AA858" s="875"/>
      <c r="AB858" s="875"/>
      <c r="AC858" s="876"/>
      <c r="AD858" s="528"/>
      <c r="AZ858" s="34"/>
      <c r="BA858" s="34"/>
      <c r="BB858" s="34"/>
      <c r="BC858" s="34"/>
    </row>
    <row r="859" spans="3:55" ht="12.9" customHeight="1">
      <c r="C859" s="2"/>
      <c r="J859" s="45" t="s">
        <v>617</v>
      </c>
      <c r="K859" s="5"/>
      <c r="L859" s="5"/>
      <c r="M859" s="5"/>
      <c r="N859" s="5"/>
      <c r="O859" s="5"/>
      <c r="P859" s="5"/>
      <c r="Q859" s="5"/>
      <c r="R859" s="5"/>
      <c r="S859" s="5"/>
      <c r="T859" s="5"/>
      <c r="U859" s="5"/>
      <c r="V859" s="46"/>
      <c r="W859" s="1630">
        <v>91400</v>
      </c>
      <c r="X859" s="1631"/>
      <c r="Y859" s="1631"/>
      <c r="Z859" s="1631"/>
      <c r="AA859" s="1631"/>
      <c r="AB859" s="1631"/>
      <c r="AC859" s="1632"/>
      <c r="AD859" s="533"/>
      <c r="AZ859" s="34"/>
      <c r="BA859" s="34"/>
      <c r="BB859" s="34"/>
      <c r="BC859" s="34"/>
    </row>
    <row r="860" spans="3:55" ht="12.9" customHeight="1">
      <c r="C860" s="2"/>
      <c r="J860" s="121" t="s">
        <v>1654</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 customHeight="1">
      <c r="J861" s="45" t="s">
        <v>169</v>
      </c>
      <c r="K861" s="5"/>
      <c r="L861" s="5"/>
      <c r="M861" s="1538" t="s">
        <v>2690</v>
      </c>
      <c r="N861" s="1594"/>
      <c r="O861" s="1594"/>
      <c r="P861" s="1594"/>
      <c r="Q861" s="1594"/>
      <c r="R861" s="1594"/>
      <c r="S861" s="1594"/>
      <c r="T861" s="1594"/>
      <c r="U861" s="1594"/>
      <c r="V861" s="1595"/>
      <c r="W861" s="1630">
        <v>39600</v>
      </c>
      <c r="X861" s="1631"/>
      <c r="Y861" s="1631"/>
      <c r="Z861" s="1631"/>
      <c r="AA861" s="1631"/>
      <c r="AB861" s="1631"/>
      <c r="AC861" s="1632"/>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712">
        <f>SUM(W857:W861)</f>
        <v>203000</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30">
        <v>67500</v>
      </c>
      <c r="X863" s="1631"/>
      <c r="Y863" s="1631"/>
      <c r="Z863" s="1631"/>
      <c r="AA863" s="1631"/>
      <c r="AB863" s="1631"/>
      <c r="AC863" s="1632"/>
      <c r="AU863" s="14"/>
      <c r="AZ863" s="34"/>
      <c r="BA863" s="34"/>
      <c r="BB863" s="34"/>
      <c r="BC863" s="34"/>
    </row>
    <row r="864" spans="3:55" ht="12.9" customHeight="1">
      <c r="J864" s="512"/>
      <c r="AU864" s="14"/>
      <c r="AZ864" s="34"/>
      <c r="BA864" s="34"/>
      <c r="BB864" s="34"/>
      <c r="BC864" s="34"/>
    </row>
    <row r="865" spans="3:55" ht="12.9" customHeight="1">
      <c r="C865" s="2" t="s">
        <v>389</v>
      </c>
      <c r="J865" s="45" t="s">
        <v>616</v>
      </c>
      <c r="K865" s="5"/>
      <c r="L865" s="5"/>
      <c r="M865" s="5"/>
      <c r="N865" s="5"/>
      <c r="O865" s="5"/>
      <c r="P865" s="5"/>
      <c r="Q865" s="5"/>
      <c r="R865" s="5"/>
      <c r="S865" s="5"/>
      <c r="T865" s="5"/>
      <c r="U865" s="5"/>
      <c r="V865" s="46"/>
      <c r="W865" s="1483">
        <v>7500</v>
      </c>
      <c r="X865" s="1483"/>
      <c r="Y865" s="1483"/>
      <c r="Z865" s="1483"/>
      <c r="AA865" s="1483"/>
      <c r="AB865" s="1483"/>
      <c r="AC865" s="1483"/>
      <c r="AU865" s="14"/>
      <c r="AZ865" s="34"/>
      <c r="BA865" s="34"/>
      <c r="BB865" s="34"/>
      <c r="BC865" s="34"/>
    </row>
    <row r="866" spans="3:55" ht="12.9" customHeight="1">
      <c r="J866" s="45" t="s">
        <v>521</v>
      </c>
      <c r="K866" s="5"/>
      <c r="L866" s="5"/>
      <c r="M866" s="5"/>
      <c r="N866" s="5"/>
      <c r="O866" s="5"/>
      <c r="P866" s="5"/>
      <c r="Q866" s="5"/>
      <c r="R866" s="5"/>
      <c r="S866" s="5"/>
      <c r="T866" s="5"/>
      <c r="U866" s="5"/>
      <c r="V866" s="46"/>
      <c r="W866" s="1483">
        <v>119500</v>
      </c>
      <c r="X866" s="1483"/>
      <c r="Y866" s="1483"/>
      <c r="Z866" s="1483"/>
      <c r="AA866" s="1483"/>
      <c r="AB866" s="1483"/>
      <c r="AC866" s="1483"/>
      <c r="AU866" s="4"/>
      <c r="AZ866" s="34"/>
      <c r="BA866" s="34"/>
      <c r="BB866" s="34"/>
      <c r="BC866" s="34"/>
    </row>
    <row r="867" spans="3:55" ht="12.9" customHeight="1">
      <c r="J867" s="45" t="s">
        <v>520</v>
      </c>
      <c r="K867" s="5"/>
      <c r="L867" s="5"/>
      <c r="M867" s="5"/>
      <c r="N867" s="5"/>
      <c r="O867" s="5"/>
      <c r="P867" s="5"/>
      <c r="Q867" s="5"/>
      <c r="R867" s="5"/>
      <c r="S867" s="5"/>
      <c r="T867" s="5"/>
      <c r="U867" s="5"/>
      <c r="V867" s="46"/>
      <c r="W867" s="1483">
        <v>78300</v>
      </c>
      <c r="X867" s="1483"/>
      <c r="Y867" s="1483"/>
      <c r="Z867" s="1483"/>
      <c r="AA867" s="1483"/>
      <c r="AB867" s="1483"/>
      <c r="AC867" s="1483"/>
      <c r="AU867" s="4"/>
      <c r="AZ867" s="34"/>
      <c r="BA867" s="34"/>
      <c r="BB867" s="34"/>
      <c r="BC867" s="34"/>
    </row>
    <row r="868" spans="3:55" ht="12.9" customHeight="1">
      <c r="J868" s="45" t="s">
        <v>519</v>
      </c>
      <c r="K868" s="5"/>
      <c r="L868" s="5"/>
      <c r="M868" s="5"/>
      <c r="N868" s="5"/>
      <c r="O868" s="5"/>
      <c r="P868" s="5"/>
      <c r="Q868" s="5"/>
      <c r="R868" s="5"/>
      <c r="S868" s="5"/>
      <c r="T868" s="5"/>
      <c r="U868" s="5"/>
      <c r="V868" s="46"/>
      <c r="W868" s="1483">
        <v>2000</v>
      </c>
      <c r="X868" s="1483"/>
      <c r="Y868" s="1483"/>
      <c r="Z868" s="1483"/>
      <c r="AA868" s="1483"/>
      <c r="AB868" s="1483"/>
      <c r="AC868" s="1483"/>
      <c r="AU868" s="4"/>
      <c r="AZ868" s="34"/>
      <c r="BA868" s="34"/>
      <c r="BB868" s="34"/>
      <c r="BC868" s="34"/>
    </row>
    <row r="869" spans="3:55" ht="12.9" customHeight="1">
      <c r="J869" s="45" t="s">
        <v>518</v>
      </c>
      <c r="K869" s="5"/>
      <c r="L869" s="5"/>
      <c r="M869" s="5"/>
      <c r="N869" s="5"/>
      <c r="O869" s="5"/>
      <c r="P869" s="5"/>
      <c r="Q869" s="5"/>
      <c r="R869" s="5"/>
      <c r="S869" s="5"/>
      <c r="T869" s="5"/>
      <c r="U869" s="5"/>
      <c r="V869" s="46"/>
      <c r="W869" s="1483">
        <v>65300</v>
      </c>
      <c r="X869" s="1483"/>
      <c r="Y869" s="1483"/>
      <c r="Z869" s="1483"/>
      <c r="AA869" s="1483"/>
      <c r="AB869" s="1483"/>
      <c r="AC869" s="1483"/>
      <c r="AU869" s="4"/>
      <c r="AZ869" s="34"/>
      <c r="BA869" s="34"/>
      <c r="BB869" s="34"/>
      <c r="BC869" s="34"/>
    </row>
    <row r="870" spans="3:55" ht="12.9" customHeight="1">
      <c r="J870" s="45" t="s">
        <v>517</v>
      </c>
      <c r="K870" s="5"/>
      <c r="L870" s="5"/>
      <c r="M870" s="5"/>
      <c r="N870" s="5"/>
      <c r="O870" s="5"/>
      <c r="P870" s="5"/>
      <c r="Q870" s="5"/>
      <c r="R870" s="5"/>
      <c r="S870" s="5"/>
      <c r="T870" s="5"/>
      <c r="U870" s="5"/>
      <c r="V870" s="46"/>
      <c r="W870" s="1483">
        <v>3500</v>
      </c>
      <c r="X870" s="1483"/>
      <c r="Y870" s="1483"/>
      <c r="Z870" s="1483"/>
      <c r="AA870" s="1483"/>
      <c r="AB870" s="1483"/>
      <c r="AC870" s="1483"/>
      <c r="AU870" s="4"/>
      <c r="AZ870" s="34"/>
      <c r="BA870" s="34"/>
      <c r="BB870" s="34"/>
      <c r="BC870" s="34"/>
    </row>
    <row r="871" spans="3:55" ht="12.9" customHeight="1">
      <c r="J871" s="45" t="s">
        <v>169</v>
      </c>
      <c r="K871" s="5"/>
      <c r="L871" s="5"/>
      <c r="M871" s="1538" t="s">
        <v>2691</v>
      </c>
      <c r="N871" s="1594"/>
      <c r="O871" s="1594"/>
      <c r="P871" s="1594"/>
      <c r="Q871" s="1594"/>
      <c r="R871" s="1594"/>
      <c r="S871" s="1594"/>
      <c r="T871" s="1594"/>
      <c r="U871" s="1594"/>
      <c r="V871" s="1595"/>
      <c r="W871" s="1483">
        <v>91400</v>
      </c>
      <c r="X871" s="1483"/>
      <c r="Y871" s="1483"/>
      <c r="Z871" s="1483"/>
      <c r="AA871" s="1483"/>
      <c r="AB871" s="1483"/>
      <c r="AC871" s="1483"/>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704">
        <f>SUM(W865:W871)</f>
        <v>367500</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1241</v>
      </c>
      <c r="J874" s="45" t="s">
        <v>169</v>
      </c>
      <c r="K874" s="5"/>
      <c r="L874" s="5"/>
      <c r="M874" s="1538" t="s">
        <v>333</v>
      </c>
      <c r="N874" s="1594"/>
      <c r="O874" s="1594"/>
      <c r="P874" s="1594"/>
      <c r="Q874" s="1594"/>
      <c r="R874" s="1594"/>
      <c r="S874" s="1594"/>
      <c r="T874" s="1594"/>
      <c r="U874" s="1594"/>
      <c r="V874" s="1595"/>
      <c r="W874" s="1468"/>
      <c r="X874" s="1469"/>
      <c r="Y874" s="1469"/>
      <c r="Z874" s="1469"/>
      <c r="AA874" s="1469"/>
      <c r="AB874" s="1469"/>
      <c r="AC874" s="1470"/>
      <c r="AD874" s="533"/>
      <c r="AV874" s="14"/>
      <c r="AW874" s="14"/>
      <c r="AX874" s="14"/>
      <c r="AY874" s="14"/>
      <c r="AZ874" s="34"/>
      <c r="BA874" s="34"/>
      <c r="BB874" s="34"/>
      <c r="BC874" s="34"/>
    </row>
    <row r="875" spans="3:55" ht="12.9" customHeight="1">
      <c r="C875" s="2" t="s">
        <v>1242</v>
      </c>
      <c r="J875" s="45" t="s">
        <v>169</v>
      </c>
      <c r="K875" s="5"/>
      <c r="L875" s="5"/>
      <c r="M875" s="1538" t="s">
        <v>333</v>
      </c>
      <c r="N875" s="1594"/>
      <c r="O875" s="1594"/>
      <c r="P875" s="1594"/>
      <c r="Q875" s="1594"/>
      <c r="R875" s="1594"/>
      <c r="S875" s="1594"/>
      <c r="T875" s="1594"/>
      <c r="U875" s="1594"/>
      <c r="V875" s="1595"/>
      <c r="W875" s="1468"/>
      <c r="X875" s="1469"/>
      <c r="Y875" s="1469"/>
      <c r="Z875" s="1469"/>
      <c r="AA875" s="1469"/>
      <c r="AB875" s="1469"/>
      <c r="AC875" s="1470"/>
      <c r="AD875" s="533"/>
      <c r="AV875" s="14"/>
      <c r="AW875" s="14"/>
      <c r="AX875" s="14"/>
      <c r="AY875" s="14"/>
      <c r="AZ875" s="34"/>
      <c r="BA875" s="34"/>
      <c r="BB875" s="34"/>
      <c r="BC875" s="34"/>
    </row>
    <row r="876" spans="3:55" ht="12.9" customHeight="1">
      <c r="J876" s="45" t="s">
        <v>169</v>
      </c>
      <c r="K876" s="5"/>
      <c r="L876" s="5"/>
      <c r="M876" s="1538" t="s">
        <v>333</v>
      </c>
      <c r="N876" s="1594"/>
      <c r="O876" s="1594"/>
      <c r="P876" s="1594"/>
      <c r="Q876" s="1594"/>
      <c r="R876" s="1594"/>
      <c r="S876" s="1594"/>
      <c r="T876" s="1594"/>
      <c r="U876" s="1594"/>
      <c r="V876" s="1595"/>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538" t="s">
        <v>333</v>
      </c>
      <c r="N877" s="1594"/>
      <c r="O877" s="1594"/>
      <c r="P877" s="1594"/>
      <c r="Q877" s="1594"/>
      <c r="R877" s="1594"/>
      <c r="S877" s="1594"/>
      <c r="T877" s="1594"/>
      <c r="U877" s="1594"/>
      <c r="V877" s="1595"/>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538" t="s">
        <v>333</v>
      </c>
      <c r="N878" s="1594"/>
      <c r="O878" s="1594"/>
      <c r="P878" s="1594"/>
      <c r="Q878" s="1594"/>
      <c r="R878" s="1594"/>
      <c r="S878" s="1594"/>
      <c r="T878" s="1594"/>
      <c r="U878" s="1594"/>
      <c r="V878" s="1595"/>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1023199</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O797+O777+G753</f>
        <v>150</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6821</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717">
        <v>551324</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9">
        <v>20000</v>
      </c>
      <c r="AD888" s="1469"/>
      <c r="AE888" s="1469"/>
      <c r="AF888" s="1469"/>
      <c r="AG888" s="1469"/>
      <c r="AH888" s="1470"/>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75000</v>
      </c>
      <c r="AD889" s="1469"/>
      <c r="AE889" s="1469"/>
      <c r="AF889" s="1469"/>
      <c r="AG889" s="1469"/>
      <c r="AH889" s="1470"/>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7">
        <v>20000</v>
      </c>
      <c r="AD890" s="1478"/>
      <c r="AE890" s="1478"/>
      <c r="AF890" s="1478"/>
      <c r="AG890" s="1478"/>
      <c r="AH890" s="1479"/>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15050</v>
      </c>
      <c r="AD891" s="1469"/>
      <c r="AE891" s="1469"/>
      <c r="AF891" s="1469"/>
      <c r="AG891" s="1469"/>
      <c r="AH891" s="1470"/>
      <c r="AZ891" s="34"/>
      <c r="BA891" s="34"/>
      <c r="BB891" s="34"/>
      <c r="BC891" s="34"/>
    </row>
    <row r="892" spans="3:55" ht="12.9" hidden="1" customHeight="1">
      <c r="C892" s="1450" t="s">
        <v>2230</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9">
        <v>146000</v>
      </c>
      <c r="AD893" s="1469"/>
      <c r="AE893" s="1469"/>
      <c r="AF893" s="1469"/>
      <c r="AG893" s="1469"/>
      <c r="AH893" s="1470"/>
      <c r="AZ893" s="34"/>
      <c r="BA893" s="34"/>
      <c r="BB893" s="34"/>
      <c r="BC893" s="34"/>
    </row>
    <row r="894" spans="3:55" ht="12.9" customHeight="1">
      <c r="C894" s="1633" t="s">
        <v>2692</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3">
        <v>5750</v>
      </c>
      <c r="AD894" s="1483"/>
      <c r="AE894" s="1483"/>
      <c r="AF894" s="1483"/>
      <c r="AG894" s="1483"/>
      <c r="AH894" s="1483"/>
      <c r="AZ894" s="34"/>
      <c r="BA894" s="34"/>
      <c r="BB894" s="34"/>
      <c r="BC894" s="34"/>
    </row>
    <row r="895" spans="3:55" ht="12.9" customHeight="1">
      <c r="C895" s="1633" t="s">
        <v>2711</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3">
        <v>1</v>
      </c>
      <c r="AD895" s="1483"/>
      <c r="AE895" s="1483"/>
      <c r="AF895" s="1483"/>
      <c r="AG895" s="1483"/>
      <c r="AH895" s="1483"/>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612</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29"/>
      <c r="BE899" s="1629"/>
      <c r="BF899" s="14"/>
    </row>
    <row r="900" spans="1:58" ht="12.9"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29"/>
      <c r="BE900" s="1629"/>
      <c r="BF900" s="14"/>
    </row>
    <row r="901" spans="1:58" ht="12.9"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8"/>
      <c r="BE901" s="1628"/>
      <c r="BF901" s="14"/>
    </row>
    <row r="902" spans="1:58" ht="12.9"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8" t="s">
        <v>790</v>
      </c>
      <c r="G915" s="1649"/>
      <c r="H915" s="1649"/>
      <c r="I915" s="1649"/>
      <c r="J915" s="1649"/>
      <c r="K915" s="1649"/>
      <c r="L915" s="1649"/>
      <c r="M915" s="1649"/>
      <c r="N915" s="1649"/>
      <c r="O915" s="1649"/>
      <c r="P915" s="1649"/>
      <c r="Q915" s="1649"/>
      <c r="R915" s="1649"/>
      <c r="S915" s="1649"/>
      <c r="T915" s="1650"/>
      <c r="U915" s="1585" t="s">
        <v>31</v>
      </c>
      <c r="V915" s="1586"/>
      <c r="W915" s="1586"/>
      <c r="X915" s="1586"/>
      <c r="Y915" s="1586"/>
      <c r="Z915" s="1586"/>
      <c r="AA915" s="43"/>
      <c r="AB915" s="105"/>
      <c r="AC915" s="105"/>
      <c r="AD915" s="105"/>
      <c r="AE915" s="105"/>
      <c r="AF915" s="106"/>
      <c r="AZ915" s="34"/>
      <c r="BA915" s="34"/>
      <c r="BB915" s="34"/>
      <c r="BC915" s="34"/>
    </row>
    <row r="916" spans="1:58" ht="12.9" customHeight="1">
      <c r="B916" s="2"/>
      <c r="F916" s="1587" t="s">
        <v>816</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2.9"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7" t="s">
        <v>390</v>
      </c>
      <c r="AC917" s="1637"/>
      <c r="AD917" s="1637"/>
      <c r="AE917" s="1637"/>
      <c r="AF917" s="109"/>
      <c r="AZ917" s="34"/>
      <c r="BA917" s="34"/>
      <c r="BB917" s="34"/>
      <c r="BC917" s="34"/>
    </row>
    <row r="918" spans="1:58" ht="12.9" customHeight="1">
      <c r="B918" s="2"/>
      <c r="F918" s="45" t="s">
        <v>756</v>
      </c>
      <c r="G918" s="48"/>
      <c r="H918" s="48"/>
      <c r="I918" s="48"/>
      <c r="J918" s="48"/>
      <c r="K918" s="48"/>
      <c r="L918" s="48"/>
      <c r="M918" s="48"/>
      <c r="N918" s="48"/>
      <c r="O918" s="48"/>
      <c r="P918" s="48"/>
      <c r="Q918" s="48"/>
      <c r="R918" s="48"/>
      <c r="S918" s="48"/>
      <c r="T918" s="49"/>
      <c r="U918" s="1403" t="s">
        <v>544</v>
      </c>
      <c r="V918" s="1404"/>
      <c r="W918" s="1404"/>
      <c r="X918" s="1404"/>
      <c r="Y918" s="1404"/>
      <c r="Z918" s="1405"/>
      <c r="AA918" s="1409">
        <v>30000000</v>
      </c>
      <c r="AB918" s="1410"/>
      <c r="AC918" s="1410"/>
      <c r="AD918" s="1410"/>
      <c r="AE918" s="1410"/>
      <c r="AF918" s="1411"/>
      <c r="AZ918" s="34"/>
      <c r="BA918" s="34"/>
      <c r="BB918" s="34"/>
      <c r="BC918" s="34"/>
    </row>
    <row r="919" spans="1:58" ht="12.9" customHeight="1">
      <c r="B919" s="2"/>
      <c r="F919" s="66" t="s">
        <v>673</v>
      </c>
      <c r="G919" s="48"/>
      <c r="H919" s="48"/>
      <c r="I919" s="48"/>
      <c r="J919" s="48"/>
      <c r="K919" s="48"/>
      <c r="L919" s="48"/>
      <c r="M919" s="48"/>
      <c r="N919" s="48"/>
      <c r="O919" s="48"/>
      <c r="P919" s="48"/>
      <c r="Q919" s="48"/>
      <c r="R919" s="48"/>
      <c r="S919" s="48"/>
      <c r="T919" s="49"/>
      <c r="U919" s="1403" t="s">
        <v>544</v>
      </c>
      <c r="V919" s="1404"/>
      <c r="W919" s="1404"/>
      <c r="X919" s="1404"/>
      <c r="Y919" s="1404"/>
      <c r="Z919" s="1405"/>
      <c r="AA919" s="1409">
        <v>53740039</v>
      </c>
      <c r="AB919" s="1410"/>
      <c r="AC919" s="1410"/>
      <c r="AD919" s="1410"/>
      <c r="AE919" s="1410"/>
      <c r="AF919" s="1411"/>
      <c r="AZ919" s="34"/>
      <c r="BA919" s="34"/>
      <c r="BB919" s="34"/>
      <c r="BC919" s="34"/>
    </row>
    <row r="920" spans="1:58" ht="12.9" customHeight="1">
      <c r="F920" s="45" t="s">
        <v>799</v>
      </c>
      <c r="G920" s="5"/>
      <c r="H920" s="5"/>
      <c r="I920" s="5"/>
      <c r="J920" s="5"/>
      <c r="K920" s="5"/>
      <c r="L920" s="5"/>
      <c r="M920" s="5"/>
      <c r="N920" s="5"/>
      <c r="O920" s="5"/>
      <c r="P920" s="5"/>
      <c r="Q920" s="5"/>
      <c r="R920" s="5"/>
      <c r="S920" s="5"/>
      <c r="T920" s="46"/>
      <c r="U920" s="1403" t="s">
        <v>590</v>
      </c>
      <c r="V920" s="1404"/>
      <c r="W920" s="1404"/>
      <c r="X920" s="1404"/>
      <c r="Y920" s="1404"/>
      <c r="Z920" s="1405"/>
      <c r="AA920" s="1409"/>
      <c r="AB920" s="1410"/>
      <c r="AC920" s="1410"/>
      <c r="AD920" s="1410"/>
      <c r="AE920" s="1410"/>
      <c r="AF920" s="1411"/>
      <c r="AZ920" s="34"/>
      <c r="BA920" s="34"/>
      <c r="BB920" s="34"/>
      <c r="BC920" s="34"/>
    </row>
    <row r="921" spans="1:58" ht="12.9" customHeight="1">
      <c r="F921" s="45" t="s">
        <v>676</v>
      </c>
      <c r="G921" s="5"/>
      <c r="H921" s="5"/>
      <c r="I921" s="5"/>
      <c r="J921" s="5"/>
      <c r="K921" s="5"/>
      <c r="L921" s="5"/>
      <c r="M921" s="5"/>
      <c r="N921" s="5"/>
      <c r="O921" s="5"/>
      <c r="P921" s="5"/>
      <c r="Q921" s="5"/>
      <c r="R921" s="5"/>
      <c r="S921" s="5"/>
      <c r="T921" s="46"/>
      <c r="U921" s="1403" t="s">
        <v>590</v>
      </c>
      <c r="V921" s="1404"/>
      <c r="W921" s="1404"/>
      <c r="X921" s="1404"/>
      <c r="Y921" s="1404"/>
      <c r="Z921" s="1405"/>
      <c r="AA921" s="1409"/>
      <c r="AB921" s="1410"/>
      <c r="AC921" s="1410"/>
      <c r="AD921" s="1410"/>
      <c r="AE921" s="1410"/>
      <c r="AF921" s="1411"/>
      <c r="AZ921" s="34"/>
      <c r="BA921" s="34"/>
      <c r="BB921" s="34"/>
      <c r="BC921" s="34"/>
    </row>
    <row r="922" spans="1:58" ht="12.9" customHeight="1">
      <c r="F922" s="66" t="s">
        <v>784</v>
      </c>
      <c r="G922" s="5"/>
      <c r="H922" s="5"/>
      <c r="I922" s="5"/>
      <c r="J922" s="5"/>
      <c r="K922" s="5"/>
      <c r="L922" s="5"/>
      <c r="M922" s="5"/>
      <c r="N922" s="5"/>
      <c r="O922" s="5"/>
      <c r="P922" s="5"/>
      <c r="Q922" s="5"/>
      <c r="R922" s="5"/>
      <c r="S922" s="5"/>
      <c r="T922" s="46"/>
      <c r="U922" s="1403" t="s">
        <v>590</v>
      </c>
      <c r="V922" s="1404"/>
      <c r="W922" s="1404"/>
      <c r="X922" s="1404"/>
      <c r="Y922" s="1404"/>
      <c r="Z922" s="1405"/>
      <c r="AA922" s="1409"/>
      <c r="AB922" s="1410"/>
      <c r="AC922" s="1410"/>
      <c r="AD922" s="1410"/>
      <c r="AE922" s="1410"/>
      <c r="AF922" s="1411"/>
      <c r="AZ922" s="34"/>
      <c r="BA922" s="34"/>
      <c r="BB922" s="34"/>
      <c r="BC922" s="34"/>
    </row>
    <row r="923" spans="1:58" ht="12.9" customHeight="1">
      <c r="F923" s="66" t="s">
        <v>785</v>
      </c>
      <c r="G923" s="5"/>
      <c r="H923" s="5"/>
      <c r="I923" s="5"/>
      <c r="J923" s="5"/>
      <c r="K923" s="5"/>
      <c r="L923" s="5"/>
      <c r="M923" s="5"/>
      <c r="N923" s="5"/>
      <c r="O923" s="5"/>
      <c r="P923" s="5"/>
      <c r="Q923" s="5"/>
      <c r="R923" s="5"/>
      <c r="S923" s="5"/>
      <c r="T923" s="46"/>
      <c r="U923" s="1403" t="s">
        <v>590</v>
      </c>
      <c r="V923" s="1404"/>
      <c r="W923" s="1404"/>
      <c r="X923" s="1404"/>
      <c r="Y923" s="1404"/>
      <c r="Z923" s="1405"/>
      <c r="AA923" s="1409"/>
      <c r="AB923" s="1410"/>
      <c r="AC923" s="1410"/>
      <c r="AD923" s="1410"/>
      <c r="AE923" s="1410"/>
      <c r="AF923" s="1411"/>
      <c r="AZ923" s="34"/>
      <c r="BA923" s="34"/>
      <c r="BB923" s="34"/>
      <c r="BC923" s="34"/>
    </row>
    <row r="924" spans="1:58" ht="12.9" customHeight="1">
      <c r="F924" s="66" t="s">
        <v>786</v>
      </c>
      <c r="G924" s="5"/>
      <c r="H924" s="5"/>
      <c r="I924" s="5"/>
      <c r="J924" s="5"/>
      <c r="K924" s="5"/>
      <c r="L924" s="5"/>
      <c r="M924" s="5"/>
      <c r="N924" s="5"/>
      <c r="O924" s="5"/>
      <c r="P924" s="5"/>
      <c r="Q924" s="5"/>
      <c r="R924" s="5"/>
      <c r="S924" s="5"/>
      <c r="T924" s="46"/>
      <c r="U924" s="1403" t="s">
        <v>590</v>
      </c>
      <c r="V924" s="1404"/>
      <c r="W924" s="1404"/>
      <c r="X924" s="1404"/>
      <c r="Y924" s="1404"/>
      <c r="Z924" s="1405"/>
      <c r="AA924" s="1409"/>
      <c r="AB924" s="1410"/>
      <c r="AC924" s="1410"/>
      <c r="AD924" s="1410"/>
      <c r="AE924" s="1410"/>
      <c r="AF924" s="1411"/>
      <c r="AZ924" s="34"/>
      <c r="BA924" s="34"/>
      <c r="BB924" s="34"/>
      <c r="BC924" s="34"/>
    </row>
    <row r="925" spans="1:58" ht="12.9" customHeight="1">
      <c r="F925" s="45" t="s">
        <v>675</v>
      </c>
      <c r="G925" s="5"/>
      <c r="H925" s="5"/>
      <c r="I925" s="5"/>
      <c r="J925" s="5"/>
      <c r="K925" s="5"/>
      <c r="L925" s="5"/>
      <c r="M925" s="5"/>
      <c r="N925" s="5"/>
      <c r="O925" s="5"/>
      <c r="P925" s="5"/>
      <c r="Q925" s="5"/>
      <c r="R925" s="5"/>
      <c r="S925" s="5"/>
      <c r="T925" s="46"/>
      <c r="U925" s="1403" t="s">
        <v>590</v>
      </c>
      <c r="V925" s="1404"/>
      <c r="W925" s="1404"/>
      <c r="X925" s="1404"/>
      <c r="Y925" s="1404"/>
      <c r="Z925" s="1405"/>
      <c r="AA925" s="1409"/>
      <c r="AB925" s="1410"/>
      <c r="AC925" s="1410"/>
      <c r="AD925" s="1410"/>
      <c r="AE925" s="1410"/>
      <c r="AF925" s="1411"/>
      <c r="AZ925" s="34"/>
      <c r="BA925" s="34"/>
      <c r="BB925" s="34"/>
      <c r="BC925" s="34"/>
    </row>
    <row r="926" spans="1:58" ht="12.9" customHeight="1">
      <c r="F926" s="1601" t="s">
        <v>2190</v>
      </c>
      <c r="G926" s="1602"/>
      <c r="H926" s="1602"/>
      <c r="I926" s="1602"/>
      <c r="J926" s="1602"/>
      <c r="K926" s="1602"/>
      <c r="L926" s="1602"/>
      <c r="M926" s="1602"/>
      <c r="N926" s="1602"/>
      <c r="O926" s="1602"/>
      <c r="P926" s="1602"/>
      <c r="Q926" s="1602"/>
      <c r="R926" s="1602"/>
      <c r="S926" s="1602"/>
      <c r="T926" s="1603"/>
      <c r="U926" s="1403" t="s">
        <v>590</v>
      </c>
      <c r="V926" s="1404"/>
      <c r="W926" s="1404"/>
      <c r="X926" s="1404"/>
      <c r="Y926" s="1404"/>
      <c r="Z926" s="1405"/>
      <c r="AA926" s="1409"/>
      <c r="AB926" s="1410"/>
      <c r="AC926" s="1410"/>
      <c r="AD926" s="1410"/>
      <c r="AE926" s="1410"/>
      <c r="AF926" s="1411"/>
      <c r="AZ926" s="34"/>
      <c r="BA926" s="34"/>
      <c r="BB926" s="34"/>
      <c r="BC926" s="34"/>
    </row>
    <row r="927" spans="1:58" ht="12.9" customHeight="1">
      <c r="F927" s="1601" t="s">
        <v>677</v>
      </c>
      <c r="G927" s="1602"/>
      <c r="H927" s="1602"/>
      <c r="I927" s="1602"/>
      <c r="J927" s="1602"/>
      <c r="K927" s="1602"/>
      <c r="L927" s="1602"/>
      <c r="M927" s="1602"/>
      <c r="N927" s="1602"/>
      <c r="O927" s="1602"/>
      <c r="P927" s="1602"/>
      <c r="Q927" s="1602"/>
      <c r="R927" s="1602"/>
      <c r="S927" s="1602"/>
      <c r="T927" s="1603"/>
      <c r="U927" s="1403" t="s">
        <v>590</v>
      </c>
      <c r="V927" s="1404"/>
      <c r="W927" s="1404"/>
      <c r="X927" s="1404"/>
      <c r="Y927" s="1404"/>
      <c r="Z927" s="1405"/>
      <c r="AA927" s="1409"/>
      <c r="AB927" s="1410"/>
      <c r="AC927" s="1410"/>
      <c r="AD927" s="1410"/>
      <c r="AE927" s="1410"/>
      <c r="AF927" s="1411"/>
      <c r="AU927" s="2"/>
      <c r="AZ927" s="34"/>
      <c r="BA927" s="34"/>
      <c r="BB927" s="34"/>
      <c r="BC927" s="34"/>
    </row>
    <row r="928" spans="1:58" ht="12.9" customHeight="1">
      <c r="F928" s="1601" t="s">
        <v>2191</v>
      </c>
      <c r="G928" s="1602"/>
      <c r="H928" s="1602"/>
      <c r="I928" s="1602"/>
      <c r="J928" s="1602"/>
      <c r="K928" s="1602"/>
      <c r="L928" s="1602"/>
      <c r="M928" s="1602"/>
      <c r="N928" s="1602"/>
      <c r="O928" s="1602"/>
      <c r="P928" s="1602"/>
      <c r="Q928" s="1602"/>
      <c r="R928" s="1602"/>
      <c r="S928" s="1602"/>
      <c r="T928" s="1603"/>
      <c r="U928" s="1403" t="s">
        <v>590</v>
      </c>
      <c r="V928" s="1404"/>
      <c r="W928" s="1404"/>
      <c r="X928" s="1404"/>
      <c r="Y928" s="1404"/>
      <c r="Z928" s="1405"/>
      <c r="AA928" s="1409"/>
      <c r="AB928" s="1410"/>
      <c r="AC928" s="1410"/>
      <c r="AD928" s="1410"/>
      <c r="AE928" s="1410"/>
      <c r="AF928" s="1411"/>
      <c r="AU928" s="2"/>
      <c r="AZ928" s="34"/>
      <c r="BA928" s="34"/>
      <c r="BB928" s="34"/>
      <c r="BC928" s="34"/>
    </row>
    <row r="929" spans="6:55" ht="12.9" customHeight="1">
      <c r="F929" s="1601" t="s">
        <v>2192</v>
      </c>
      <c r="G929" s="1602"/>
      <c r="H929" s="1602"/>
      <c r="I929" s="1602"/>
      <c r="J929" s="1602"/>
      <c r="K929" s="1602"/>
      <c r="L929" s="1602"/>
      <c r="M929" s="1602"/>
      <c r="N929" s="1602"/>
      <c r="O929" s="1602"/>
      <c r="P929" s="1602"/>
      <c r="Q929" s="1602"/>
      <c r="R929" s="1602"/>
      <c r="S929" s="1602"/>
      <c r="T929" s="1603"/>
      <c r="U929" s="1403" t="s">
        <v>590</v>
      </c>
      <c r="V929" s="1404"/>
      <c r="W929" s="1404"/>
      <c r="X929" s="1404"/>
      <c r="Y929" s="1404"/>
      <c r="Z929" s="1405"/>
      <c r="AA929" s="1409"/>
      <c r="AB929" s="1410"/>
      <c r="AC929" s="1410"/>
      <c r="AD929" s="1410"/>
      <c r="AE929" s="1410"/>
      <c r="AF929" s="1411"/>
      <c r="AU929" s="2"/>
      <c r="AZ929" s="34"/>
      <c r="BA929" s="34"/>
      <c r="BB929" s="34"/>
      <c r="BC929" s="34"/>
    </row>
    <row r="930" spans="6:55" ht="12.9" customHeight="1">
      <c r="F930" s="1601" t="s">
        <v>2193</v>
      </c>
      <c r="G930" s="1602"/>
      <c r="H930" s="1602"/>
      <c r="I930" s="1602"/>
      <c r="J930" s="1602"/>
      <c r="K930" s="1602"/>
      <c r="L930" s="1602"/>
      <c r="M930" s="1602"/>
      <c r="N930" s="1602"/>
      <c r="O930" s="1602"/>
      <c r="P930" s="1602"/>
      <c r="Q930" s="1602"/>
      <c r="R930" s="1602"/>
      <c r="S930" s="1602"/>
      <c r="T930" s="1603"/>
      <c r="U930" s="1403" t="s">
        <v>590</v>
      </c>
      <c r="V930" s="1404"/>
      <c r="W930" s="1404"/>
      <c r="X930" s="1404"/>
      <c r="Y930" s="1404"/>
      <c r="Z930" s="1405"/>
      <c r="AA930" s="1409"/>
      <c r="AB930" s="1410"/>
      <c r="AC930" s="1410"/>
      <c r="AD930" s="1410"/>
      <c r="AE930" s="1410"/>
      <c r="AF930" s="1411"/>
      <c r="AU930" s="2"/>
      <c r="AZ930" s="34"/>
      <c r="BA930" s="34"/>
      <c r="BB930" s="34"/>
      <c r="BC930" s="34"/>
    </row>
    <row r="931" spans="6:55" ht="12.9" customHeight="1">
      <c r="F931" s="1601" t="s">
        <v>2194</v>
      </c>
      <c r="G931" s="1602"/>
      <c r="H931" s="1602"/>
      <c r="I931" s="1602"/>
      <c r="J931" s="1602"/>
      <c r="K931" s="1602"/>
      <c r="L931" s="1602"/>
      <c r="M931" s="1602"/>
      <c r="N931" s="1602"/>
      <c r="O931" s="1602"/>
      <c r="P931" s="1602"/>
      <c r="Q931" s="1602"/>
      <c r="R931" s="1602"/>
      <c r="S931" s="1602"/>
      <c r="T931" s="1603"/>
      <c r="U931" s="1403" t="s">
        <v>544</v>
      </c>
      <c r="V931" s="1404"/>
      <c r="W931" s="1404"/>
      <c r="X931" s="1404"/>
      <c r="Y931" s="1404"/>
      <c r="Z931" s="1405"/>
      <c r="AA931" s="1409">
        <v>27813000</v>
      </c>
      <c r="AB931" s="1410"/>
      <c r="AC931" s="1410"/>
      <c r="AD931" s="1410"/>
      <c r="AE931" s="1410"/>
      <c r="AF931" s="1411"/>
      <c r="AU931" s="2"/>
      <c r="AZ931" s="34"/>
      <c r="BA931" s="34"/>
      <c r="BB931" s="34"/>
      <c r="BC931" s="34"/>
    </row>
    <row r="932" spans="6:55" ht="12.9" customHeight="1">
      <c r="F932" s="1601" t="s">
        <v>2195</v>
      </c>
      <c r="G932" s="1602"/>
      <c r="H932" s="1602"/>
      <c r="I932" s="1602"/>
      <c r="J932" s="1602"/>
      <c r="K932" s="1602"/>
      <c r="L932" s="1602"/>
      <c r="M932" s="1602"/>
      <c r="N932" s="1602"/>
      <c r="O932" s="1602"/>
      <c r="P932" s="1602"/>
      <c r="Q932" s="1602"/>
      <c r="R932" s="1602"/>
      <c r="S932" s="1602"/>
      <c r="T932" s="1603"/>
      <c r="U932" s="1403" t="s">
        <v>590</v>
      </c>
      <c r="V932" s="1404"/>
      <c r="W932" s="1404"/>
      <c r="X932" s="1404"/>
      <c r="Y932" s="1404"/>
      <c r="Z932" s="1405"/>
      <c r="AA932" s="1409"/>
      <c r="AB932" s="1410"/>
      <c r="AC932" s="1410"/>
      <c r="AD932" s="1410"/>
      <c r="AE932" s="1410"/>
      <c r="AF932" s="1411"/>
      <c r="AZ932" s="30"/>
      <c r="BA932" s="30"/>
    </row>
    <row r="933" spans="6:55" ht="12.9" customHeight="1">
      <c r="F933" s="178" t="s">
        <v>674</v>
      </c>
      <c r="G933" s="5"/>
      <c r="H933" s="5"/>
      <c r="I933" s="5"/>
      <c r="J933" s="5"/>
      <c r="K933" s="5"/>
      <c r="L933" s="5"/>
      <c r="M933" s="5"/>
      <c r="N933" s="5"/>
      <c r="O933" s="5"/>
      <c r="P933" s="5"/>
      <c r="Q933" s="5"/>
      <c r="R933" s="5"/>
      <c r="S933" s="5"/>
      <c r="T933" s="46"/>
      <c r="U933" s="1403" t="s">
        <v>590</v>
      </c>
      <c r="V933" s="1404"/>
      <c r="W933" s="1404"/>
      <c r="X933" s="1404"/>
      <c r="Y933" s="1404"/>
      <c r="Z933" s="1405"/>
      <c r="AA933" s="1409"/>
      <c r="AB933" s="1410"/>
      <c r="AC933" s="1410"/>
      <c r="AD933" s="1410"/>
      <c r="AE933" s="1410"/>
      <c r="AF933" s="1411"/>
    </row>
    <row r="934" spans="6:55" ht="12.9" customHeight="1">
      <c r="F934" s="121" t="s">
        <v>1275</v>
      </c>
      <c r="G934" s="5"/>
      <c r="H934" s="5"/>
      <c r="I934" s="5"/>
      <c r="J934" s="5"/>
      <c r="K934" s="5"/>
      <c r="L934" s="5"/>
      <c r="M934" s="5"/>
      <c r="N934" s="5"/>
      <c r="O934" s="5"/>
      <c r="P934" s="5"/>
      <c r="Q934" s="5"/>
      <c r="R934" s="5"/>
      <c r="S934" s="5"/>
      <c r="T934" s="46"/>
      <c r="U934" s="1403" t="s">
        <v>590</v>
      </c>
      <c r="V934" s="1404"/>
      <c r="W934" s="1404"/>
      <c r="X934" s="1404"/>
      <c r="Y934" s="1404"/>
      <c r="Z934" s="1405"/>
      <c r="AA934" s="1409"/>
      <c r="AB934" s="1410"/>
      <c r="AC934" s="1410"/>
      <c r="AD934" s="1410"/>
      <c r="AE934" s="1410"/>
      <c r="AF934" s="1411"/>
      <c r="AZ934" s="30"/>
      <c r="BA934" s="14"/>
    </row>
    <row r="935" spans="6:55" ht="12.9" customHeight="1">
      <c r="F935" s="66" t="s">
        <v>800</v>
      </c>
      <c r="G935" s="5"/>
      <c r="H935" s="5"/>
      <c r="I935" s="5"/>
      <c r="J935" s="5"/>
      <c r="K935" s="5"/>
      <c r="L935" s="5"/>
      <c r="M935" s="5"/>
      <c r="N935" s="5"/>
      <c r="O935" s="5"/>
      <c r="P935" s="5"/>
      <c r="Q935" s="5"/>
      <c r="R935" s="5"/>
      <c r="S935" s="5"/>
      <c r="T935" s="46"/>
      <c r="U935" s="1403" t="s">
        <v>590</v>
      </c>
      <c r="V935" s="1404"/>
      <c r="W935" s="1404"/>
      <c r="X935" s="1404"/>
      <c r="Y935" s="1404"/>
      <c r="Z935" s="1405"/>
      <c r="AA935" s="1409"/>
      <c r="AB935" s="1410"/>
      <c r="AC935" s="1410"/>
      <c r="AD935" s="1410"/>
      <c r="AE935" s="1410"/>
      <c r="AF935" s="1411"/>
      <c r="AZ935" s="30"/>
      <c r="BA935" s="14"/>
    </row>
    <row r="936" spans="6:55" ht="12.9" customHeight="1">
      <c r="F936" s="1639" t="s">
        <v>2199</v>
      </c>
      <c r="G936" s="1640"/>
      <c r="H936" s="1640"/>
      <c r="I936" s="1640"/>
      <c r="J936" s="1640"/>
      <c r="K936" s="1640"/>
      <c r="L936" s="1640"/>
      <c r="M936" s="1640"/>
      <c r="N936" s="1640"/>
      <c r="O936" s="1640"/>
      <c r="P936" s="1640"/>
      <c r="Q936" s="1640"/>
      <c r="R936" s="1640"/>
      <c r="S936" s="1640"/>
      <c r="T936" s="1641"/>
      <c r="U936" s="1403" t="s">
        <v>590</v>
      </c>
      <c r="V936" s="1404"/>
      <c r="W936" s="1404"/>
      <c r="X936" s="1404"/>
      <c r="Y936" s="1404"/>
      <c r="Z936" s="1405"/>
      <c r="AA936" s="1409"/>
      <c r="AB936" s="1410"/>
      <c r="AC936" s="1410"/>
      <c r="AD936" s="1410"/>
      <c r="AE936" s="1410"/>
      <c r="AF936" s="1411"/>
      <c r="AZ936" s="30"/>
      <c r="BA936" s="14"/>
    </row>
    <row r="937" spans="6:55" ht="12.9" customHeight="1">
      <c r="F937" s="1639" t="s">
        <v>2200</v>
      </c>
      <c r="G937" s="1640"/>
      <c r="H937" s="1640"/>
      <c r="I937" s="1640"/>
      <c r="J937" s="1640"/>
      <c r="K937" s="1640"/>
      <c r="L937" s="1640"/>
      <c r="M937" s="1640"/>
      <c r="N937" s="1640"/>
      <c r="O937" s="1640"/>
      <c r="P937" s="1640"/>
      <c r="Q937" s="1640"/>
      <c r="R937" s="1640"/>
      <c r="S937" s="1640"/>
      <c r="T937" s="1641"/>
      <c r="U937" s="1403" t="s">
        <v>590</v>
      </c>
      <c r="V937" s="1404"/>
      <c r="W937" s="1404"/>
      <c r="X937" s="1404"/>
      <c r="Y937" s="1404"/>
      <c r="Z937" s="1405"/>
      <c r="AA937" s="1409"/>
      <c r="AB937" s="1410"/>
      <c r="AC937" s="1410"/>
      <c r="AD937" s="1410"/>
      <c r="AE937" s="1410"/>
      <c r="AF937" s="1411"/>
      <c r="AZ937" s="30"/>
      <c r="BA937" s="30"/>
    </row>
    <row r="938" spans="6:55" ht="12.9" customHeight="1">
      <c r="F938" s="1601" t="s">
        <v>2196</v>
      </c>
      <c r="G938" s="1602"/>
      <c r="H938" s="1602"/>
      <c r="I938" s="1602"/>
      <c r="J938" s="1602"/>
      <c r="K938" s="1602"/>
      <c r="L938" s="1602"/>
      <c r="M938" s="1602"/>
      <c r="N938" s="1602"/>
      <c r="O938" s="1602"/>
      <c r="P938" s="1602"/>
      <c r="Q938" s="1602"/>
      <c r="R938" s="1602"/>
      <c r="S938" s="1602"/>
      <c r="T938" s="1603"/>
      <c r="U938" s="1403" t="s">
        <v>590</v>
      </c>
      <c r="V938" s="1404"/>
      <c r="W938" s="1404"/>
      <c r="X938" s="1404"/>
      <c r="Y938" s="1404"/>
      <c r="Z938" s="1405"/>
      <c r="AA938" s="1409"/>
      <c r="AB938" s="1410"/>
      <c r="AC938" s="1410"/>
      <c r="AD938" s="1410"/>
      <c r="AE938" s="1410"/>
      <c r="AF938" s="1411"/>
      <c r="AZ938" s="30"/>
      <c r="BA938" s="30"/>
    </row>
    <row r="939" spans="6:55" ht="12.9" customHeight="1">
      <c r="F939" s="1601" t="s">
        <v>2197</v>
      </c>
      <c r="G939" s="1602"/>
      <c r="H939" s="1602"/>
      <c r="I939" s="1602"/>
      <c r="J939" s="1602"/>
      <c r="K939" s="1602"/>
      <c r="L939" s="1602"/>
      <c r="M939" s="1602"/>
      <c r="N939" s="1602"/>
      <c r="O939" s="1602"/>
      <c r="P939" s="1602"/>
      <c r="Q939" s="1602"/>
      <c r="R939" s="1602"/>
      <c r="S939" s="1602"/>
      <c r="T939" s="1603"/>
      <c r="U939" s="1403" t="s">
        <v>590</v>
      </c>
      <c r="V939" s="1404"/>
      <c r="W939" s="1404"/>
      <c r="X939" s="1404"/>
      <c r="Y939" s="1404"/>
      <c r="Z939" s="1405"/>
      <c r="AA939" s="1409"/>
      <c r="AB939" s="1410"/>
      <c r="AC939" s="1410"/>
      <c r="AD939" s="1410"/>
      <c r="AE939" s="1410"/>
      <c r="AF939" s="1411"/>
      <c r="AZ939" s="30"/>
      <c r="BA939" s="30"/>
    </row>
    <row r="940" spans="6:55" ht="12.9" customHeight="1">
      <c r="F940" s="1601" t="s">
        <v>2198</v>
      </c>
      <c r="G940" s="1602"/>
      <c r="H940" s="1602"/>
      <c r="I940" s="1602"/>
      <c r="J940" s="1602"/>
      <c r="K940" s="1602"/>
      <c r="L940" s="1602"/>
      <c r="M940" s="1602"/>
      <c r="N940" s="1602"/>
      <c r="O940" s="1602"/>
      <c r="P940" s="1602"/>
      <c r="Q940" s="1602"/>
      <c r="R940" s="1602"/>
      <c r="S940" s="1602"/>
      <c r="T940" s="1603"/>
      <c r="U940" s="1403" t="s">
        <v>590</v>
      </c>
      <c r="V940" s="1404"/>
      <c r="W940" s="1404"/>
      <c r="X940" s="1404"/>
      <c r="Y940" s="1404"/>
      <c r="Z940" s="1405"/>
      <c r="AA940" s="1409"/>
      <c r="AB940" s="1410"/>
      <c r="AC940" s="1410"/>
      <c r="AD940" s="1410"/>
      <c r="AE940" s="1410"/>
      <c r="AF940" s="1411"/>
      <c r="AZ940" s="34"/>
      <c r="BA940" s="34"/>
      <c r="BB940" s="14"/>
      <c r="BC940" s="14"/>
    </row>
    <row r="941" spans="6:55" ht="12.9" customHeight="1">
      <c r="F941" s="121" t="s">
        <v>1259</v>
      </c>
      <c r="G941" s="5"/>
      <c r="H941" s="5"/>
      <c r="I941" s="5"/>
      <c r="J941" s="5"/>
      <c r="K941" s="5"/>
      <c r="L941" s="5"/>
      <c r="M941" s="5"/>
      <c r="N941" s="5"/>
      <c r="O941" s="5"/>
      <c r="P941" s="5"/>
      <c r="Q941" s="5"/>
      <c r="R941" s="5"/>
      <c r="S941" s="5"/>
      <c r="T941" s="46"/>
      <c r="U941" s="1403" t="s">
        <v>590</v>
      </c>
      <c r="V941" s="1404"/>
      <c r="W941" s="1404"/>
      <c r="X941" s="1404"/>
      <c r="Y941" s="1404"/>
      <c r="Z941" s="1405"/>
      <c r="AA941" s="1409"/>
      <c r="AB941" s="1410"/>
      <c r="AC941" s="1410"/>
      <c r="AD941" s="1410"/>
      <c r="AE941" s="1410"/>
      <c r="AF941" s="1411"/>
      <c r="AZ941" s="34"/>
      <c r="BA941" s="34"/>
      <c r="BB941" s="14"/>
      <c r="BC941" s="14"/>
    </row>
    <row r="942" spans="6:55" ht="12.9" customHeight="1">
      <c r="F942" s="1639" t="s">
        <v>2201</v>
      </c>
      <c r="G942" s="1640"/>
      <c r="H942" s="1640"/>
      <c r="I942" s="1640"/>
      <c r="J942" s="1640"/>
      <c r="K942" s="1640"/>
      <c r="L942" s="1640"/>
      <c r="M942" s="1640"/>
      <c r="N942" s="1640"/>
      <c r="O942" s="1640"/>
      <c r="P942" s="1640"/>
      <c r="Q942" s="1640"/>
      <c r="R942" s="1640"/>
      <c r="S942" s="1640"/>
      <c r="T942" s="1641"/>
      <c r="U942" s="1403" t="s">
        <v>590</v>
      </c>
      <c r="V942" s="1404"/>
      <c r="W942" s="1404"/>
      <c r="X942" s="1404"/>
      <c r="Y942" s="1404"/>
      <c r="Z942" s="1405"/>
      <c r="AA942" s="1409"/>
      <c r="AB942" s="1410"/>
      <c r="AC942" s="1410"/>
      <c r="AD942" s="1410"/>
      <c r="AE942" s="1410"/>
      <c r="AF942" s="1411"/>
      <c r="AZ942" s="34"/>
      <c r="BA942" s="34"/>
      <c r="BB942" s="34"/>
      <c r="BC942" s="34"/>
    </row>
    <row r="943" spans="6:55" ht="12.9" customHeight="1">
      <c r="F943" s="121" t="s">
        <v>1260</v>
      </c>
      <c r="G943" s="5"/>
      <c r="H943" s="5"/>
      <c r="I943" s="5"/>
      <c r="J943" s="5"/>
      <c r="K943" s="5"/>
      <c r="L943" s="5"/>
      <c r="M943" s="5"/>
      <c r="N943" s="5"/>
      <c r="O943" s="5"/>
      <c r="P943" s="5"/>
      <c r="Q943" s="5"/>
      <c r="R943" s="5"/>
      <c r="S943" s="5"/>
      <c r="T943" s="46"/>
      <c r="U943" s="1403" t="s">
        <v>590</v>
      </c>
      <c r="V943" s="1404"/>
      <c r="W943" s="1404"/>
      <c r="X943" s="1404"/>
      <c r="Y943" s="1404"/>
      <c r="Z943" s="1405"/>
      <c r="AA943" s="1409"/>
      <c r="AB943" s="1410"/>
      <c r="AC943" s="1410"/>
      <c r="AD943" s="1410"/>
      <c r="AE943" s="1410"/>
      <c r="AF943" s="1411"/>
      <c r="AZ943" s="34"/>
      <c r="BA943" s="34"/>
      <c r="BB943" s="34"/>
      <c r="BC943" s="34"/>
    </row>
    <row r="944" spans="6:55" ht="12.9" customHeight="1">
      <c r="F944" s="1639" t="s">
        <v>2202</v>
      </c>
      <c r="G944" s="1640"/>
      <c r="H944" s="1640"/>
      <c r="I944" s="1640"/>
      <c r="J944" s="1640"/>
      <c r="K944" s="1640"/>
      <c r="L944" s="1640"/>
      <c r="M944" s="1640"/>
      <c r="N944" s="1640"/>
      <c r="O944" s="1640"/>
      <c r="P944" s="1640"/>
      <c r="Q944" s="1640"/>
      <c r="R944" s="1640"/>
      <c r="S944" s="1640"/>
      <c r="T944" s="1641"/>
      <c r="U944" s="1403" t="s">
        <v>590</v>
      </c>
      <c r="V944" s="1404"/>
      <c r="W944" s="1404"/>
      <c r="X944" s="1404"/>
      <c r="Y944" s="1404"/>
      <c r="Z944" s="1405"/>
      <c r="AA944" s="1409"/>
      <c r="AB944" s="1410"/>
      <c r="AC944" s="1410"/>
      <c r="AD944" s="1410"/>
      <c r="AE944" s="1410"/>
      <c r="AF944" s="1411"/>
      <c r="AZ944" s="34"/>
      <c r="BA944" s="34"/>
      <c r="BB944" s="34"/>
      <c r="BC944" s="34"/>
    </row>
    <row r="945" spans="1:55" ht="12.9" customHeight="1">
      <c r="F945" s="45" t="s">
        <v>804</v>
      </c>
      <c r="G945" s="5"/>
      <c r="H945" s="5"/>
      <c r="I945" s="5"/>
      <c r="J945" s="5"/>
      <c r="K945" s="5"/>
      <c r="L945" s="5"/>
      <c r="M945" s="5"/>
      <c r="N945" s="5"/>
      <c r="O945" s="5"/>
      <c r="P945" s="1403" t="s">
        <v>667</v>
      </c>
      <c r="Q945" s="1404"/>
      <c r="R945" s="1404"/>
      <c r="S945" s="1404"/>
      <c r="T945" s="1405"/>
      <c r="U945" s="1403" t="s">
        <v>590</v>
      </c>
      <c r="V945" s="1404"/>
      <c r="W945" s="1404"/>
      <c r="X945" s="1404"/>
      <c r="Y945" s="1404"/>
      <c r="Z945" s="1405"/>
      <c r="AA945" s="1409"/>
      <c r="AB945" s="1410"/>
      <c r="AC945" s="1410"/>
      <c r="AD945" s="1410"/>
      <c r="AE945" s="1410"/>
      <c r="AF945" s="1411"/>
      <c r="AZ945" s="34"/>
      <c r="BA945" s="34"/>
      <c r="BB945" s="34"/>
      <c r="BC945" s="34"/>
    </row>
    <row r="946" spans="1:55" ht="12.9" customHeight="1">
      <c r="F946" s="1601" t="s">
        <v>2189</v>
      </c>
      <c r="G946" s="1602"/>
      <c r="H946" s="1603"/>
      <c r="I946" s="1538" t="s">
        <v>333</v>
      </c>
      <c r="J946" s="1594"/>
      <c r="K946" s="1594"/>
      <c r="L946" s="1594"/>
      <c r="M946" s="1594"/>
      <c r="N946" s="1594"/>
      <c r="O946" s="1594"/>
      <c r="P946" s="1594"/>
      <c r="Q946" s="1594"/>
      <c r="R946" s="1594"/>
      <c r="S946" s="1594"/>
      <c r="T946" s="1595"/>
      <c r="U946" s="1403" t="s">
        <v>590</v>
      </c>
      <c r="V946" s="1404"/>
      <c r="W946" s="1404"/>
      <c r="X946" s="1404"/>
      <c r="Y946" s="1404"/>
      <c r="Z946" s="1405"/>
      <c r="AA946" s="1409"/>
      <c r="AB946" s="1410"/>
      <c r="AC946" s="1410"/>
      <c r="AD946" s="1410"/>
      <c r="AE946" s="1410"/>
      <c r="AF946" s="1411"/>
      <c r="AZ946" s="34"/>
      <c r="BA946" s="34"/>
      <c r="BB946" s="34"/>
      <c r="BC946" s="34"/>
    </row>
    <row r="947" spans="1:55" ht="12.9" customHeight="1">
      <c r="F947" s="45" t="s">
        <v>86</v>
      </c>
      <c r="G947" s="48"/>
      <c r="H947" s="48"/>
      <c r="I947" s="1538" t="s">
        <v>2743</v>
      </c>
      <c r="J947" s="1594"/>
      <c r="K947" s="1594"/>
      <c r="L947" s="1594"/>
      <c r="M947" s="1594"/>
      <c r="N947" s="1594"/>
      <c r="O947" s="1594"/>
      <c r="P947" s="1594"/>
      <c r="Q947" s="1594"/>
      <c r="R947" s="1594"/>
      <c r="S947" s="1594"/>
      <c r="T947" s="1595"/>
      <c r="U947" s="1403" t="s">
        <v>544</v>
      </c>
      <c r="V947" s="1404"/>
      <c r="W947" s="1404"/>
      <c r="X947" s="1404"/>
      <c r="Y947" s="1404"/>
      <c r="Z947" s="1405"/>
      <c r="AA947" s="1409">
        <v>5000000</v>
      </c>
      <c r="AB947" s="1410"/>
      <c r="AC947" s="1410"/>
      <c r="AD947" s="1410"/>
      <c r="AE947" s="1410"/>
      <c r="AF947" s="1411"/>
      <c r="AZ947" s="34"/>
      <c r="BA947" s="34"/>
      <c r="BB947" s="34"/>
      <c r="BC947" s="34"/>
    </row>
    <row r="948" spans="1:55" ht="12.9" customHeight="1">
      <c r="F948" s="45" t="s">
        <v>10</v>
      </c>
      <c r="G948" s="48"/>
      <c r="H948" s="48"/>
      <c r="I948" s="1538" t="s">
        <v>2744</v>
      </c>
      <c r="J948" s="1539"/>
      <c r="K948" s="1539"/>
      <c r="L948" s="1539"/>
      <c r="M948" s="1539"/>
      <c r="N948" s="1539"/>
      <c r="O948" s="1539"/>
      <c r="P948" s="1539"/>
      <c r="Q948" s="1539"/>
      <c r="R948" s="1539"/>
      <c r="S948" s="1539"/>
      <c r="T948" s="1540"/>
      <c r="U948" s="1403" t="s">
        <v>544</v>
      </c>
      <c r="V948" s="1404"/>
      <c r="W948" s="1404"/>
      <c r="X948" s="1404"/>
      <c r="Y948" s="1404"/>
      <c r="Z948" s="1405"/>
      <c r="AA948" s="1409">
        <v>2187000</v>
      </c>
      <c r="AB948" s="1410"/>
      <c r="AC948" s="1410"/>
      <c r="AD948" s="1410"/>
      <c r="AE948" s="1410"/>
      <c r="AF948" s="1411"/>
      <c r="AV948" s="2"/>
      <c r="AW948" s="2"/>
      <c r="AX948" s="2"/>
      <c r="AY948" s="2"/>
      <c r="AZ948" s="34"/>
      <c r="BA948" s="34"/>
      <c r="BB948" s="34"/>
      <c r="BC948" s="34"/>
    </row>
    <row r="949" spans="1:55" ht="12.9" customHeight="1">
      <c r="F949" s="47" t="s">
        <v>169</v>
      </c>
      <c r="G949" s="48"/>
      <c r="H949" s="48"/>
      <c r="I949" s="1538" t="s">
        <v>333</v>
      </c>
      <c r="J949" s="1539"/>
      <c r="K949" s="1539"/>
      <c r="L949" s="1539"/>
      <c r="M949" s="1539"/>
      <c r="N949" s="1539"/>
      <c r="O949" s="1539"/>
      <c r="P949" s="1539"/>
      <c r="Q949" s="1539"/>
      <c r="R949" s="1539"/>
      <c r="S949" s="1539"/>
      <c r="T949" s="1540"/>
      <c r="U949" s="1403" t="s">
        <v>590</v>
      </c>
      <c r="V949" s="1404"/>
      <c r="W949" s="1404"/>
      <c r="X949" s="1404"/>
      <c r="Y949" s="1404"/>
      <c r="Z949" s="1405"/>
      <c r="AA949" s="1409"/>
      <c r="AB949" s="1410"/>
      <c r="AC949" s="1410"/>
      <c r="AD949" s="1410"/>
      <c r="AE949" s="1410"/>
      <c r="AF949" s="1411"/>
      <c r="AU949" s="2"/>
      <c r="AZ949" s="34"/>
      <c r="BA949" s="34"/>
      <c r="BB949" s="34"/>
      <c r="BC949" s="34"/>
    </row>
    <row r="950" spans="1:55" ht="12.9" customHeight="1">
      <c r="F950" s="47" t="s">
        <v>169</v>
      </c>
      <c r="G950" s="48"/>
      <c r="H950" s="48"/>
      <c r="I950" s="1538" t="s">
        <v>333</v>
      </c>
      <c r="J950" s="1539"/>
      <c r="K950" s="1539"/>
      <c r="L950" s="1539"/>
      <c r="M950" s="1539"/>
      <c r="N950" s="1539"/>
      <c r="O950" s="1539"/>
      <c r="P950" s="1539"/>
      <c r="Q950" s="1539"/>
      <c r="R950" s="1539"/>
      <c r="S950" s="1539"/>
      <c r="T950" s="1540"/>
      <c r="U950" s="1403" t="s">
        <v>590</v>
      </c>
      <c r="V950" s="1404"/>
      <c r="W950" s="1404"/>
      <c r="X950" s="1404"/>
      <c r="Y950" s="1404"/>
      <c r="Z950" s="1405"/>
      <c r="AA950" s="1409"/>
      <c r="AB950" s="1410"/>
      <c r="AC950" s="1410"/>
      <c r="AD950" s="1410"/>
      <c r="AE950" s="1410"/>
      <c r="AF950" s="1411"/>
      <c r="AU950" s="2"/>
      <c r="AZ950" s="34"/>
      <c r="BA950" s="34"/>
      <c r="BB950" s="34"/>
      <c r="BC950" s="34"/>
    </row>
    <row r="951" spans="1:55" ht="12.9" customHeight="1">
      <c r="AU951" s="2"/>
      <c r="AZ951" s="34"/>
      <c r="BA951" s="34"/>
      <c r="BB951" s="34"/>
      <c r="BC951" s="34"/>
    </row>
    <row r="952" spans="1:55" ht="12.9" customHeight="1">
      <c r="A952" s="2" t="s">
        <v>575</v>
      </c>
      <c r="C952" s="2" t="s">
        <v>749</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2.9" customHeight="1">
      <c r="C957" s="66" t="s">
        <v>878</v>
      </c>
      <c r="D957" s="5"/>
      <c r="E957" s="5"/>
      <c r="J957" s="1554" t="s">
        <v>306</v>
      </c>
      <c r="K957" s="1555"/>
      <c r="L957" s="1555"/>
      <c r="M957" s="1555"/>
      <c r="N957" s="1555"/>
      <c r="O957" s="1555"/>
      <c r="P957" s="1555"/>
      <c r="Q957" s="1555"/>
      <c r="R957" s="1555"/>
      <c r="S957" s="1556"/>
      <c r="U957" s="66" t="s">
        <v>878</v>
      </c>
      <c r="V957" s="5"/>
      <c r="W957" s="5"/>
      <c r="AB957" s="1554" t="s">
        <v>306</v>
      </c>
      <c r="AC957" s="1555"/>
      <c r="AD957" s="1555"/>
      <c r="AE957" s="1555"/>
      <c r="AF957" s="1555"/>
      <c r="AG957" s="1555"/>
      <c r="AH957" s="1555"/>
      <c r="AI957" s="1555"/>
      <c r="AJ957" s="1555"/>
      <c r="AK957" s="1556"/>
      <c r="AZ957" s="34"/>
      <c r="BA957" s="34"/>
      <c r="BB957" s="34"/>
      <c r="BC957" s="34"/>
    </row>
    <row r="958" spans="1:55" ht="12.9"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 customHeight="1">
      <c r="C962" s="121" t="s">
        <v>1659</v>
      </c>
      <c r="D962" s="5"/>
      <c r="E962" s="5"/>
      <c r="F962" s="5"/>
      <c r="G962" s="5"/>
      <c r="H962" s="5"/>
      <c r="I962" s="5"/>
      <c r="J962" s="5"/>
      <c r="K962" s="5"/>
      <c r="L962" s="46"/>
      <c r="M962" s="1406"/>
      <c r="N962" s="1407"/>
      <c r="O962" s="1407"/>
      <c r="P962" s="1407"/>
      <c r="Q962" s="1407"/>
      <c r="R962" s="1407"/>
      <c r="S962" s="1408"/>
      <c r="U962" s="121" t="s">
        <v>1659</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532"/>
      <c r="N967" s="1533"/>
      <c r="O967" s="1533"/>
      <c r="P967" s="1533"/>
      <c r="Q967" s="1533"/>
      <c r="R967" s="1533"/>
      <c r="S967" s="1534"/>
      <c r="T967" s="66" t="s">
        <v>788</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532"/>
      <c r="N968" s="1533"/>
      <c r="O968" s="1533"/>
      <c r="P968" s="1533"/>
      <c r="Q968" s="1533"/>
      <c r="R968" s="1533"/>
      <c r="S968" s="1534"/>
      <c r="T968" s="66" t="s">
        <v>787</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899</v>
      </c>
      <c r="G969" s="5"/>
      <c r="H969" s="5"/>
      <c r="I969" s="5"/>
      <c r="J969" s="5"/>
      <c r="K969" s="5"/>
      <c r="L969" s="46"/>
      <c r="M969" s="1643" t="s">
        <v>590</v>
      </c>
      <c r="N969" s="1644"/>
      <c r="O969" s="1644"/>
      <c r="P969" s="1644"/>
      <c r="Q969" s="1644"/>
      <c r="R969" s="1644"/>
      <c r="S969" s="1645"/>
      <c r="T969" s="45" t="s">
        <v>336</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532"/>
      <c r="N970" s="1533"/>
      <c r="O970" s="1533"/>
      <c r="P970" s="1533"/>
      <c r="Q970" s="1533"/>
      <c r="R970" s="1533"/>
      <c r="S970" s="1534"/>
      <c r="T970" s="45" t="s">
        <v>337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532"/>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878</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578" t="s">
        <v>667</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 customHeight="1">
      <c r="F975" s="1549"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547</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50" t="s">
        <v>636</v>
      </c>
      <c r="E985" s="1551"/>
      <c r="F985" s="1551"/>
      <c r="G985" s="1551"/>
      <c r="H985" s="1551"/>
      <c r="I985" s="1551"/>
      <c r="J985" s="1551"/>
      <c r="K985" s="1551"/>
      <c r="L985" s="1551"/>
      <c r="M985" s="1551"/>
      <c r="N985" s="1551"/>
      <c r="O985" s="1551"/>
      <c r="P985" s="1551"/>
      <c r="Q985" s="1552"/>
      <c r="R985" s="1550" t="s">
        <v>637</v>
      </c>
      <c r="S985" s="1551"/>
      <c r="T985" s="1551"/>
      <c r="U985" s="1551"/>
      <c r="V985" s="1551"/>
      <c r="W985" s="1551"/>
      <c r="X985" s="1551"/>
      <c r="Y985" s="1551"/>
      <c r="Z985" s="1551"/>
      <c r="AA985" s="1552"/>
      <c r="AB985" s="1550" t="s">
        <v>638</v>
      </c>
      <c r="AC985" s="1551"/>
      <c r="AD985" s="1551"/>
      <c r="AE985" s="1551"/>
      <c r="AF985" s="1551"/>
      <c r="AG985" s="1551"/>
      <c r="AH985" s="1551"/>
      <c r="AI985" s="1552"/>
      <c r="AJ985" s="1550" t="s">
        <v>639</v>
      </c>
      <c r="AK985" s="1551"/>
      <c r="AL985" s="1551"/>
      <c r="AM985" s="1551"/>
      <c r="AN985" s="1551"/>
      <c r="AO985" s="1551"/>
      <c r="AP985" s="1551"/>
      <c r="AQ985" s="1552"/>
      <c r="AR985" s="68"/>
      <c r="AS985" s="68"/>
      <c r="AT985" s="68"/>
      <c r="AU985" s="68"/>
      <c r="AV985" s="68"/>
      <c r="AW985" s="68"/>
      <c r="AX985" s="68"/>
      <c r="AY985" s="68"/>
      <c r="AZ985" s="30"/>
      <c r="BB985" s="14"/>
      <c r="BC985" s="14"/>
    </row>
    <row r="986" spans="1:64" ht="12.9" customHeight="1">
      <c r="A986" s="14"/>
      <c r="B986" s="73"/>
      <c r="C986" s="929"/>
      <c r="D986" s="1388" t="s">
        <v>631</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1">
        <f>CP802</f>
        <v>22</v>
      </c>
      <c r="AC986" s="1392"/>
      <c r="AD986" s="1392"/>
      <c r="AE986" s="1392"/>
      <c r="AF986" s="1392"/>
      <c r="AG986" s="1392"/>
      <c r="AH986" s="1392"/>
      <c r="AI986" s="1393"/>
      <c r="AJ986" s="1490">
        <f>IF(ISERROR((R986*AB986)),0,(R986*AB986))</f>
        <v>10414580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1">
        <f>CU802</f>
        <v>10</v>
      </c>
      <c r="AC987" s="1392"/>
      <c r="AD987" s="1392"/>
      <c r="AE987" s="1392"/>
      <c r="AF987" s="1392"/>
      <c r="AG987" s="1392"/>
      <c r="AH987" s="1392"/>
      <c r="AI987" s="1393"/>
      <c r="AJ987" s="1490">
        <f>IF(ISERROR((R987*AB987)),0,(R987*AB987))</f>
        <v>5458140</v>
      </c>
      <c r="AK987" s="1491"/>
      <c r="AL987" s="1491"/>
      <c r="AM987" s="1491"/>
      <c r="AN987" s="1491"/>
      <c r="AO987" s="1491"/>
      <c r="AP987" s="1491"/>
      <c r="AQ987" s="1492"/>
      <c r="AR987" s="68"/>
      <c r="AS987" s="68"/>
      <c r="AT987" s="68"/>
      <c r="AU987" s="68"/>
      <c r="AV987" s="68"/>
      <c r="AW987" s="68"/>
      <c r="AX987" s="68"/>
      <c r="AY987" s="68"/>
      <c r="AZ987" s="30"/>
      <c r="BB987" s="14"/>
      <c r="BC987" s="14"/>
    </row>
    <row r="988" spans="1:64" ht="12.9"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1">
        <f>CZ802</f>
        <v>69</v>
      </c>
      <c r="AC988" s="1392"/>
      <c r="AD988" s="1392"/>
      <c r="AE988" s="1392"/>
      <c r="AF988" s="1392"/>
      <c r="AG988" s="1392"/>
      <c r="AH988" s="1392"/>
      <c r="AI988" s="1393"/>
      <c r="AJ988" s="1490">
        <f>IF(ISERROR((R988*AB988)),0,(R988*AB988))</f>
        <v>45429600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1">
        <f>DE802</f>
        <v>49</v>
      </c>
      <c r="AC989" s="1392"/>
      <c r="AD989" s="1392"/>
      <c r="AE989" s="1392"/>
      <c r="AF989" s="1392"/>
      <c r="AG989" s="1392"/>
      <c r="AH989" s="1392"/>
      <c r="AI989" s="1393"/>
      <c r="AJ989" s="1490">
        <f>IF(ISERROR((R989*AB989)),0,(R989*AB989))</f>
        <v>41294848</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 customHeight="1">
      <c r="A990" s="14"/>
      <c r="B990" s="47"/>
      <c r="C990" s="78"/>
      <c r="D990" s="1388" t="s">
        <v>459</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 customHeight="1">
      <c r="A991" s="14"/>
      <c r="B991" s="1607" t="s">
        <v>789</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150</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102597168</v>
      </c>
      <c r="AK992" s="1491"/>
      <c r="AL992" s="1491"/>
      <c r="AM992" s="1491"/>
      <c r="AN992" s="1491"/>
      <c r="AO992" s="1491"/>
      <c r="AP992" s="1491"/>
      <c r="AQ992" s="1492"/>
      <c r="AR992" s="68"/>
      <c r="AS992" s="68"/>
      <c r="AT992" s="68"/>
      <c r="AU992" s="68"/>
      <c r="AV992" s="68"/>
      <c r="AW992" s="68"/>
      <c r="AX992" s="68"/>
      <c r="AY992" s="68"/>
      <c r="AZ992" s="34"/>
      <c r="BB992" s="34"/>
      <c r="BC992" s="34"/>
    </row>
    <row r="993" spans="1:55" ht="12.9"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664</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 customHeight="1">
      <c r="A994" s="14"/>
      <c r="B994" s="73"/>
      <c r="C994" s="927" t="s">
        <v>666</v>
      </c>
      <c r="D994" s="1506" t="s">
        <v>1218</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544</v>
      </c>
      <c r="AH994" s="1503"/>
      <c r="AI994" s="87"/>
      <c r="AJ994" s="1394">
        <f>ROUND(IF(AND(AG994="yes",D1000&gt;0),AJ992*0.2,0),0)</f>
        <v>20519434</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 customHeight="1">
      <c r="A995" s="14"/>
      <c r="B995" s="257"/>
      <c r="C995" s="256"/>
      <c r="D995" s="1541" t="s">
        <v>2232</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 customHeight="1">
      <c r="A999" s="14"/>
      <c r="B999" s="257"/>
      <c r="C999" s="256"/>
      <c r="D999" s="1544" t="s">
        <v>2203</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 customHeight="1">
      <c r="A1000" s="14"/>
      <c r="B1000" s="257"/>
      <c r="C1000" s="256"/>
      <c r="D1000" s="1610" t="s">
        <v>2760</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 customHeight="1">
      <c r="A1001" s="14"/>
      <c r="B1001" s="255"/>
      <c r="C1001" s="318"/>
      <c r="D1001" s="1496" t="s">
        <v>1284</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667</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 customHeight="1">
      <c r="A1002" s="14"/>
      <c r="B1002" s="257"/>
      <c r="C1002" s="82"/>
      <c r="D1002" s="1541" t="s">
        <v>1282</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149</v>
      </c>
      <c r="AZ1003" s="34"/>
      <c r="BB1003" s="34"/>
    </row>
    <row r="1004" spans="1:55" ht="12.9"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0.38</v>
      </c>
      <c r="AZ1005" s="34"/>
      <c r="BB1005" s="34"/>
    </row>
    <row r="1006" spans="1:55" ht="12.9"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0.49</v>
      </c>
      <c r="AZ1006" s="34"/>
      <c r="BB1006" s="34"/>
    </row>
    <row r="1007" spans="1:55" ht="12.9" customHeight="1">
      <c r="A1007" s="14"/>
      <c r="B1007" s="255"/>
      <c r="C1007" s="80" t="s">
        <v>670</v>
      </c>
      <c r="D1007" s="1496" t="s">
        <v>1681</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544</v>
      </c>
      <c r="AH1007" s="1505"/>
      <c r="AI1007" s="87"/>
      <c r="AJ1007" s="1394">
        <f>ROUND(IF(AG1007="yes",AJ992*0.1,0),0)</f>
        <v>10259717</v>
      </c>
      <c r="AK1007" s="1395"/>
      <c r="AL1007" s="1395"/>
      <c r="AM1007" s="1395"/>
      <c r="AN1007" s="1395"/>
      <c r="AO1007" s="1395"/>
      <c r="AP1007" s="1395"/>
      <c r="AQ1007" s="1396"/>
      <c r="AR1007" s="68"/>
      <c r="AS1007" s="68"/>
      <c r="AT1007" s="68"/>
      <c r="AU1007" s="68"/>
      <c r="AV1007" s="68"/>
      <c r="AW1007" s="68"/>
      <c r="AX1007" s="68"/>
      <c r="BB1007" s="34"/>
    </row>
    <row r="1008" spans="1:55" ht="12.9" customHeight="1">
      <c r="A1008" s="14"/>
      <c r="B1008" s="73"/>
      <c r="C1008" s="74"/>
      <c r="D1008" s="1509" t="s">
        <v>1283</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 customHeight="1">
      <c r="A1011" s="14"/>
      <c r="B1011" s="79"/>
      <c r="C1011" s="80" t="s">
        <v>211</v>
      </c>
      <c r="D1011" s="1496" t="s">
        <v>1285</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667</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2" t="s">
        <v>1286</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1839</v>
      </c>
      <c r="AZ1012" s="3" t="s">
        <v>2604</v>
      </c>
    </row>
    <row r="1013" spans="1:52" ht="12.9" customHeight="1">
      <c r="A1013" s="14"/>
      <c r="B1013" s="79"/>
      <c r="C1013" s="80" t="s">
        <v>214</v>
      </c>
      <c r="D1013" s="1496" t="s">
        <v>1287</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667</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9" t="s">
        <v>1288</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 customHeight="1">
      <c r="A1016" s="14"/>
      <c r="B1016" s="79"/>
      <c r="C1016" s="80" t="s">
        <v>217</v>
      </c>
      <c r="D1016" s="1506" t="s">
        <v>2233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667</v>
      </c>
      <c r="AH1016" s="1505"/>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 customHeight="1">
      <c r="A1017" s="14"/>
      <c r="B1017" s="73"/>
      <c r="C1017" s="74"/>
      <c r="D1017" s="1509" t="s">
        <v>1289</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 customHeight="1">
      <c r="A1020" s="14"/>
      <c r="B1020" s="79"/>
      <c r="C1020" s="80" t="s">
        <v>222</v>
      </c>
      <c r="D1020" s="1523" t="s">
        <v>1290</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667</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 customHeight="1">
      <c r="A1022" s="14"/>
      <c r="B1022" s="81"/>
      <c r="C1022" s="84"/>
      <c r="D1022" s="1509" t="s">
        <v>1291</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 customHeight="1">
      <c r="A1024" s="14"/>
      <c r="B1024" s="81"/>
      <c r="C1024" s="84"/>
      <c r="D1024" s="526" t="s">
        <v>358</v>
      </c>
      <c r="E1024" s="90"/>
      <c r="F1024" s="90"/>
      <c r="G1024" s="104"/>
      <c r="H1024" s="104"/>
      <c r="I1024" s="49"/>
      <c r="J1024" s="1487" t="s">
        <v>590</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2603</v>
      </c>
      <c r="AY1024" s="201">
        <f>IF(SUM(AY1013:AY1023)&lt;=0.2,SUM(AY1013:AY1023),0.2)</f>
        <v>0</v>
      </c>
    </row>
    <row r="1025" spans="1:57" ht="12.9" customHeight="1">
      <c r="A1025" s="14"/>
      <c r="B1025" s="79"/>
      <c r="C1025" s="80" t="s">
        <v>228</v>
      </c>
      <c r="D1025" s="1496" t="s">
        <v>1292</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544</v>
      </c>
      <c r="AH1025" s="1505"/>
      <c r="AI1025" s="87"/>
      <c r="AJ1025" s="1394">
        <f>ROUND(IF(AG1025="Yes",AF1027,0),0)</f>
        <v>6227520</v>
      </c>
      <c r="AK1025" s="1395"/>
      <c r="AL1025" s="1395"/>
      <c r="AM1025" s="1395"/>
      <c r="AN1025" s="1395"/>
      <c r="AO1025" s="1395"/>
      <c r="AP1025" s="1395"/>
      <c r="AQ1025" s="1396"/>
      <c r="AR1025" s="68"/>
      <c r="AS1025" s="68"/>
      <c r="AT1025" s="68"/>
      <c r="AU1025" s="68"/>
      <c r="AV1025" s="68"/>
      <c r="AW1025" s="68"/>
      <c r="AX1025" s="68"/>
      <c r="AY1025" s="68"/>
    </row>
    <row r="1026" spans="1:57" ht="12.9" customHeight="1">
      <c r="A1026" s="14"/>
      <c r="B1026" s="73"/>
      <c r="C1026" s="74"/>
      <c r="D1026" s="1509" t="s">
        <v>1688</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7"/>
      <c r="AK1026" s="1398"/>
      <c r="AL1026" s="1398"/>
      <c r="AM1026" s="1398"/>
      <c r="AN1026" s="1398"/>
      <c r="AO1026" s="1398"/>
      <c r="AP1026" s="1398"/>
      <c r="AQ1026" s="1399"/>
      <c r="AR1026" s="68"/>
      <c r="AS1026" s="68"/>
      <c r="AT1026" s="68"/>
      <c r="AU1026" s="68"/>
      <c r="AV1026" s="68"/>
      <c r="AW1026" s="68"/>
      <c r="AX1026" s="68"/>
      <c r="AY1026" s="68"/>
    </row>
    <row r="1027" spans="1:57" ht="12.9"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v>6227520</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 customHeight="1">
      <c r="A1029" s="14"/>
      <c r="B1029" s="79"/>
      <c r="C1029" s="80" t="s">
        <v>233</v>
      </c>
      <c r="D1029" s="1506" t="s">
        <v>1293</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544</v>
      </c>
      <c r="AH1029" s="1505"/>
      <c r="AI1029" s="87"/>
      <c r="AJ1029" s="1394">
        <f>ROUND(IF(AG1029="yes",(AJ992*0.1),0),0)</f>
        <v>10259717</v>
      </c>
      <c r="AK1029" s="1395"/>
      <c r="AL1029" s="1395"/>
      <c r="AM1029" s="1395"/>
      <c r="AN1029" s="1395"/>
      <c r="AO1029" s="1395"/>
      <c r="AP1029" s="1395"/>
      <c r="AQ1029" s="1396"/>
      <c r="AR1029" s="68"/>
      <c r="AS1029" s="68"/>
      <c r="AT1029" s="68"/>
      <c r="AU1029" s="68"/>
      <c r="AV1029" s="68"/>
      <c r="AW1029" s="68"/>
      <c r="AX1029" s="68"/>
      <c r="AY1029" s="68"/>
    </row>
    <row r="1030" spans="1:57" ht="12.9" customHeight="1">
      <c r="A1030" s="14"/>
      <c r="B1030" s="73"/>
      <c r="C1030" s="74"/>
      <c r="D1030" s="1509" t="s">
        <v>1294</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 customHeight="1">
      <c r="A1032" s="14"/>
      <c r="B1032" s="73"/>
      <c r="C1032" s="339" t="s">
        <v>685</v>
      </c>
      <c r="D1032" s="1496" t="s">
        <v>1684</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667</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 customHeight="1">
      <c r="A1033" s="14"/>
      <c r="B1033" s="73"/>
      <c r="C1033" s="74"/>
      <c r="D1033" s="1518"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 customHeight="1">
      <c r="A1036" s="14"/>
      <c r="B1036" s="73"/>
      <c r="C1036" s="339" t="s">
        <v>685</v>
      </c>
      <c r="D1036" s="1506" t="s">
        <v>1686</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544</v>
      </c>
      <c r="AH1036" s="1584"/>
      <c r="AI1036" s="83"/>
      <c r="AJ1036" s="1394">
        <f>ROUND(IF(AND(AG1036="yes",AJ1032=0),(AJ992*0.1),0),0)</f>
        <v>10259717</v>
      </c>
      <c r="AK1036" s="1395"/>
      <c r="AL1036" s="1395"/>
      <c r="AM1036" s="1395"/>
      <c r="AN1036" s="1395"/>
      <c r="AO1036" s="1395"/>
      <c r="AP1036" s="1395"/>
      <c r="AQ1036" s="1396"/>
      <c r="AR1036" s="68"/>
      <c r="AS1036" s="68"/>
      <c r="AT1036" s="68"/>
      <c r="AU1036" s="68"/>
      <c r="AV1036" s="68"/>
      <c r="AW1036" s="68"/>
      <c r="AX1036" s="68"/>
      <c r="AY1036" s="68"/>
    </row>
    <row r="1037" spans="1:57" ht="12.9" customHeight="1">
      <c r="A1037" s="14"/>
      <c r="B1037" s="73"/>
      <c r="C1037" s="74"/>
      <c r="D1037" s="1518"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0.88590604026845643</v>
      </c>
      <c r="BB1039" s="3" t="s">
        <v>2490</v>
      </c>
    </row>
    <row r="1040" spans="1:57" ht="12.9"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2487</v>
      </c>
    </row>
    <row r="1041" spans="1:56" ht="12.9" customHeight="1">
      <c r="A1041" s="14"/>
      <c r="B1041" s="79"/>
      <c r="C1041" s="131" t="s">
        <v>1008</v>
      </c>
      <c r="D1041" s="1496" t="s">
        <v>1295</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667</v>
      </c>
      <c r="AH1041" s="1505"/>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2488</v>
      </c>
    </row>
    <row r="1042" spans="1:56" ht="12.9" customHeight="1">
      <c r="A1042" s="14"/>
      <c r="B1042" s="73"/>
      <c r="C1042" s="74"/>
      <c r="D1042" s="1509" t="s">
        <v>2142</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2489</v>
      </c>
    </row>
    <row r="1043" spans="1:56" ht="12.9"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 customHeight="1">
      <c r="A1045" s="14"/>
      <c r="B1045" s="79"/>
      <c r="C1045" s="131" t="s">
        <v>1682</v>
      </c>
      <c r="D1045" s="1506" t="s">
        <v>1862</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4">
        <f>IF((X1048=0),0,AY1005*AJ992)</f>
        <v>38986923.840000004</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 customHeight="1">
      <c r="A1046" s="14"/>
      <c r="B1046" s="73"/>
      <c r="C1046" s="442"/>
      <c r="D1046" s="1509" t="s">
        <v>1297</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14852350.35</v>
      </c>
      <c r="BA1046" s="1182">
        <f>IF(BA1040,20%,15%)</f>
        <v>0.15</v>
      </c>
      <c r="BB1046" s="3" t="s">
        <v>2476</v>
      </c>
      <c r="BC1046" s="3" t="s">
        <v>2477</v>
      </c>
      <c r="BD1046" s="3"/>
    </row>
    <row r="1047" spans="1:56" ht="12.9"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 customHeight="1">
      <c r="A1048" s="14"/>
      <c r="B1048" s="77"/>
      <c r="C1048" s="78"/>
      <c r="D1048" s="132" t="s">
        <v>970</v>
      </c>
      <c r="E1048" s="133"/>
      <c r="F1048" s="133"/>
      <c r="G1048" s="133"/>
      <c r="H1048" s="133"/>
      <c r="I1048" s="1571">
        <f>AY1003</f>
        <v>149</v>
      </c>
      <c r="J1048" s="1572"/>
      <c r="K1048" s="7"/>
      <c r="L1048" s="133"/>
      <c r="M1048" s="133"/>
      <c r="N1048" s="133"/>
      <c r="O1048" s="133"/>
      <c r="P1048" s="133"/>
      <c r="Q1048" s="133"/>
      <c r="R1048" s="133"/>
      <c r="S1048" s="133"/>
      <c r="T1048" s="133"/>
      <c r="U1048" s="133"/>
      <c r="V1048" s="134" t="s">
        <v>971</v>
      </c>
      <c r="W1048" s="48"/>
      <c r="X1048" s="1569">
        <f>CI753</f>
        <v>58</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2.9" customHeight="1">
      <c r="A1049" s="14"/>
      <c r="B1049" s="79"/>
      <c r="C1049" s="131" t="s">
        <v>1683</v>
      </c>
      <c r="D1049" s="1496" t="s">
        <v>2168</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4">
        <f>IF((X1052=0),0,(2*AY1006)*AJ992)</f>
        <v>100545224.64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2476</v>
      </c>
      <c r="BC1049" s="3" t="s">
        <v>2480</v>
      </c>
      <c r="BD1049" s="3"/>
    </row>
    <row r="1050" spans="1:56" ht="12.9" customHeight="1">
      <c r="A1050" s="14"/>
      <c r="B1050" s="73"/>
      <c r="C1050" s="442"/>
      <c r="D1050" s="1509" t="s">
        <v>1296</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 customHeight="1">
      <c r="A1052" s="14"/>
      <c r="B1052" s="77"/>
      <c r="C1052" s="78"/>
      <c r="D1052" s="132" t="s">
        <v>970</v>
      </c>
      <c r="E1052" s="133"/>
      <c r="F1052" s="133"/>
      <c r="G1052" s="133"/>
      <c r="H1052" s="133"/>
      <c r="I1052" s="1571">
        <f>AY1003</f>
        <v>149</v>
      </c>
      <c r="J1052" s="1572"/>
      <c r="K1052" s="14"/>
      <c r="L1052" s="133"/>
      <c r="M1052" s="133"/>
      <c r="N1052" s="133"/>
      <c r="O1052" s="133"/>
      <c r="P1052" s="133"/>
      <c r="Q1052" s="133"/>
      <c r="R1052" s="133"/>
      <c r="S1052" s="133"/>
      <c r="T1052" s="133"/>
      <c r="U1052" s="133"/>
      <c r="V1052" s="134" t="s">
        <v>972</v>
      </c>
      <c r="X1052" s="1569">
        <f>CM753</f>
        <v>74</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299655421.48000002</v>
      </c>
      <c r="AK1053" s="1581"/>
      <c r="AL1053" s="1581"/>
      <c r="AM1053" s="1581"/>
      <c r="AN1053" s="1581"/>
      <c r="AO1053" s="1581"/>
      <c r="AP1053" s="1581"/>
      <c r="AQ1053" s="1582"/>
      <c r="AR1053" s="68"/>
      <c r="AS1053" s="68"/>
      <c r="AT1053" s="68"/>
      <c r="AU1053" s="68"/>
      <c r="AV1053" s="68"/>
      <c r="AW1053" s="68"/>
      <c r="AX1053" s="68"/>
      <c r="AY1053" s="68"/>
      <c r="AZ1053" s="1181">
        <v>6000000</v>
      </c>
      <c r="BA1053" s="3" t="s">
        <v>2483</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113868019</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14852350.35</v>
      </c>
      <c r="BB1056" s="3" t="s">
        <v>2485</v>
      </c>
      <c r="BC1056" s="3"/>
      <c r="BD1056" s="3"/>
    </row>
    <row r="1057" spans="1:54" ht="12.9"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0.63398447394964252</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14852350</v>
      </c>
      <c r="BB1058" s="3" t="s">
        <v>2491</v>
      </c>
    </row>
    <row r="1059" spans="1:54" ht="12.9"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12352350</v>
      </c>
      <c r="BB1059" s="3" t="s">
        <v>2492</v>
      </c>
    </row>
    <row r="1060" spans="1:54" ht="12.9"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 customHeight="1">
      <c r="A1061" s="1374" t="s">
        <v>792</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590</v>
      </c>
      <c r="B1065" s="1332"/>
      <c r="C1065" s="1333">
        <v>1</v>
      </c>
      <c r="D1065" s="1333"/>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590</v>
      </c>
      <c r="B1067" s="1332"/>
      <c r="C1067" s="1333">
        <v>2</v>
      </c>
      <c r="D1067" s="1333"/>
      <c r="E1067" s="1336" t="s">
        <v>2235</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590</v>
      </c>
      <c r="B1081" s="1332"/>
      <c r="C1081" s="1335">
        <v>5</v>
      </c>
      <c r="D1081" s="1335"/>
      <c r="E1081" s="1292" t="s">
        <v>2239</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590</v>
      </c>
      <c r="B1085" s="1332"/>
      <c r="C1085" s="1335">
        <v>6</v>
      </c>
      <c r="D1085" s="1335"/>
      <c r="E1085" s="1292" t="s">
        <v>2240</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590</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590</v>
      </c>
      <c r="B1100" s="1332"/>
      <c r="C1100" s="1333">
        <v>10</v>
      </c>
      <c r="D1100" s="1333"/>
      <c r="E1100" s="1334" t="s">
        <v>2236</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590</v>
      </c>
      <c r="B1103" s="1332"/>
      <c r="C1103" s="1333">
        <v>11</v>
      </c>
      <c r="D1103" s="1333"/>
      <c r="E1103" s="1334" t="s">
        <v>2238</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08984375" style="158" customWidth="1"/>
    <col min="13" max="17" width="11.1796875" style="158" customWidth="1"/>
    <col min="18" max="18" width="12.7265625" style="158" customWidth="1"/>
    <col min="19" max="20" width="12.08984375" style="158" customWidth="1"/>
    <col min="21" max="21" width="0.1796875" style="161" customWidth="1"/>
    <col min="22" max="16383" width="8.81640625" style="158" hidden="1"/>
    <col min="16384" max="16384" width="8.984375E-2" style="158" customWidth="1"/>
  </cols>
  <sheetData>
    <row r="1" spans="1:21" s="110" customFormat="1" ht="13.25">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2)HCD - AHSC Loan</v>
      </c>
      <c r="H2" s="139" t="str">
        <f>Application!B629&amp;Application!C629</f>
        <v>3)HCD - IIG Loan</v>
      </c>
      <c r="I2" s="139" t="str">
        <f>Application!B630&amp;Application!C630</f>
        <v>4)City of Richmond</v>
      </c>
      <c r="J2" s="139" t="str">
        <f>Application!B631&amp;Application!C631</f>
        <v>5)Pacific West Communities,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508745</v>
      </c>
      <c r="C10" s="147">
        <v>508745</v>
      </c>
      <c r="D10" s="147"/>
      <c r="E10" s="147">
        <v>508745</v>
      </c>
      <c r="F10" s="147"/>
      <c r="G10" s="147"/>
      <c r="H10" s="147"/>
      <c r="I10" s="147"/>
      <c r="J10" s="147"/>
      <c r="K10" s="147"/>
      <c r="L10" s="147"/>
      <c r="M10" s="147"/>
      <c r="N10" s="147"/>
      <c r="O10" s="147"/>
      <c r="P10" s="147"/>
      <c r="Q10" s="147"/>
      <c r="R10" s="516">
        <f>SUM(E10:Q10)</f>
        <v>508745</v>
      </c>
      <c r="S10" s="147">
        <f>R10</f>
        <v>508745</v>
      </c>
      <c r="T10" s="147"/>
      <c r="U10" s="143"/>
    </row>
    <row r="11" spans="1:21" s="144" customFormat="1" ht="12">
      <c r="A11" s="149" t="s">
        <v>595</v>
      </c>
      <c r="B11" s="146">
        <f>SUM(C11:D11)</f>
        <v>508745</v>
      </c>
      <c r="C11" s="146">
        <f t="shared" ref="C11:Q11" si="1">SUM(C9:C10)</f>
        <v>508745</v>
      </c>
      <c r="D11" s="146">
        <f t="shared" si="1"/>
        <v>0</v>
      </c>
      <c r="E11" s="146">
        <f t="shared" si="1"/>
        <v>508745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508745</v>
      </c>
      <c r="S11" s="148"/>
      <c r="T11" s="150">
        <f>SUM(T9:T10)</f>
        <v>0</v>
      </c>
      <c r="U11" s="143"/>
    </row>
    <row r="12" spans="1:21" s="144" customFormat="1" ht="12">
      <c r="A12" s="149" t="s">
        <v>84</v>
      </c>
      <c r="B12" s="146">
        <f t="shared" ref="B12:Q12" si="2">SUM(B8+B11)</f>
        <v>508745</v>
      </c>
      <c r="C12" s="146">
        <f t="shared" si="2"/>
        <v>508745</v>
      </c>
      <c r="D12" s="146">
        <f t="shared" si="2"/>
        <v>0</v>
      </c>
      <c r="E12" s="146">
        <f t="shared" si="2"/>
        <v>508745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508745</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3450000</v>
      </c>
      <c r="C29" s="147">
        <v>3450000</v>
      </c>
      <c r="D29" s="147"/>
      <c r="E29" s="147">
        <v>3450000</v>
      </c>
      <c r="F29" s="147"/>
      <c r="G29" s="147"/>
      <c r="H29" s="147"/>
      <c r="I29" s="147"/>
      <c r="J29" s="147"/>
      <c r="K29" s="147"/>
      <c r="L29" s="147"/>
      <c r="M29" s="147"/>
      <c r="N29" s="147"/>
      <c r="O29" s="147"/>
      <c r="P29" s="147"/>
      <c r="Q29" s="147"/>
      <c r="R29" s="516">
        <f t="shared" ref="R29:R37" si="7">SUM(E29:Q29)</f>
        <v>3450000</v>
      </c>
      <c r="S29" s="147">
        <f>R29</f>
        <v>3450000</v>
      </c>
      <c r="T29" s="147"/>
      <c r="U29" s="143"/>
    </row>
    <row r="30" spans="1:21" s="144" customFormat="1">
      <c r="A30" s="145" t="s">
        <v>598</v>
      </c>
      <c r="B30" s="146">
        <f t="shared" si="6"/>
        <v>64198403</v>
      </c>
      <c r="C30" s="147">
        <v>64198403</v>
      </c>
      <c r="D30" s="147"/>
      <c r="E30" s="147">
        <v>18332227</v>
      </c>
      <c r="F30" s="147">
        <v>10866176</v>
      </c>
      <c r="G30" s="147">
        <v>27813000</v>
      </c>
      <c r="H30" s="147">
        <v>5000000</v>
      </c>
      <c r="I30" s="147">
        <v>2187000</v>
      </c>
      <c r="J30" s="147"/>
      <c r="K30" s="147"/>
      <c r="L30" s="147"/>
      <c r="M30" s="147"/>
      <c r="N30" s="147"/>
      <c r="O30" s="147"/>
      <c r="P30" s="147"/>
      <c r="Q30" s="147"/>
      <c r="R30" s="516">
        <f t="shared" si="7"/>
        <v>64198403</v>
      </c>
      <c r="S30" s="147">
        <f>R30</f>
        <v>64198403</v>
      </c>
      <c r="T30" s="147"/>
      <c r="U30" s="143"/>
    </row>
    <row r="31" spans="1:21" s="144" customFormat="1">
      <c r="A31" s="145" t="s">
        <v>599</v>
      </c>
      <c r="B31" s="146">
        <f t="shared" si="6"/>
        <v>4089429</v>
      </c>
      <c r="C31" s="147">
        <v>4089429</v>
      </c>
      <c r="D31" s="147"/>
      <c r="E31" s="147">
        <v>4089429</v>
      </c>
      <c r="F31" s="147"/>
      <c r="G31" s="147"/>
      <c r="H31" s="147"/>
      <c r="I31" s="147"/>
      <c r="J31" s="147"/>
      <c r="K31" s="147"/>
      <c r="L31" s="147"/>
      <c r="M31" s="147"/>
      <c r="N31" s="147"/>
      <c r="O31" s="147"/>
      <c r="P31" s="147"/>
      <c r="Q31" s="147"/>
      <c r="R31" s="516">
        <f t="shared" si="7"/>
        <v>4089429</v>
      </c>
      <c r="S31" s="147">
        <f>R31</f>
        <v>4089429</v>
      </c>
      <c r="T31" s="147"/>
      <c r="U31" s="143"/>
    </row>
    <row r="32" spans="1:21" s="144" customFormat="1">
      <c r="A32" s="145" t="s">
        <v>137</v>
      </c>
      <c r="B32" s="146">
        <f t="shared" si="6"/>
        <v>1363143</v>
      </c>
      <c r="C32" s="147">
        <v>1363143</v>
      </c>
      <c r="D32" s="147"/>
      <c r="E32" s="147">
        <v>1363143</v>
      </c>
      <c r="F32" s="147"/>
      <c r="G32" s="147"/>
      <c r="H32" s="147"/>
      <c r="I32" s="147"/>
      <c r="J32" s="147"/>
      <c r="K32" s="147"/>
      <c r="L32" s="147"/>
      <c r="M32" s="147"/>
      <c r="N32" s="147"/>
      <c r="O32" s="147"/>
      <c r="P32" s="147"/>
      <c r="Q32" s="147"/>
      <c r="R32" s="516">
        <f t="shared" si="7"/>
        <v>1363143</v>
      </c>
      <c r="S32" s="147">
        <f>R32</f>
        <v>1363143</v>
      </c>
      <c r="T32" s="147"/>
      <c r="U32" s="143"/>
    </row>
    <row r="33" spans="1:21" s="144" customFormat="1">
      <c r="A33" s="145" t="s">
        <v>138</v>
      </c>
      <c r="B33" s="146">
        <f t="shared" si="6"/>
        <v>4089429</v>
      </c>
      <c r="C33" s="147">
        <v>4089429</v>
      </c>
      <c r="D33" s="147"/>
      <c r="E33" s="147">
        <v>4089429</v>
      </c>
      <c r="F33" s="147"/>
      <c r="G33" s="147"/>
      <c r="H33" s="147"/>
      <c r="I33" s="147"/>
      <c r="J33" s="147"/>
      <c r="K33" s="147"/>
      <c r="L33" s="147"/>
      <c r="M33" s="147"/>
      <c r="N33" s="147"/>
      <c r="O33" s="147"/>
      <c r="P33" s="147"/>
      <c r="Q33" s="147"/>
      <c r="R33" s="516">
        <f t="shared" si="7"/>
        <v>4089429</v>
      </c>
      <c r="S33" s="147">
        <f>R33</f>
        <v>4089429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675000</v>
      </c>
      <c r="C35" s="147">
        <v>675000</v>
      </c>
      <c r="D35" s="147"/>
      <c r="E35" s="147">
        <v>675000</v>
      </c>
      <c r="F35" s="147"/>
      <c r="G35" s="147"/>
      <c r="H35" s="147"/>
      <c r="I35" s="147"/>
      <c r="J35" s="147"/>
      <c r="K35" s="147"/>
      <c r="L35" s="147"/>
      <c r="M35" s="147"/>
      <c r="N35" s="147"/>
      <c r="O35" s="147"/>
      <c r="P35" s="147"/>
      <c r="Q35" s="147"/>
      <c r="R35" s="516">
        <f t="shared" si="7"/>
        <v>675000</v>
      </c>
      <c r="S35" s="147">
        <f>R35</f>
        <v>675000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77865404</v>
      </c>
      <c r="C38" s="146">
        <f>SUM(C29:C37)</f>
        <v>77865404</v>
      </c>
      <c r="D38" s="146">
        <f t="shared" ref="D38:Q38" si="8">SUM(D29:D37)</f>
        <v>0</v>
      </c>
      <c r="E38" s="146">
        <f t="shared" si="8"/>
        <v>31999228</v>
      </c>
      <c r="F38" s="146">
        <f t="shared" si="8"/>
        <v>10866176</v>
      </c>
      <c r="G38" s="146">
        <f t="shared" si="8"/>
        <v>27813000</v>
      </c>
      <c r="H38" s="146">
        <f t="shared" si="8"/>
        <v>5000000</v>
      </c>
      <c r="I38" s="146">
        <f t="shared" si="8"/>
        <v>2187000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77865404</v>
      </c>
      <c r="S38" s="150">
        <f>SUM(S29:S37)</f>
        <v>77865404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2">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ht="12">
      <c r="A43" s="149" t="s">
        <v>148</v>
      </c>
      <c r="B43" s="146">
        <f>SUM(C43:D43)</f>
        <v>285000</v>
      </c>
      <c r="C43" s="147">
        <v>285000</v>
      </c>
      <c r="D43" s="147"/>
      <c r="E43" s="147">
        <v>285000</v>
      </c>
      <c r="F43" s="147"/>
      <c r="G43" s="147"/>
      <c r="H43" s="147"/>
      <c r="I43" s="147"/>
      <c r="J43" s="147"/>
      <c r="K43" s="147"/>
      <c r="L43" s="147"/>
      <c r="M43" s="147"/>
      <c r="N43" s="147"/>
      <c r="O43" s="147"/>
      <c r="P43" s="147"/>
      <c r="Q43" s="147"/>
      <c r="R43" s="516">
        <f>SUM(E43:Q43)</f>
        <v>285000</v>
      </c>
      <c r="S43" s="147">
        <f>R43</f>
        <v>285000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5160000</v>
      </c>
      <c r="C45" s="147">
        <v>5160000</v>
      </c>
      <c r="D45" s="147"/>
      <c r="E45" s="147">
        <v>5160000</v>
      </c>
      <c r="F45" s="147"/>
      <c r="G45" s="147"/>
      <c r="H45" s="147"/>
      <c r="I45" s="147"/>
      <c r="J45" s="147"/>
      <c r="K45" s="147"/>
      <c r="L45" s="147"/>
      <c r="M45" s="147"/>
      <c r="N45" s="147"/>
      <c r="O45" s="147"/>
      <c r="P45" s="147"/>
      <c r="Q45" s="147"/>
      <c r="R45" s="516">
        <f t="shared" ref="R45:R53" si="11">SUM(E45:Q45)</f>
        <v>5160000</v>
      </c>
      <c r="S45" s="147">
        <f>R45</f>
        <v>5160000</v>
      </c>
      <c r="T45" s="147"/>
      <c r="U45" s="143"/>
    </row>
    <row r="46" spans="1:21" s="144" customFormat="1">
      <c r="A46" s="145" t="s">
        <v>151</v>
      </c>
      <c r="B46" s="146">
        <f t="shared" si="10"/>
        <v>765000</v>
      </c>
      <c r="C46" s="147">
        <v>765000</v>
      </c>
      <c r="D46" s="147"/>
      <c r="E46" s="147">
        <v>765000</v>
      </c>
      <c r="F46" s="147"/>
      <c r="G46" s="147"/>
      <c r="H46" s="147"/>
      <c r="I46" s="147"/>
      <c r="J46" s="147"/>
      <c r="K46" s="147"/>
      <c r="L46" s="147"/>
      <c r="M46" s="147"/>
      <c r="N46" s="147"/>
      <c r="O46" s="147"/>
      <c r="P46" s="147"/>
      <c r="Q46" s="147"/>
      <c r="R46" s="516">
        <f t="shared" si="11"/>
        <v>765000</v>
      </c>
      <c r="S46" s="147">
        <f>R46</f>
        <v>765000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20000</v>
      </c>
      <c r="C51" s="147">
        <v>20000</v>
      </c>
      <c r="D51" s="147"/>
      <c r="E51" s="147">
        <v>20000</v>
      </c>
      <c r="F51" s="147"/>
      <c r="G51" s="147"/>
      <c r="H51" s="147"/>
      <c r="I51" s="147"/>
      <c r="J51" s="147"/>
      <c r="K51" s="147"/>
      <c r="L51" s="147"/>
      <c r="M51" s="147"/>
      <c r="N51" s="147"/>
      <c r="O51" s="147"/>
      <c r="P51" s="147"/>
      <c r="Q51" s="147"/>
      <c r="R51" s="516">
        <f t="shared" si="11"/>
        <v>20000</v>
      </c>
      <c r="S51" s="147">
        <f>R51</f>
        <v>20000</v>
      </c>
      <c r="T51" s="147"/>
      <c r="U51" s="143"/>
    </row>
    <row r="52" spans="1:21" s="144" customFormat="1">
      <c r="A52" s="145" t="s">
        <v>155</v>
      </c>
      <c r="B52" s="146">
        <f t="shared" si="10"/>
        <v>549000</v>
      </c>
      <c r="C52" s="147">
        <v>549000</v>
      </c>
      <c r="D52" s="147"/>
      <c r="E52" s="147">
        <v>549000</v>
      </c>
      <c r="F52" s="147"/>
      <c r="G52" s="147"/>
      <c r="H52" s="147"/>
      <c r="I52" s="147"/>
      <c r="J52" s="147"/>
      <c r="K52" s="147"/>
      <c r="L52" s="147"/>
      <c r="M52" s="147"/>
      <c r="N52" s="147"/>
      <c r="O52" s="147"/>
      <c r="P52" s="147"/>
      <c r="Q52" s="147"/>
      <c r="R52" s="516">
        <f t="shared" si="11"/>
        <v>549000</v>
      </c>
      <c r="S52" s="147">
        <f>R52</f>
        <v>549000</v>
      </c>
      <c r="T52" s="147"/>
      <c r="U52" s="143"/>
    </row>
    <row r="53" spans="1:21" s="144" customFormat="1">
      <c r="A53" s="1149" t="s">
        <v>2693</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6814000</v>
      </c>
      <c r="C54" s="150">
        <f t="shared" ref="C54:T54" si="12">SUM(C45:C53)</f>
        <v>6814000</v>
      </c>
      <c r="D54" s="150">
        <f t="shared" si="12"/>
        <v>0</v>
      </c>
      <c r="E54" s="150">
        <f t="shared" si="12"/>
        <v>6814000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6814000</v>
      </c>
      <c r="S54" s="150">
        <f t="shared" si="12"/>
        <v>6814000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57500</v>
      </c>
      <c r="C56" s="147">
        <v>57500</v>
      </c>
      <c r="D56" s="147"/>
      <c r="E56" s="147"/>
      <c r="F56" s="147">
        <v>57500</v>
      </c>
      <c r="G56" s="147"/>
      <c r="H56" s="147"/>
      <c r="I56" s="147"/>
      <c r="J56" s="147"/>
      <c r="K56" s="147"/>
      <c r="L56" s="147"/>
      <c r="M56" s="147"/>
      <c r="N56" s="147"/>
      <c r="O56" s="147"/>
      <c r="P56" s="147"/>
      <c r="Q56" s="147"/>
      <c r="R56" s="516">
        <f t="shared" ref="R56:R61" si="14">SUM(E56:Q56)</f>
        <v>57500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82500</v>
      </c>
      <c r="C62" s="146">
        <f t="shared" ref="C62:R62" si="15">SUM(C56:C61)</f>
        <v>82500</v>
      </c>
      <c r="D62" s="146">
        <f t="shared" si="15"/>
        <v>0</v>
      </c>
      <c r="E62" s="146">
        <f t="shared" si="15"/>
        <v>0</v>
      </c>
      <c r="F62" s="146">
        <f t="shared" si="15"/>
        <v>82500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82500</v>
      </c>
      <c r="S62" s="148"/>
      <c r="T62" s="148"/>
      <c r="U62" s="143"/>
    </row>
    <row r="63" spans="1:21" s="144" customFormat="1">
      <c r="A63" s="154" t="s">
        <v>301</v>
      </c>
      <c r="B63" s="146">
        <f t="shared" ref="B63:R63" si="16">SUM(B8+B11+B13+B14+B15+B26+B27+B38+B42+B43+B54+B62)</f>
        <v>86455649</v>
      </c>
      <c r="C63" s="146">
        <f t="shared" si="16"/>
        <v>86455649</v>
      </c>
      <c r="D63" s="146">
        <f t="shared" si="16"/>
        <v>0</v>
      </c>
      <c r="E63" s="146">
        <f t="shared" si="16"/>
        <v>40506973</v>
      </c>
      <c r="F63" s="146">
        <f t="shared" si="16"/>
        <v>10948676</v>
      </c>
      <c r="G63" s="146">
        <f t="shared" si="16"/>
        <v>27813000</v>
      </c>
      <c r="H63" s="146">
        <f t="shared" si="16"/>
        <v>5000000</v>
      </c>
      <c r="I63" s="146">
        <f t="shared" si="16"/>
        <v>2187000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86455649</v>
      </c>
      <c r="S63" s="146">
        <f>SUM(S10+S13+S14+S15+S26+S27+S38+S42+S43+S54)</f>
        <v>86373149</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16">
        <f>SUM(E65:Q65)</f>
        <v>70000</v>
      </c>
      <c r="S65" s="147">
        <f>R65</f>
        <v>70000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2694</v>
      </c>
      <c r="B69" s="146">
        <f>SUM(C69+D69)</f>
        <v>90000</v>
      </c>
      <c r="C69" s="147">
        <v>90000</v>
      </c>
      <c r="D69" s="147"/>
      <c r="E69" s="147">
        <v>90000</v>
      </c>
      <c r="F69" s="147"/>
      <c r="G69" s="147"/>
      <c r="H69" s="147"/>
      <c r="I69" s="147"/>
      <c r="J69" s="147"/>
      <c r="K69" s="147"/>
      <c r="L69" s="147"/>
      <c r="M69" s="147"/>
      <c r="N69" s="147"/>
      <c r="O69" s="147"/>
      <c r="P69" s="147"/>
      <c r="Q69" s="147"/>
      <c r="R69" s="516">
        <f>SUM(E69:Q69)</f>
        <v>90000</v>
      </c>
      <c r="S69" s="147"/>
      <c r="T69" s="147"/>
      <c r="U69" s="143"/>
    </row>
    <row r="70" spans="1:21" s="144" customFormat="1" ht="12">
      <c r="A70" s="149" t="s">
        <v>1643</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70000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551324</v>
      </c>
      <c r="C75" s="147">
        <v>551324</v>
      </c>
      <c r="D75" s="147"/>
      <c r="E75" s="147"/>
      <c r="F75" s="147">
        <v>551324</v>
      </c>
      <c r="G75" s="147"/>
      <c r="H75" s="147"/>
      <c r="I75" s="147"/>
      <c r="J75" s="147"/>
      <c r="K75" s="147"/>
      <c r="L75" s="147"/>
      <c r="M75" s="147"/>
      <c r="N75" s="147"/>
      <c r="O75" s="147"/>
      <c r="P75" s="147"/>
      <c r="Q75" s="147"/>
      <c r="R75" s="516">
        <f>SUM(E75:Q75)</f>
        <v>551324</v>
      </c>
      <c r="S75" s="148"/>
      <c r="T75" s="148"/>
      <c r="U75" s="143"/>
    </row>
    <row r="76" spans="1:21" s="144" customFormat="1">
      <c r="A76" s="1149" t="s">
        <v>2695</v>
      </c>
      <c r="B76" s="146">
        <f>SUM(C76+D76)</f>
        <v>470000</v>
      </c>
      <c r="C76" s="147">
        <v>470000</v>
      </c>
      <c r="D76" s="147"/>
      <c r="E76" s="147">
        <v>470000</v>
      </c>
      <c r="F76" s="147"/>
      <c r="G76" s="147"/>
      <c r="H76" s="147"/>
      <c r="I76" s="147"/>
      <c r="J76" s="147"/>
      <c r="K76" s="147"/>
      <c r="L76" s="147"/>
      <c r="M76" s="147"/>
      <c r="N76" s="147"/>
      <c r="O76" s="147"/>
      <c r="P76" s="147"/>
      <c r="Q76" s="147"/>
      <c r="R76" s="516">
        <f>SUM(E76:Q76)</f>
        <v>470000</v>
      </c>
      <c r="S76" s="148"/>
      <c r="T76" s="148"/>
      <c r="U76" s="143"/>
    </row>
    <row r="77" spans="1:21" s="144" customFormat="1" ht="12">
      <c r="A77" s="149" t="s">
        <v>605</v>
      </c>
      <c r="B77" s="146">
        <f>SUM(C77:D77)</f>
        <v>1021324</v>
      </c>
      <c r="C77" s="146">
        <f>SUM(C72:C76)</f>
        <v>1021324</v>
      </c>
      <c r="D77" s="146">
        <f>SUM(D72:D76)</f>
        <v>0</v>
      </c>
      <c r="E77" s="146">
        <f t="shared" ref="E77:Q77" si="18">SUM(E72:E76)</f>
        <v>470000</v>
      </c>
      <c r="F77" s="146">
        <f t="shared" si="18"/>
        <v>551324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1021324</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3900000</v>
      </c>
      <c r="C79" s="147">
        <v>3900000</v>
      </c>
      <c r="D79" s="147"/>
      <c r="E79" s="147">
        <v>3900000</v>
      </c>
      <c r="F79" s="147"/>
      <c r="G79" s="147"/>
      <c r="H79" s="147"/>
      <c r="I79" s="147"/>
      <c r="J79" s="147"/>
      <c r="K79" s="147"/>
      <c r="L79" s="147"/>
      <c r="M79" s="147"/>
      <c r="N79" s="147"/>
      <c r="O79" s="147"/>
      <c r="P79" s="147"/>
      <c r="Q79" s="147"/>
      <c r="R79" s="516">
        <f>SUM(E79:Q79)</f>
        <v>3900000</v>
      </c>
      <c r="S79" s="147">
        <f>R79</f>
        <v>3900000</v>
      </c>
      <c r="T79" s="147"/>
      <c r="U79" s="143"/>
    </row>
    <row r="80" spans="1:21" s="144" customFormat="1">
      <c r="A80" s="283" t="s">
        <v>58</v>
      </c>
      <c r="B80" s="146">
        <f>SUM(C80:D80)</f>
        <v>950000</v>
      </c>
      <c r="C80" s="147">
        <v>950000</v>
      </c>
      <c r="D80" s="147"/>
      <c r="E80" s="147">
        <v>950000</v>
      </c>
      <c r="F80" s="147"/>
      <c r="G80" s="147"/>
      <c r="H80" s="147"/>
      <c r="I80" s="147"/>
      <c r="J80" s="147"/>
      <c r="K80" s="147"/>
      <c r="L80" s="147"/>
      <c r="M80" s="147"/>
      <c r="N80" s="147"/>
      <c r="O80" s="147"/>
      <c r="P80" s="147"/>
      <c r="Q80" s="147"/>
      <c r="R80" s="516">
        <f>SUM(E80:Q80)</f>
        <v>950000</v>
      </c>
      <c r="S80" s="147">
        <f>R80</f>
        <v>950000</v>
      </c>
      <c r="T80" s="147"/>
      <c r="U80" s="143"/>
    </row>
    <row r="81" spans="1:21" s="144" customFormat="1" ht="12">
      <c r="A81" s="149" t="s">
        <v>1207</v>
      </c>
      <c r="B81" s="146">
        <f>SUM(C81:D81)</f>
        <v>4850000</v>
      </c>
      <c r="C81" s="509">
        <f>SUM(C79:C80)</f>
        <v>4850000</v>
      </c>
      <c r="D81" s="509">
        <f t="shared" ref="D81:T81" si="19">SUM(D79:D80)</f>
        <v>0</v>
      </c>
      <c r="E81" s="509">
        <f t="shared" si="19"/>
        <v>4850000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4850000</v>
      </c>
      <c r="S81" s="509">
        <f t="shared" si="19"/>
        <v>4850000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2092</v>
      </c>
      <c r="B83" s="146">
        <f t="shared" ref="B83:B95" si="20">SUM(C83+D83)</f>
        <v>122301</v>
      </c>
      <c r="C83" s="147">
        <v>122301</v>
      </c>
      <c r="D83" s="147"/>
      <c r="E83" s="147">
        <v>122301</v>
      </c>
      <c r="F83" s="147"/>
      <c r="G83" s="147"/>
      <c r="H83" s="147"/>
      <c r="I83" s="147"/>
      <c r="J83" s="147"/>
      <c r="K83" s="147"/>
      <c r="L83" s="147"/>
      <c r="M83" s="147"/>
      <c r="N83" s="147"/>
      <c r="O83" s="147"/>
      <c r="P83" s="147"/>
      <c r="Q83" s="147"/>
      <c r="R83" s="516">
        <f t="shared" ref="R83:R95" si="21">SUM(E83:Q83)</f>
        <v>122301</v>
      </c>
      <c r="S83" s="148"/>
      <c r="T83" s="148"/>
      <c r="U83" s="143"/>
    </row>
    <row r="84" spans="1:21" s="144" customFormat="1">
      <c r="A84" s="145" t="s">
        <v>765</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f>R84</f>
        <v>15000</v>
      </c>
      <c r="T84" s="147"/>
      <c r="U84" s="143"/>
    </row>
    <row r="85" spans="1:21" s="144" customFormat="1">
      <c r="A85" s="145" t="s">
        <v>766</v>
      </c>
      <c r="B85" s="146">
        <f t="shared" si="20"/>
        <v>6227520</v>
      </c>
      <c r="C85" s="147">
        <v>6227520</v>
      </c>
      <c r="D85" s="147"/>
      <c r="E85" s="147">
        <v>6227520</v>
      </c>
      <c r="F85" s="147"/>
      <c r="G85" s="147"/>
      <c r="H85" s="147"/>
      <c r="I85" s="147"/>
      <c r="J85" s="147"/>
      <c r="K85" s="147"/>
      <c r="L85" s="147"/>
      <c r="M85" s="147"/>
      <c r="N85" s="147"/>
      <c r="O85" s="147"/>
      <c r="P85" s="147"/>
      <c r="Q85" s="147"/>
      <c r="R85" s="516">
        <f t="shared" si="21"/>
        <v>6227520</v>
      </c>
      <c r="S85" s="147">
        <f>R85</f>
        <v>6227520</v>
      </c>
      <c r="T85" s="147"/>
      <c r="U85" s="143"/>
    </row>
    <row r="86" spans="1:21" s="144" customFormat="1">
      <c r="A86" s="145" t="s">
        <v>767</v>
      </c>
      <c r="B86" s="146">
        <f t="shared" si="20"/>
        <v>1400000</v>
      </c>
      <c r="C86" s="147">
        <v>1400000</v>
      </c>
      <c r="D86" s="147"/>
      <c r="E86" s="147">
        <v>1400000</v>
      </c>
      <c r="F86" s="147"/>
      <c r="G86" s="147"/>
      <c r="H86" s="147"/>
      <c r="I86" s="147"/>
      <c r="J86" s="147"/>
      <c r="K86" s="147"/>
      <c r="L86" s="147"/>
      <c r="M86" s="147"/>
      <c r="N86" s="147"/>
      <c r="O86" s="147"/>
      <c r="P86" s="147"/>
      <c r="Q86" s="147"/>
      <c r="R86" s="516">
        <f t="shared" si="21"/>
        <v>1400000</v>
      </c>
      <c r="S86" s="147">
        <f>R86</f>
        <v>1400000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169909</v>
      </c>
      <c r="C88" s="147">
        <v>169909</v>
      </c>
      <c r="D88" s="147"/>
      <c r="E88" s="147">
        <v>169909</v>
      </c>
      <c r="F88" s="147"/>
      <c r="G88" s="147"/>
      <c r="H88" s="147"/>
      <c r="I88" s="147"/>
      <c r="J88" s="147"/>
      <c r="K88" s="147"/>
      <c r="L88" s="147"/>
      <c r="M88" s="147"/>
      <c r="N88" s="147"/>
      <c r="O88" s="147"/>
      <c r="P88" s="147"/>
      <c r="Q88" s="147"/>
      <c r="R88" s="516">
        <f t="shared" si="21"/>
        <v>169909</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8014730</v>
      </c>
      <c r="C96" s="146">
        <f t="shared" ref="C96:R96" si="22">SUM(C83:C95)</f>
        <v>8014730</v>
      </c>
      <c r="D96" s="146">
        <f t="shared" si="22"/>
        <v>0</v>
      </c>
      <c r="E96" s="146">
        <f t="shared" si="22"/>
        <v>8014730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8014730</v>
      </c>
      <c r="S96" s="150">
        <f>SUM(S84:S87,S89:S95)</f>
        <v>7722520</v>
      </c>
      <c r="T96" s="146">
        <f>SUM(T84:T87,T89:T95)</f>
        <v>0</v>
      </c>
      <c r="U96" s="143"/>
    </row>
    <row r="97" spans="1:21" s="144" customFormat="1" ht="12">
      <c r="A97" s="149" t="s">
        <v>773</v>
      </c>
      <c r="B97" s="146">
        <f>SUM(C97:D97)</f>
        <v>100501703</v>
      </c>
      <c r="C97" s="146">
        <f t="shared" ref="C97:R97" si="23">SUM(C63+C70+C77+C81+C96)</f>
        <v>100501703</v>
      </c>
      <c r="D97" s="146">
        <f t="shared" si="23"/>
        <v>0</v>
      </c>
      <c r="E97" s="146">
        <f t="shared" si="23"/>
        <v>54001703</v>
      </c>
      <c r="F97" s="146">
        <f t="shared" si="23"/>
        <v>11500000</v>
      </c>
      <c r="G97" s="146">
        <f t="shared" si="23"/>
        <v>27813000</v>
      </c>
      <c r="H97" s="146">
        <f t="shared" si="23"/>
        <v>5000000</v>
      </c>
      <c r="I97" s="146">
        <f t="shared" si="23"/>
        <v>2187000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100501703</v>
      </c>
      <c r="S97" s="146">
        <f>SUM(S63+S70+S81+S96)</f>
        <v>99015669</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14852350</v>
      </c>
      <c r="C99" s="979">
        <v>14852350</v>
      </c>
      <c r="D99" s="979"/>
      <c r="E99" s="979">
        <v>2200000</v>
      </c>
      <c r="F99" s="147"/>
      <c r="G99" s="147"/>
      <c r="H99" s="147"/>
      <c r="I99" s="147"/>
      <c r="J99" s="147">
        <v>12652350</v>
      </c>
      <c r="K99" s="147"/>
      <c r="L99" s="147"/>
      <c r="M99" s="147"/>
      <c r="N99" s="147"/>
      <c r="O99" s="147"/>
      <c r="P99" s="147"/>
      <c r="Q99" s="147"/>
      <c r="R99" s="516">
        <f>SUM(E99:Q99)</f>
        <v>14852350</v>
      </c>
      <c r="S99" s="147">
        <f>R99</f>
        <v>14852350</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14852350</v>
      </c>
      <c r="C104" s="146">
        <f>SUM(C99:C103)</f>
        <v>14852350</v>
      </c>
      <c r="D104" s="146">
        <f t="shared" ref="D104:T104" si="24">SUM(D99:D103)</f>
        <v>0</v>
      </c>
      <c r="E104" s="146">
        <f t="shared" si="24"/>
        <v>2200000</v>
      </c>
      <c r="F104" s="146">
        <f t="shared" si="24"/>
        <v>0</v>
      </c>
      <c r="G104" s="146">
        <f t="shared" si="24"/>
        <v>0</v>
      </c>
      <c r="H104" s="146">
        <f t="shared" si="24"/>
        <v>0</v>
      </c>
      <c r="I104" s="146">
        <f t="shared" si="24"/>
        <v>0</v>
      </c>
      <c r="J104" s="146">
        <f t="shared" si="24"/>
        <v>12652350</v>
      </c>
      <c r="K104" s="146">
        <f t="shared" si="24"/>
        <v>0</v>
      </c>
      <c r="L104" s="146">
        <f t="shared" si="24"/>
        <v>0</v>
      </c>
      <c r="M104" s="146">
        <f t="shared" si="24"/>
        <v>0</v>
      </c>
      <c r="N104" s="146">
        <f t="shared" si="24"/>
        <v>0</v>
      </c>
      <c r="O104" s="146">
        <f t="shared" si="24"/>
        <v>0</v>
      </c>
      <c r="P104" s="146">
        <f t="shared" si="24"/>
        <v>0</v>
      </c>
      <c r="Q104" s="146">
        <f t="shared" si="24"/>
        <v>0</v>
      </c>
      <c r="R104" s="342">
        <f t="shared" si="24"/>
        <v>14852350</v>
      </c>
      <c r="S104" s="150">
        <f t="shared" si="24"/>
        <v>14852350</v>
      </c>
      <c r="T104" s="150">
        <f t="shared" si="24"/>
        <v>0</v>
      </c>
      <c r="U104" s="143"/>
    </row>
    <row r="105" spans="1:21" s="144" customFormat="1" ht="12">
      <c r="A105" s="149" t="s">
        <v>778</v>
      </c>
      <c r="B105" s="150">
        <f>SUM(C105:D105)</f>
        <v>115354053</v>
      </c>
      <c r="C105" s="150">
        <f t="shared" ref="C105:R105" si="25">SUM(C97+C104)</f>
        <v>115354053</v>
      </c>
      <c r="D105" s="150">
        <f t="shared" si="25"/>
        <v>0</v>
      </c>
      <c r="E105" s="150">
        <f t="shared" si="25"/>
        <v>56201703</v>
      </c>
      <c r="F105" s="150">
        <f t="shared" si="25"/>
        <v>11500000</v>
      </c>
      <c r="G105" s="150">
        <f t="shared" si="25"/>
        <v>27813000</v>
      </c>
      <c r="H105" s="150">
        <f t="shared" si="25"/>
        <v>5000000</v>
      </c>
      <c r="I105" s="150">
        <f t="shared" si="25"/>
        <v>2187000</v>
      </c>
      <c r="J105" s="150">
        <f t="shared" si="25"/>
        <v>12652350</v>
      </c>
      <c r="K105" s="150">
        <f t="shared" si="25"/>
        <v>0</v>
      </c>
      <c r="L105" s="150">
        <f t="shared" si="25"/>
        <v>0</v>
      </c>
      <c r="M105" s="150">
        <f t="shared" si="25"/>
        <v>0</v>
      </c>
      <c r="N105" s="150">
        <f t="shared" si="25"/>
        <v>0</v>
      </c>
      <c r="O105" s="150">
        <f t="shared" si="25"/>
        <v>0</v>
      </c>
      <c r="P105" s="150">
        <f t="shared" si="25"/>
        <v>0</v>
      </c>
      <c r="Q105" s="150">
        <f t="shared" si="25"/>
        <v>0</v>
      </c>
      <c r="R105" s="342">
        <f t="shared" si="25"/>
        <v>115354053</v>
      </c>
      <c r="S105" s="150">
        <f>S97+S104</f>
        <v>113868019</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113868019</v>
      </c>
      <c r="T107" s="150">
        <f>T105+T106</f>
        <v>0</v>
      </c>
    </row>
    <row r="108" spans="1:21" s="189" customFormat="1" ht="12">
      <c r="A108" s="162" t="s">
        <v>877</v>
      </c>
      <c r="B108" s="157"/>
      <c r="C108" s="157"/>
      <c r="D108" s="157"/>
      <c r="E108" s="301">
        <f>Application!AO640</f>
        <v>56201703</v>
      </c>
      <c r="F108" s="301">
        <f>Application!AO627</f>
        <v>11500000</v>
      </c>
      <c r="G108" s="301">
        <f>Application!AO628</f>
        <v>27813000</v>
      </c>
      <c r="H108" s="301">
        <f>Application!AO629</f>
        <v>5000000</v>
      </c>
      <c r="I108" s="301">
        <f>Application!AO630</f>
        <v>2187000</v>
      </c>
      <c r="J108" s="301">
        <f>Application!AO631</f>
        <v>12652350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0" t="s">
        <v>988</v>
      </c>
      <c r="E122" s="1870"/>
      <c r="F122" s="1870"/>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2" t="s">
        <v>1222</v>
      </c>
      <c r="E123" s="1788"/>
      <c r="F123" s="1788"/>
      <c r="G123" s="1788"/>
      <c r="H123" s="1788"/>
      <c r="I123" s="1788"/>
      <c r="J123" s="1788"/>
      <c r="K123" s="1788"/>
      <c r="L123" s="1788"/>
      <c r="M123" s="1788"/>
      <c r="N123" s="1788"/>
      <c r="O123" s="1788"/>
      <c r="P123" s="1788"/>
      <c r="Q123" s="1788"/>
      <c r="R123" s="1788"/>
      <c r="S123" s="1788"/>
      <c r="T123" s="324"/>
      <c r="U123" s="326"/>
    </row>
    <row r="124" spans="1:21" ht="13">
      <c r="A124" s="117" t="s">
        <v>990</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3">
      <c r="A125" s="117" t="s">
        <v>991</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3">
      <c r="A129" s="117" t="s">
        <v>299</v>
      </c>
      <c r="B129" s="333"/>
      <c r="C129" s="117"/>
      <c r="D129" s="1869" t="s">
        <v>995</v>
      </c>
      <c r="E129" s="1869"/>
      <c r="F129" s="1869"/>
      <c r="G129" s="1869"/>
      <c r="H129" s="1869"/>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998</v>
      </c>
      <c r="E132" s="1873"/>
      <c r="F132" s="1873"/>
      <c r="G132" s="1873"/>
      <c r="H132" s="1873"/>
      <c r="I132" s="117"/>
      <c r="J132" s="1873" t="s">
        <v>999</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3.25">
      <c r="A139" s="1871" t="s">
        <v>1002</v>
      </c>
      <c r="B139" s="1871"/>
      <c r="C139" s="1871"/>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72656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72656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72656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72656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72656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72656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72656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72656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72656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72656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72656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72656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72656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72656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72656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72656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72656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72656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72656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72656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72656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72656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72656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72656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72656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72656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72656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72656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72656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72656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72656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72656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72656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72656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72656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72656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72656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72656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72656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72656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72656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72656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72656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72656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72656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72656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72656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72656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72656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72656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72656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72656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72656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72656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72656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72656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72656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72656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72656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72656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72656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72656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2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508745</v>
      </c>
      <c r="C10" s="362"/>
      <c r="D10" s="362"/>
      <c r="E10" s="361">
        <f>'Sources and Uses Budget'!S10</f>
        <v>508745</v>
      </c>
      <c r="F10" s="362"/>
      <c r="G10" s="362"/>
      <c r="H10" s="361">
        <f>'Sources and Uses Budget'!T10</f>
        <v>0</v>
      </c>
      <c r="I10" s="362"/>
      <c r="J10" s="362"/>
      <c r="K10" s="359"/>
    </row>
    <row r="11" spans="1:11" s="360" customFormat="1">
      <c r="A11" s="365" t="s">
        <v>595</v>
      </c>
      <c r="B11" s="361">
        <f>'Sources and Uses Budget'!C11</f>
        <v>508745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508745</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3450000</v>
      </c>
      <c r="C29" s="362"/>
      <c r="D29" s="362"/>
      <c r="E29" s="361">
        <f>'Sources and Uses Budget'!S29</f>
        <v>3450000</v>
      </c>
      <c r="F29" s="362"/>
      <c r="G29" s="362"/>
      <c r="H29" s="361">
        <f>'Sources and Uses Budget'!T29</f>
        <v>0</v>
      </c>
      <c r="I29" s="362"/>
      <c r="J29" s="362"/>
      <c r="K29" s="359"/>
    </row>
    <row r="30" spans="1:11" s="360" customFormat="1" ht="11.75">
      <c r="A30" s="145" t="s">
        <v>598</v>
      </c>
      <c r="B30" s="361">
        <f>'Sources and Uses Budget'!C30</f>
        <v>64198403</v>
      </c>
      <c r="C30" s="362"/>
      <c r="D30" s="362"/>
      <c r="E30" s="361">
        <f>'Sources and Uses Budget'!S30</f>
        <v>64198403</v>
      </c>
      <c r="F30" s="362"/>
      <c r="G30" s="362"/>
      <c r="H30" s="361">
        <f>'Sources and Uses Budget'!T30</f>
        <v>0</v>
      </c>
      <c r="I30" s="362"/>
      <c r="J30" s="362"/>
      <c r="K30" s="359"/>
    </row>
    <row r="31" spans="1:11" s="360" customFormat="1" ht="11.75">
      <c r="A31" s="145" t="s">
        <v>599</v>
      </c>
      <c r="B31" s="361">
        <f>'Sources and Uses Budget'!C31</f>
        <v>4089429</v>
      </c>
      <c r="C31" s="362"/>
      <c r="D31" s="362"/>
      <c r="E31" s="361">
        <f>'Sources and Uses Budget'!S31</f>
        <v>4089429</v>
      </c>
      <c r="F31" s="362"/>
      <c r="G31" s="362"/>
      <c r="H31" s="361">
        <f>'Sources and Uses Budget'!T31</f>
        <v>0</v>
      </c>
      <c r="I31" s="362"/>
      <c r="J31" s="362"/>
      <c r="K31" s="359"/>
    </row>
    <row r="32" spans="1:11" s="360" customFormat="1" ht="11.75">
      <c r="A32" s="145" t="s">
        <v>137</v>
      </c>
      <c r="B32" s="361">
        <f>'Sources and Uses Budget'!C32</f>
        <v>1363143</v>
      </c>
      <c r="C32" s="362"/>
      <c r="D32" s="362"/>
      <c r="E32" s="361">
        <f>'Sources and Uses Budget'!S32</f>
        <v>1363143</v>
      </c>
      <c r="F32" s="362"/>
      <c r="G32" s="362"/>
      <c r="H32" s="361">
        <f>'Sources and Uses Budget'!T32</f>
        <v>0</v>
      </c>
      <c r="I32" s="362"/>
      <c r="J32" s="362"/>
      <c r="K32" s="359"/>
    </row>
    <row r="33" spans="1:11" s="360" customFormat="1" ht="11.75">
      <c r="A33" s="145" t="s">
        <v>138</v>
      </c>
      <c r="B33" s="361">
        <f>'Sources and Uses Budget'!C33</f>
        <v>4089429</v>
      </c>
      <c r="C33" s="362"/>
      <c r="D33" s="362"/>
      <c r="E33" s="361">
        <f>'Sources and Uses Budget'!S33</f>
        <v>4089429</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675000</v>
      </c>
      <c r="C35" s="362"/>
      <c r="D35" s="362"/>
      <c r="E35" s="361">
        <f>'Sources and Uses Budget'!S35</f>
        <v>675000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77865404</v>
      </c>
      <c r="C38" s="361">
        <f>SUM(C29:C37)</f>
        <v>0</v>
      </c>
      <c r="D38" s="361">
        <f>SUM(D29:D37)</f>
        <v>0</v>
      </c>
      <c r="E38" s="361">
        <f>'Sources and Uses Budget'!S38</f>
        <v>77865404</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ht="11.75">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285000</v>
      </c>
      <c r="C43" s="362"/>
      <c r="D43" s="362"/>
      <c r="E43" s="361">
        <f>'Sources and Uses Budget'!S43</f>
        <v>285000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5160000</v>
      </c>
      <c r="C45" s="362"/>
      <c r="D45" s="362"/>
      <c r="E45" s="361">
        <f>'Sources and Uses Budget'!S45</f>
        <v>5160000</v>
      </c>
      <c r="F45" s="362"/>
      <c r="G45" s="362"/>
      <c r="H45" s="361">
        <f>'Sources and Uses Budget'!T45</f>
        <v>0</v>
      </c>
      <c r="I45" s="362"/>
      <c r="J45" s="362"/>
      <c r="K45" s="359"/>
    </row>
    <row r="46" spans="1:11" s="360" customFormat="1" ht="11.75">
      <c r="A46" s="364" t="s">
        <v>151</v>
      </c>
      <c r="B46" s="361">
        <f>'Sources and Uses Budget'!C46</f>
        <v>765000</v>
      </c>
      <c r="C46" s="362"/>
      <c r="D46" s="362"/>
      <c r="E46" s="361">
        <f>'Sources and Uses Budget'!S46</f>
        <v>765000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ht="11.75">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ht="11.75">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ht="11.75">
      <c r="A52" s="364" t="s">
        <v>155</v>
      </c>
      <c r="B52" s="361">
        <f>'Sources and Uses Budget'!C52</f>
        <v>549000</v>
      </c>
      <c r="C52" s="362"/>
      <c r="D52" s="362"/>
      <c r="E52" s="361">
        <f>'Sources and Uses Budget'!S52</f>
        <v>549000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6814000</v>
      </c>
      <c r="C54" s="367">
        <f>SUM(C45:C53)</f>
        <v>0</v>
      </c>
      <c r="D54" s="367">
        <f>SUM(D45:D53)</f>
        <v>0</v>
      </c>
      <c r="E54" s="361">
        <f>'Sources and Uses Budget'!S54</f>
        <v>6814000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57500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82500</v>
      </c>
      <c r="C62" s="361">
        <f>SUM(C56:C61)</f>
        <v>0</v>
      </c>
      <c r="D62" s="361">
        <f>SUM(D56:D61)</f>
        <v>0</v>
      </c>
      <c r="E62" s="363"/>
      <c r="F62" s="363"/>
      <c r="G62" s="363"/>
      <c r="H62" s="363"/>
      <c r="I62" s="363"/>
      <c r="J62" s="363"/>
      <c r="K62" s="359"/>
    </row>
    <row r="63" spans="1:11" s="360" customFormat="1" ht="11.75">
      <c r="A63" s="370" t="s">
        <v>301</v>
      </c>
      <c r="B63" s="361">
        <f>'Sources and Uses Budget'!C63</f>
        <v>86455649</v>
      </c>
      <c r="C63" s="361">
        <f>SUM(C8+C11+C13+C14+C15+C26+C27+C38+C42+C43+C54+C62)</f>
        <v>0</v>
      </c>
      <c r="D63" s="361">
        <f>SUM(D8+D11+D13+D14+D15+D26+D27+D38+D42+D43+D54+D62)</f>
        <v>0</v>
      </c>
      <c r="E63" s="361">
        <f>'Sources and Uses Budget'!S63</f>
        <v>86373149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70000</v>
      </c>
      <c r="C65" s="362"/>
      <c r="D65" s="362"/>
      <c r="E65" s="361">
        <f>'Sources and Uses Budget'!S65</f>
        <v>70000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90000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160000</v>
      </c>
      <c r="C70" s="361">
        <f>SUM(C64:C69)</f>
        <v>0</v>
      </c>
      <c r="D70" s="361">
        <f>SUM(D64:D69)</f>
        <v>0</v>
      </c>
      <c r="E70" s="361">
        <f>'Sources and Uses Budget'!S70</f>
        <v>70000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551324</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470000</v>
      </c>
      <c r="C76" s="362"/>
      <c r="D76" s="362"/>
      <c r="E76" s="363"/>
      <c r="F76" s="363"/>
      <c r="G76" s="363"/>
      <c r="H76" s="363"/>
      <c r="I76" s="363"/>
      <c r="J76" s="363"/>
      <c r="K76" s="359"/>
    </row>
    <row r="77" spans="1:11" s="360" customFormat="1">
      <c r="A77" s="365" t="s">
        <v>605</v>
      </c>
      <c r="B77" s="361">
        <f>'Sources and Uses Budget'!C77</f>
        <v>1021324</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3900000</v>
      </c>
      <c r="C79" s="362"/>
      <c r="D79" s="362"/>
      <c r="E79" s="361">
        <f>'Sources and Uses Budget'!S79</f>
        <v>3900000</v>
      </c>
      <c r="F79" s="362"/>
      <c r="G79" s="362"/>
      <c r="H79" s="361">
        <f>'Sources and Uses Budget'!T79</f>
        <v>0</v>
      </c>
      <c r="I79" s="362"/>
      <c r="J79" s="362"/>
      <c r="K79" s="359"/>
    </row>
    <row r="80" spans="1:11" s="360" customFormat="1" ht="11.75">
      <c r="A80" s="364" t="s">
        <v>58</v>
      </c>
      <c r="B80" s="361">
        <f>'Sources and Uses Budget'!C80</f>
        <v>950000</v>
      </c>
      <c r="C80" s="362"/>
      <c r="D80" s="362"/>
      <c r="E80" s="361">
        <f>'Sources and Uses Budget'!S80</f>
        <v>950000</v>
      </c>
      <c r="F80" s="362"/>
      <c r="G80" s="362"/>
      <c r="H80" s="361">
        <f>'Sources and Uses Budget'!T80</f>
        <v>0</v>
      </c>
      <c r="I80" s="362"/>
      <c r="J80" s="362"/>
      <c r="K80" s="359"/>
    </row>
    <row r="81" spans="1:11" s="360" customFormat="1">
      <c r="A81" s="365" t="s">
        <v>1207</v>
      </c>
      <c r="B81" s="361">
        <f>'Sources and Uses Budget'!C81</f>
        <v>4850000</v>
      </c>
      <c r="C81" s="361">
        <f>SUM(C79:C80)</f>
        <v>0</v>
      </c>
      <c r="D81" s="361">
        <f>SUM(D79:D80)</f>
        <v>0</v>
      </c>
      <c r="E81" s="361">
        <f>'Sources and Uses Budget'!S81</f>
        <v>4850000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65" customHeight="1">
      <c r="A83" s="145" t="s">
        <v>2092</v>
      </c>
      <c r="B83" s="361">
        <f>'Sources and Uses Budget'!C83</f>
        <v>122301</v>
      </c>
      <c r="C83" s="362"/>
      <c r="D83" s="362"/>
      <c r="E83" s="363"/>
      <c r="F83" s="363"/>
      <c r="G83" s="363"/>
      <c r="H83" s="363"/>
      <c r="I83" s="363"/>
      <c r="J83" s="363"/>
      <c r="K83" s="359"/>
    </row>
    <row r="84" spans="1:11" s="360" customFormat="1" ht="11.75">
      <c r="A84" s="145" t="s">
        <v>765</v>
      </c>
      <c r="B84" s="361">
        <f>'Sources and Uses Budget'!C84</f>
        <v>15000</v>
      </c>
      <c r="C84" s="362"/>
      <c r="D84" s="362"/>
      <c r="E84" s="361">
        <f>'Sources and Uses Budget'!S84</f>
        <v>15000</v>
      </c>
      <c r="F84" s="362"/>
      <c r="G84" s="362"/>
      <c r="H84" s="361">
        <f>'Sources and Uses Budget'!T84</f>
        <v>0</v>
      </c>
      <c r="I84" s="362"/>
      <c r="J84" s="362"/>
      <c r="K84" s="359"/>
    </row>
    <row r="85" spans="1:11" s="360" customFormat="1" ht="11.75">
      <c r="A85" s="145" t="s">
        <v>766</v>
      </c>
      <c r="B85" s="361">
        <f>'Sources and Uses Budget'!C85</f>
        <v>6227520</v>
      </c>
      <c r="C85" s="362"/>
      <c r="D85" s="362"/>
      <c r="E85" s="361">
        <f>'Sources and Uses Budget'!S85</f>
        <v>6227520</v>
      </c>
      <c r="F85" s="362"/>
      <c r="G85" s="362"/>
      <c r="H85" s="361">
        <f>'Sources and Uses Budget'!T85</f>
        <v>0</v>
      </c>
      <c r="I85" s="362"/>
      <c r="J85" s="362"/>
      <c r="K85" s="359"/>
    </row>
    <row r="86" spans="1:11" s="360" customFormat="1" ht="11.75">
      <c r="A86" s="145" t="s">
        <v>767</v>
      </c>
      <c r="B86" s="361">
        <f>'Sources and Uses Budget'!C86</f>
        <v>1400000</v>
      </c>
      <c r="C86" s="362"/>
      <c r="D86" s="362"/>
      <c r="E86" s="361">
        <f>'Sources and Uses Budget'!S86</f>
        <v>1400000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169909</v>
      </c>
      <c r="C88" s="362"/>
      <c r="D88" s="362"/>
      <c r="E88" s="363"/>
      <c r="F88" s="363"/>
      <c r="G88" s="363"/>
      <c r="H88" s="363"/>
      <c r="I88" s="363"/>
      <c r="J88" s="363"/>
      <c r="K88" s="359"/>
    </row>
    <row r="89" spans="1:11" s="360" customFormat="1" ht="11.75">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8014730</v>
      </c>
      <c r="C96" s="361">
        <f>SUM(C83:C95)</f>
        <v>0</v>
      </c>
      <c r="D96" s="361">
        <f>SUM(D83:D95)</f>
        <v>0</v>
      </c>
      <c r="E96" s="361">
        <f>'Sources and Uses Budget'!S96</f>
        <v>7722520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100501703</v>
      </c>
      <c r="C97" s="361">
        <f>SUM(C63+C70+C77+C81+C96)</f>
        <v>0</v>
      </c>
      <c r="D97" s="361">
        <f>SUM(D63+D70+D77+D81+D96)</f>
        <v>0</v>
      </c>
      <c r="E97" s="361">
        <f>'Sources and Uses Budget'!S97</f>
        <v>99015669</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14852350</v>
      </c>
      <c r="C99" s="362"/>
      <c r="D99" s="362"/>
      <c r="E99" s="361">
        <f>'Sources and Uses Budget'!S99</f>
        <v>14852350</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14852350</v>
      </c>
      <c r="C104" s="361">
        <f>SUM(C99:C103)</f>
        <v>0</v>
      </c>
      <c r="D104" s="361">
        <f>SUM(D99:D103)</f>
        <v>0</v>
      </c>
      <c r="E104" s="361">
        <f>'Sources and Uses Budget'!S104</f>
        <v>14852350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115354053</v>
      </c>
      <c r="C105" s="367">
        <f>SUM(C97+C104)</f>
        <v>0</v>
      </c>
      <c r="D105" s="367">
        <f>SUM(D97+D104)</f>
        <v>0</v>
      </c>
      <c r="E105" s="361">
        <f>'Sources and Uses Budget'!S105</f>
        <v>113868019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113868019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5"/>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265625" style="1187"/>
  </cols>
  <sheetData>
    <row r="1" spans="1:65" ht="15.75" customHeight="1">
      <c r="A1" s="2325" t="s">
        <v>2454</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2453</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2317" t="str">
        <f>IF(Application!H18="","",Application!H18)</f>
        <v>Metrowalk at Richmond Station</v>
      </c>
      <c r="M4" s="2318"/>
      <c r="N4" s="2318"/>
      <c r="O4" s="2318"/>
      <c r="P4" s="2318"/>
      <c r="Q4" s="2318"/>
      <c r="R4" s="2318"/>
      <c r="S4" s="2318"/>
      <c r="T4" s="2318"/>
      <c r="U4" s="2318"/>
      <c r="V4" s="2318"/>
      <c r="W4" s="2318"/>
      <c r="X4" s="2318"/>
      <c r="Y4" s="2318"/>
      <c r="Z4" s="2318"/>
      <c r="AA4" s="2318"/>
      <c r="AB4" s="2318"/>
      <c r="AC4" s="2319"/>
      <c r="AD4" s="1190"/>
      <c r="AE4" s="1190"/>
      <c r="AF4" s="2313" t="s">
        <v>2452</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2451</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7" t="str">
        <f>IF(Application!H16="","",Application!H16)</f>
        <v>Central Valley Coalition for Affordable Housing, a CA Nonprofit Public Benefit Corp.</v>
      </c>
      <c r="M6" s="2318"/>
      <c r="N6" s="2318"/>
      <c r="O6" s="2318"/>
      <c r="P6" s="2318"/>
      <c r="Q6" s="2318"/>
      <c r="R6" s="2318"/>
      <c r="S6" s="2318"/>
      <c r="T6" s="2318"/>
      <c r="U6" s="2318"/>
      <c r="V6" s="2318"/>
      <c r="W6" s="2318"/>
      <c r="X6" s="2318"/>
      <c r="Y6" s="2318"/>
      <c r="Z6" s="2318"/>
      <c r="AA6" s="2318"/>
      <c r="AB6" s="2318"/>
      <c r="AC6" s="2319"/>
      <c r="AD6" s="1190"/>
      <c r="AE6" s="1190"/>
      <c r="AF6" s="2320" t="s">
        <v>2449</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2448</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2446</v>
      </c>
      <c r="AG8" s="2320"/>
      <c r="AH8" s="2320"/>
      <c r="AI8" s="2320"/>
      <c r="AJ8" s="2320"/>
      <c r="AK8" s="2320"/>
      <c r="AL8" s="2320"/>
      <c r="AM8" s="2320"/>
      <c r="AN8" s="2320"/>
      <c r="AO8" s="2320"/>
      <c r="AP8" s="2321" t="s">
        <v>2096</v>
      </c>
      <c r="AQ8" s="2321"/>
      <c r="AR8" s="2321"/>
      <c r="AS8" s="2321"/>
      <c r="AT8" s="2321"/>
      <c r="AU8" s="2321"/>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2445</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2316">
        <f>Application!AO627</f>
        <v>11500000</v>
      </c>
      <c r="O10" s="2316"/>
      <c r="P10" s="2316"/>
      <c r="Q10" s="2316"/>
      <c r="R10" s="2316"/>
      <c r="S10" s="2316"/>
      <c r="T10" s="2316"/>
      <c r="U10" s="1190"/>
      <c r="V10" s="1190"/>
      <c r="W10" s="1190"/>
      <c r="X10" s="1193"/>
      <c r="Y10" s="1193"/>
      <c r="Z10" s="1193"/>
      <c r="AA10" s="1193"/>
      <c r="AB10" s="1193"/>
      <c r="AC10" s="1193"/>
      <c r="AD10" s="1193"/>
      <c r="AE10" s="1193"/>
      <c r="AF10" s="2313" t="s">
        <v>2442</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2439</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2304" t="s">
        <v>2437</v>
      </c>
      <c r="C13" s="2305"/>
      <c r="D13" s="2305"/>
      <c r="E13" s="2305"/>
      <c r="F13" s="2305"/>
      <c r="G13" s="2305"/>
      <c r="H13" s="2305"/>
      <c r="I13" s="2305"/>
      <c r="J13" s="2305"/>
      <c r="K13" s="2305"/>
      <c r="L13" s="2305"/>
      <c r="M13" s="2305"/>
      <c r="N13" s="2305"/>
      <c r="O13" s="2305"/>
      <c r="P13" s="2306"/>
      <c r="Q13" s="2307" t="s">
        <v>667</v>
      </c>
      <c r="R13" s="2308"/>
      <c r="S13" s="2308"/>
      <c r="T13" s="2309"/>
      <c r="U13" s="1193"/>
      <c r="V13" s="1190"/>
      <c r="W13" s="1190"/>
      <c r="X13" s="1190"/>
      <c r="Y13" s="1190"/>
      <c r="Z13" s="1190"/>
      <c r="AA13" s="2294" t="s">
        <v>2436</v>
      </c>
      <c r="AB13" s="2294"/>
      <c r="AC13" s="2294"/>
      <c r="AD13" s="2294"/>
      <c r="AE13" s="2294"/>
      <c r="AF13" s="2294"/>
      <c r="AG13" s="2294"/>
      <c r="AH13" s="2294"/>
      <c r="AI13" s="2294"/>
      <c r="AJ13" s="2294"/>
      <c r="AK13" s="2294"/>
      <c r="AL13" s="2294"/>
      <c r="AM13" s="2294"/>
      <c r="AN13" s="2294"/>
      <c r="AO13" s="2310">
        <f>Application!W473</f>
        <v>23</v>
      </c>
      <c r="AP13" s="2311"/>
      <c r="AQ13" s="2311"/>
      <c r="AR13" s="2311"/>
      <c r="AS13" s="2311"/>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2434</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ht="15.5" thickBot="1">
      <c r="A15" s="1190"/>
      <c r="B15" s="2289" t="s">
        <v>2433</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2432</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2102" t="s">
        <v>2431</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2430</v>
      </c>
      <c r="C18" s="2298"/>
      <c r="D18" s="2298"/>
      <c r="E18" s="2298"/>
      <c r="F18" s="2298"/>
      <c r="G18" s="2298"/>
      <c r="H18" s="2298"/>
      <c r="I18" s="2299"/>
      <c r="J18" s="2300" t="s">
        <v>1584</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2429</v>
      </c>
      <c r="AU18" s="2301"/>
      <c r="AV18" s="2301"/>
      <c r="AW18" s="2301"/>
      <c r="AX18" s="2301"/>
      <c r="AY18" s="2303"/>
      <c r="AZ18" s="1190"/>
      <c r="BA18" s="1190"/>
      <c r="BB18" s="1190"/>
      <c r="BC18" s="1190"/>
      <c r="BD18" s="1190"/>
      <c r="BE18" s="1194"/>
    </row>
    <row r="19" spans="1:58" ht="14.75">
      <c r="A19" s="1190"/>
      <c r="B19" s="2283">
        <v>0.3</v>
      </c>
      <c r="C19" s="2284"/>
      <c r="D19" s="2284"/>
      <c r="E19" s="2284"/>
      <c r="F19" s="2284"/>
      <c r="G19" s="2284"/>
      <c r="H19" s="2284"/>
      <c r="I19" s="2285"/>
      <c r="J19" s="2286">
        <f t="shared" ref="J19:J24" si="0">SUM(P19:AS19)</f>
        <v>74</v>
      </c>
      <c r="K19" s="2287"/>
      <c r="L19" s="2287"/>
      <c r="M19" s="2287"/>
      <c r="N19" s="2287"/>
      <c r="O19" s="2288"/>
      <c r="P19" s="2286" cm="1">
        <f t="array" ref="P19">SUMPRODUCT((Application!$B$718:$B$752 = 'CalHFA Addendum'!P$18)*(Application!$AC$718:$AC$752 = 'CalHFA Addendum'!$B19),Application!$G$718:$G$752)</f>
        <v>20</v>
      </c>
      <c r="Q19" s="2287"/>
      <c r="R19" s="2287"/>
      <c r="S19" s="2287"/>
      <c r="T19" s="2287"/>
      <c r="U19" s="2288"/>
      <c r="V19" s="2286" cm="1">
        <f t="array" ref="V19">SUMPRODUCT((Application!$B$714:$B$738 = 'CalHFA Addendum'!V$18)*(Application!$AC$714:$AC$738 = 'CalHFA Addendum'!$B19),Application!$G$714:$G$738)</f>
        <v>8</v>
      </c>
      <c r="W19" s="2287"/>
      <c r="X19" s="2287"/>
      <c r="Y19" s="2287"/>
      <c r="Z19" s="2287"/>
      <c r="AA19" s="2288"/>
      <c r="AB19" s="2286" cm="1">
        <f t="array" ref="AB19">SUMPRODUCT((Application!$B$714:$B$738 = 'CalHFA Addendum'!AB$18)*(Application!$AC$714:$AC$738 = 'CalHFA Addendum'!$B19),Application!$G$714:$G$738)</f>
        <v>33</v>
      </c>
      <c r="AC19" s="2287"/>
      <c r="AD19" s="2287"/>
      <c r="AE19" s="2287"/>
      <c r="AF19" s="2287"/>
      <c r="AG19" s="2288"/>
      <c r="AH19" s="2286" cm="1">
        <f t="array" ref="AH19">SUMPRODUCT((Application!$B$714:$B$738 = 'CalHFA Addendum'!AH$18)*(Application!$AC$714:$AC$738 = 'CalHFA Addendum'!$B19),Application!$G$714:$G$738)</f>
        <v>13</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0.49333333333333335</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4.75">
      <c r="A21" s="1190"/>
      <c r="B21" s="2283">
        <v>0.5</v>
      </c>
      <c r="C21" s="2284"/>
      <c r="D21" s="2284"/>
      <c r="E21" s="2284"/>
      <c r="F21" s="2284"/>
      <c r="G21" s="2284"/>
      <c r="H21" s="2284"/>
      <c r="I21" s="2285"/>
      <c r="J21" s="2286">
        <f t="shared" si="0"/>
        <v>58</v>
      </c>
      <c r="K21" s="2287"/>
      <c r="L21" s="2287"/>
      <c r="M21" s="2287"/>
      <c r="N21" s="2287"/>
      <c r="O21" s="2288"/>
      <c r="P21" s="2286" cm="1">
        <f t="array" ref="P21">SUMPRODUCT((Application!$B$714:$B$738 = 'CalHFA Addendum'!P$18)*(Application!$AC$714:$AC$738 = 'CalHFA Addendum'!$B21),Application!$G$714:$G$738)</f>
        <v>1</v>
      </c>
      <c r="Q21" s="2287"/>
      <c r="R21" s="2287"/>
      <c r="S21" s="2287"/>
      <c r="T21" s="2287"/>
      <c r="U21" s="2288"/>
      <c r="V21" s="2286" cm="1">
        <f t="array" ref="V21">SUMPRODUCT((Application!$B$714:$B$738 = 'CalHFA Addendum'!V$18)*(Application!$AC$714:$AC$738 = 'CalHFA Addendum'!$B21),Application!$G$714:$G$738)</f>
        <v>1</v>
      </c>
      <c r="W21" s="2287"/>
      <c r="X21" s="2287"/>
      <c r="Y21" s="2287"/>
      <c r="Z21" s="2287"/>
      <c r="AA21" s="2288"/>
      <c r="AB21" s="2286" cm="1">
        <f t="array" ref="AB21">SUMPRODUCT((Application!$B$714:$B$738 = 'CalHFA Addendum'!AB$18)*(Application!$AC$714:$AC$738 = 'CalHFA Addendum'!$B21),Application!$G$714:$G$738)</f>
        <v>27</v>
      </c>
      <c r="AC21" s="2287"/>
      <c r="AD21" s="2287"/>
      <c r="AE21" s="2287"/>
      <c r="AF21" s="2287"/>
      <c r="AG21" s="2288"/>
      <c r="AH21" s="2286" cm="1">
        <f t="array" ref="AH21">SUMPRODUCT((Application!$B$714:$B$738 = 'CalHFA Addendum'!AH$18)*(Application!$AC$714:$AC$738 = 'CalHFA Addendum'!$B21),Application!$G$714:$G$738)</f>
        <v>29</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0.38666666666666666</v>
      </c>
      <c r="AU21" s="2272"/>
      <c r="AV21" s="2272"/>
      <c r="AW21" s="2272"/>
      <c r="AX21" s="2272"/>
      <c r="AY21" s="2273"/>
      <c r="AZ21" s="1190"/>
      <c r="BA21" s="1190"/>
      <c r="BB21" s="1190"/>
      <c r="BC21" s="1190"/>
      <c r="BD21" s="1190"/>
      <c r="BE21" s="1194"/>
    </row>
    <row r="22" spans="1:58" ht="14.75">
      <c r="A22" s="1190"/>
      <c r="B22" s="2283">
        <v>0.6</v>
      </c>
      <c r="C22" s="2284"/>
      <c r="D22" s="2284"/>
      <c r="E22" s="2284"/>
      <c r="F22" s="2284"/>
      <c r="G22" s="2284"/>
      <c r="H22" s="2284"/>
      <c r="I22" s="2285"/>
      <c r="J22" s="2286">
        <f t="shared" si="0"/>
        <v>17</v>
      </c>
      <c r="K22" s="2287"/>
      <c r="L22" s="2287"/>
      <c r="M22" s="2287"/>
      <c r="N22" s="2287"/>
      <c r="O22" s="2288"/>
      <c r="P22" s="2286" cm="1">
        <f t="array" ref="P22">SUMPRODUCT((Application!$B$714:$B$738 = 'CalHFA Addendum'!P$18)*(Application!$AC$714:$AC$738 = 'CalHFA Addendum'!$B22),Application!$G$714:$G$738)</f>
        <v>1</v>
      </c>
      <c r="Q22" s="2287"/>
      <c r="R22" s="2287"/>
      <c r="S22" s="2287"/>
      <c r="T22" s="2287"/>
      <c r="U22" s="2288"/>
      <c r="V22" s="2286" cm="1">
        <f t="array" ref="V22">SUMPRODUCT((Application!$B$714:$B$738 = 'CalHFA Addendum'!V$18)*(Application!$AC$714:$AC$738 = 'CalHFA Addendum'!$B22),Application!$G$714:$G$738)</f>
        <v>1</v>
      </c>
      <c r="W22" s="2287"/>
      <c r="X22" s="2287"/>
      <c r="Y22" s="2287"/>
      <c r="Z22" s="2287"/>
      <c r="AA22" s="2288"/>
      <c r="AB22" s="2286" cm="1">
        <f t="array" ref="AB22">SUMPRODUCT((Application!$B$714:$B$738 = 'CalHFA Addendum'!AB$18)*(Application!$AC$714:$AC$738 = 'CalHFA Addendum'!$B22),Application!$G$714:$G$738)</f>
        <v>8</v>
      </c>
      <c r="AC22" s="2287"/>
      <c r="AD22" s="2287"/>
      <c r="AE22" s="2287"/>
      <c r="AF22" s="2287"/>
      <c r="AG22" s="2288"/>
      <c r="AH22" s="2286" cm="1">
        <f t="array" ref="AH22">SUMPRODUCT((Application!$B$714:$B$738 = 'CalHFA Addendum'!AH$18)*(Application!$AC$714:$AC$738 = 'CalHFA Addendum'!$B22),Application!$G$714:$G$738)</f>
        <v>7</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0.11333333333333333</v>
      </c>
      <c r="AU22" s="2272"/>
      <c r="AV22" s="2272"/>
      <c r="AW22" s="2272"/>
      <c r="AX22" s="2272"/>
      <c r="AY22" s="2273"/>
      <c r="AZ22" s="1190"/>
      <c r="BA22" s="1190"/>
      <c r="BB22" s="1190"/>
      <c r="BC22" s="1190"/>
      <c r="BD22" s="1190"/>
      <c r="BE22" s="1194"/>
    </row>
    <row r="23" spans="1:58" ht="14.7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4.7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4.7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4.7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4.7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ht="15.5" thickBot="1">
      <c r="A28" s="1190"/>
      <c r="B28" s="2274" t="s">
        <v>2428</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6.6666666666666671E-3</v>
      </c>
      <c r="AU28" s="2281"/>
      <c r="AV28" s="2281"/>
      <c r="AW28" s="2281"/>
      <c r="AX28" s="2281"/>
      <c r="AY28" s="2282"/>
      <c r="AZ28" s="1190"/>
      <c r="BA28" s="1190"/>
      <c r="BB28" s="1190"/>
      <c r="BC28" s="1190"/>
      <c r="BD28" s="1190"/>
      <c r="BE28" s="1194"/>
    </row>
    <row r="29" spans="1:58" ht="15.5" thickBot="1">
      <c r="A29" s="1190"/>
      <c r="B29" s="2257" t="s">
        <v>1584</v>
      </c>
      <c r="C29" s="2230"/>
      <c r="D29" s="2230"/>
      <c r="E29" s="2230"/>
      <c r="F29" s="2230"/>
      <c r="G29" s="2230"/>
      <c r="H29" s="2230"/>
      <c r="I29" s="2231"/>
      <c r="J29" s="2229">
        <f>SUM(J19:O28)</f>
        <v>150</v>
      </c>
      <c r="K29" s="2230"/>
      <c r="L29" s="2230"/>
      <c r="M29" s="2230"/>
      <c r="N29" s="2230"/>
      <c r="O29" s="2231"/>
      <c r="P29" s="2229">
        <f>SUM(P19:U28)</f>
        <v>22</v>
      </c>
      <c r="Q29" s="2230"/>
      <c r="R29" s="2230"/>
      <c r="S29" s="2230"/>
      <c r="T29" s="2230"/>
      <c r="U29" s="2231"/>
      <c r="V29" s="2229">
        <f>SUM(V19:AA28)</f>
        <v>10</v>
      </c>
      <c r="W29" s="2230"/>
      <c r="X29" s="2230"/>
      <c r="Y29" s="2230"/>
      <c r="Z29" s="2230"/>
      <c r="AA29" s="2231"/>
      <c r="AB29" s="2229">
        <f>SUM(AB19:AG28)</f>
        <v>69</v>
      </c>
      <c r="AC29" s="2230"/>
      <c r="AD29" s="2230"/>
      <c r="AE29" s="2230"/>
      <c r="AF29" s="2230"/>
      <c r="AG29" s="2231"/>
      <c r="AH29" s="2229">
        <f>SUM(AH19:AM28)</f>
        <v>49</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2235" t="s">
        <v>2427</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ht="15.5" thickBot="1">
      <c r="A32" s="1190"/>
      <c r="B32" s="2238" t="s">
        <v>2426</v>
      </c>
      <c r="C32" s="2239"/>
      <c r="D32" s="2239"/>
      <c r="E32" s="2239"/>
      <c r="F32" s="2239"/>
      <c r="G32" s="2239"/>
      <c r="H32" s="2239"/>
      <c r="I32" s="2239"/>
      <c r="J32" s="2242" t="s">
        <v>2425</v>
      </c>
      <c r="K32" s="2243"/>
      <c r="L32" s="2243"/>
      <c r="M32" s="2243"/>
      <c r="N32" s="2242" t="s">
        <v>2424</v>
      </c>
      <c r="O32" s="2243"/>
      <c r="P32" s="2243"/>
      <c r="Q32" s="2245"/>
      <c r="R32" s="2247" t="s">
        <v>2423</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2422</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2421</v>
      </c>
      <c r="AT35" s="2259"/>
      <c r="AU35" s="2259"/>
      <c r="AV35" s="2259"/>
      <c r="AW35" s="2259"/>
      <c r="AX35" s="2267"/>
      <c r="AY35" s="2258" t="s">
        <v>2420</v>
      </c>
      <c r="AZ35" s="2259"/>
      <c r="BA35" s="2259"/>
      <c r="BB35" s="2259"/>
      <c r="BC35" s="2259"/>
      <c r="BD35" s="2260"/>
      <c r="BE35" s="1194"/>
    </row>
    <row r="36" spans="1:58" ht="15.75" customHeight="1">
      <c r="A36" s="1190"/>
      <c r="B36" s="2162" t="s">
        <v>2419</v>
      </c>
      <c r="C36" s="2163"/>
      <c r="D36" s="2163"/>
      <c r="E36" s="2163"/>
      <c r="F36" s="2163"/>
      <c r="G36" s="2163"/>
      <c r="H36" s="2163"/>
      <c r="I36" s="2163"/>
      <c r="J36" s="2227" t="s">
        <v>2418</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2417</v>
      </c>
      <c r="C37" s="2163"/>
      <c r="D37" s="2163"/>
      <c r="E37" s="2163"/>
      <c r="F37" s="2163"/>
      <c r="G37" s="2163"/>
      <c r="H37" s="2163"/>
      <c r="I37" s="2163"/>
      <c r="J37" s="2227" t="s">
        <v>2416</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2415</v>
      </c>
      <c r="C38" s="2163"/>
      <c r="D38" s="2163"/>
      <c r="E38" s="2163"/>
      <c r="F38" s="2163"/>
      <c r="G38" s="2163"/>
      <c r="H38" s="2163"/>
      <c r="I38" s="2163"/>
      <c r="J38" s="2227" t="s">
        <v>2414</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2413</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2413</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2412</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2412</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2411</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2410</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2409</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2333</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299</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2406</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2399</v>
      </c>
      <c r="C51" s="2105"/>
      <c r="D51" s="2105"/>
      <c r="E51" s="2105"/>
      <c r="F51" s="2105"/>
      <c r="G51" s="2105"/>
      <c r="H51" s="2105"/>
      <c r="I51" s="2105"/>
      <c r="J51" s="2105" t="s">
        <v>2405</v>
      </c>
      <c r="K51" s="2105"/>
      <c r="L51" s="2105"/>
      <c r="M51" s="2105"/>
      <c r="N51" s="2105"/>
      <c r="O51" s="2105"/>
      <c r="P51" s="2105"/>
      <c r="Q51" s="2105"/>
      <c r="R51" s="2206" t="s">
        <v>2404</v>
      </c>
      <c r="S51" s="2206"/>
      <c r="T51" s="2206"/>
      <c r="U51" s="2206"/>
      <c r="V51" s="2206"/>
      <c r="W51" s="2206"/>
      <c r="X51" s="2206"/>
      <c r="Y51" s="2206"/>
      <c r="Z51" s="2206" t="s">
        <v>2403</v>
      </c>
      <c r="AA51" s="2206"/>
      <c r="AB51" s="2206"/>
      <c r="AC51" s="2206"/>
      <c r="AD51" s="2206"/>
      <c r="AE51" s="2206"/>
      <c r="AF51" s="2206"/>
      <c r="AG51" s="2206"/>
      <c r="AH51" s="2206" t="s">
        <v>2402</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2401</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2400</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1584</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2399</v>
      </c>
      <c r="C59" s="2196"/>
      <c r="D59" s="2196"/>
      <c r="E59" s="2196"/>
      <c r="F59" s="2196"/>
      <c r="G59" s="2196"/>
      <c r="H59" s="2196"/>
      <c r="I59" s="2197"/>
      <c r="J59" s="2103" t="s">
        <v>2398</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2396</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2395</v>
      </c>
      <c r="AD68" s="2029"/>
      <c r="AE68" s="2029"/>
      <c r="AF68" s="2029"/>
      <c r="AG68" s="2029"/>
      <c r="AH68" s="2029"/>
      <c r="AI68" s="2029"/>
      <c r="AJ68" s="2029"/>
      <c r="AK68" s="2029"/>
      <c r="AL68" s="2029"/>
      <c r="AM68" s="2029"/>
      <c r="AN68" s="2029"/>
      <c r="AO68" s="2029"/>
      <c r="AP68" s="2029"/>
      <c r="AQ68" s="2029"/>
      <c r="AR68" s="2029"/>
      <c r="AS68" s="2029"/>
      <c r="AT68" s="2029"/>
      <c r="AU68" s="2029"/>
      <c r="AV68" s="2179" t="s">
        <v>667</v>
      </c>
      <c r="AW68" s="2085"/>
      <c r="AX68" s="2085"/>
      <c r="AY68" s="2085"/>
      <c r="AZ68" s="2085"/>
      <c r="BA68" s="2085"/>
      <c r="BB68" s="2085"/>
      <c r="BC68" s="2086"/>
      <c r="BD68" s="1190"/>
      <c r="BE68" s="1194"/>
      <c r="BM68" s="1199" t="s">
        <v>2394</v>
      </c>
    </row>
    <row r="69" spans="1:94" ht="15.75" customHeight="1" thickTop="1" thickBot="1">
      <c r="A69" s="1190"/>
      <c r="B69" s="2180" t="s">
        <v>2393</v>
      </c>
      <c r="C69" s="2181"/>
      <c r="D69" s="2181"/>
      <c r="E69" s="2181"/>
      <c r="F69" s="2181"/>
      <c r="G69" s="2181"/>
      <c r="H69" s="2181"/>
      <c r="I69" s="2181"/>
      <c r="J69" s="2181"/>
      <c r="K69" s="2181"/>
      <c r="L69" s="2181"/>
      <c r="M69" s="2181"/>
      <c r="N69" s="2181"/>
      <c r="O69" s="2182" t="s">
        <v>2392</v>
      </c>
      <c r="P69" s="2183"/>
      <c r="Q69" s="2183"/>
      <c r="R69" s="2183"/>
      <c r="S69" s="2183"/>
      <c r="T69" s="2183"/>
      <c r="U69" s="2183"/>
      <c r="V69" s="2183"/>
      <c r="W69" s="2183"/>
      <c r="X69" s="2183"/>
      <c r="Y69" s="2183"/>
      <c r="Z69" s="2183"/>
      <c r="AA69" s="2184"/>
      <c r="AB69" s="1190"/>
      <c r="AC69" s="2185" t="s">
        <v>2391</v>
      </c>
      <c r="AD69" s="2186"/>
      <c r="AE69" s="2186"/>
      <c r="AF69" s="2186"/>
      <c r="AG69" s="2186"/>
      <c r="AH69" s="2186"/>
      <c r="AI69" s="2186"/>
      <c r="AJ69" s="2186"/>
      <c r="AK69" s="2186"/>
      <c r="AL69" s="2186"/>
      <c r="AM69" s="2186"/>
      <c r="AN69" s="2186"/>
      <c r="AO69" s="2186"/>
      <c r="AP69" s="2186"/>
      <c r="AQ69" s="2186"/>
      <c r="AR69" s="2186"/>
      <c r="AS69" s="2186"/>
      <c r="AT69" s="2186"/>
      <c r="AU69" s="2186"/>
      <c r="AV69" s="2179" t="s">
        <v>667</v>
      </c>
      <c r="AW69" s="2085"/>
      <c r="AX69" s="2085"/>
      <c r="AY69" s="2085"/>
      <c r="AZ69" s="2085"/>
      <c r="BA69" s="2085"/>
      <c r="BB69" s="2085"/>
      <c r="BC69" s="2086"/>
      <c r="BD69" s="1190"/>
      <c r="BE69" s="1194"/>
      <c r="BM69" s="1200" t="s">
        <v>544</v>
      </c>
    </row>
    <row r="70" spans="1:94" ht="15.75" customHeight="1">
      <c r="A70" s="1190"/>
      <c r="B70" s="2162" t="s">
        <v>2390</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2389</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667</v>
      </c>
    </row>
    <row r="71" spans="1:94" ht="15.75" customHeight="1" thickBot="1">
      <c r="A71" s="1190"/>
      <c r="B71" s="2162" t="s">
        <v>2388</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2387</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2386</v>
      </c>
    </row>
    <row r="72" spans="1:94" ht="15.75" customHeight="1">
      <c r="A72" s="1190"/>
      <c r="B72" s="2162" t="s">
        <v>2385</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2384</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2383</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2328</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2381</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2380</v>
      </c>
      <c r="C81" s="2157"/>
      <c r="D81" s="2157"/>
      <c r="E81" s="2157"/>
      <c r="F81" s="2157"/>
      <c r="G81" s="2157"/>
      <c r="H81" s="2157"/>
      <c r="I81" s="2157"/>
      <c r="J81" s="2157"/>
      <c r="K81" s="2157"/>
      <c r="L81" s="2157"/>
      <c r="M81" s="2157"/>
      <c r="N81" s="2157"/>
      <c r="O81" s="2157"/>
      <c r="P81" s="2157"/>
      <c r="Q81" s="2157"/>
      <c r="R81" s="2138" t="s">
        <v>2186</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2379</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2378</v>
      </c>
      <c r="AK83" s="2127"/>
      <c r="AL83" s="2127"/>
      <c r="AM83" s="2127"/>
      <c r="AN83" s="2127"/>
      <c r="AO83" s="2127"/>
      <c r="AP83" s="2127"/>
      <c r="AQ83" s="2127"/>
      <c r="AR83" s="2127"/>
      <c r="AS83" s="2127"/>
      <c r="AT83" s="2127"/>
      <c r="AU83" s="2127"/>
      <c r="AV83" s="2127"/>
      <c r="AW83" s="2127"/>
      <c r="AX83" s="2127"/>
      <c r="AY83" s="2143" t="s">
        <v>544</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2368</v>
      </c>
      <c r="J84" s="2105"/>
      <c r="K84" s="2105"/>
      <c r="L84" s="2105"/>
      <c r="M84" s="2105"/>
      <c r="N84" s="2105"/>
      <c r="O84" s="2105" t="s">
        <v>2344</v>
      </c>
      <c r="P84" s="2105"/>
      <c r="Q84" s="2105"/>
      <c r="R84" s="2105"/>
      <c r="S84" s="2105"/>
      <c r="T84" s="2105"/>
      <c r="U84" s="2105"/>
      <c r="V84" s="2141" t="s">
        <v>2343</v>
      </c>
      <c r="W84" s="2141"/>
      <c r="X84" s="2141"/>
      <c r="Y84" s="2141"/>
      <c r="Z84" s="2141"/>
      <c r="AA84" s="2141"/>
      <c r="AB84" s="2075" t="s">
        <v>2367</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2366</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2365</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2372</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2364</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2376</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2375</v>
      </c>
      <c r="C94" s="2157"/>
      <c r="D94" s="2157"/>
      <c r="E94" s="2157"/>
      <c r="F94" s="2157"/>
      <c r="G94" s="2157"/>
      <c r="H94" s="2157"/>
      <c r="I94" s="2157"/>
      <c r="J94" s="2157"/>
      <c r="K94" s="2157"/>
      <c r="L94" s="2157"/>
      <c r="M94" s="2157"/>
      <c r="N94" s="2157"/>
      <c r="O94" s="2157"/>
      <c r="P94" s="2157"/>
      <c r="Q94" s="2158"/>
      <c r="R94" s="2138" t="s">
        <v>2186</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2374</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2373</v>
      </c>
      <c r="AK96" s="2127"/>
      <c r="AL96" s="2127"/>
      <c r="AM96" s="2127"/>
      <c r="AN96" s="2127"/>
      <c r="AO96" s="2127"/>
      <c r="AP96" s="2127"/>
      <c r="AQ96" s="2127"/>
      <c r="AR96" s="2127"/>
      <c r="AS96" s="2127"/>
      <c r="AT96" s="2127"/>
      <c r="AU96" s="2127"/>
      <c r="AV96" s="2127"/>
      <c r="AW96" s="2127"/>
      <c r="AX96" s="2127"/>
      <c r="AY96" s="2143" t="s">
        <v>544</v>
      </c>
      <c r="AZ96" s="2143"/>
      <c r="BA96" s="2143"/>
      <c r="BB96" s="2144"/>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7"/>
      <c r="C97" s="2105"/>
      <c r="D97" s="2105"/>
      <c r="E97" s="2105"/>
      <c r="F97" s="2105"/>
      <c r="G97" s="2105"/>
      <c r="H97" s="2105"/>
      <c r="I97" s="2105" t="s">
        <v>2368</v>
      </c>
      <c r="J97" s="2105"/>
      <c r="K97" s="2105"/>
      <c r="L97" s="2105"/>
      <c r="M97" s="2105"/>
      <c r="N97" s="2105"/>
      <c r="O97" s="2105" t="s">
        <v>2344</v>
      </c>
      <c r="P97" s="2105"/>
      <c r="Q97" s="2105"/>
      <c r="R97" s="2105"/>
      <c r="S97" s="2105"/>
      <c r="T97" s="2105"/>
      <c r="U97" s="2105"/>
      <c r="V97" s="2141" t="s">
        <v>2343</v>
      </c>
      <c r="W97" s="2141"/>
      <c r="X97" s="2141"/>
      <c r="Y97" s="2141"/>
      <c r="Z97" s="2141"/>
      <c r="AA97" s="2141"/>
      <c r="AB97" s="2075" t="s">
        <v>2367</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2366</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2365</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2372</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2364</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2369</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2368</v>
      </c>
      <c r="J108" s="2105"/>
      <c r="K108" s="2105"/>
      <c r="L108" s="2105"/>
      <c r="M108" s="2105"/>
      <c r="N108" s="2105"/>
      <c r="O108" s="2105" t="s">
        <v>2344</v>
      </c>
      <c r="P108" s="2105"/>
      <c r="Q108" s="2105"/>
      <c r="R108" s="2105"/>
      <c r="S108" s="2105"/>
      <c r="T108" s="2105"/>
      <c r="U108" s="2105"/>
      <c r="V108" s="2141" t="s">
        <v>2343</v>
      </c>
      <c r="W108" s="2141"/>
      <c r="X108" s="2141"/>
      <c r="Y108" s="2141"/>
      <c r="Z108" s="2141"/>
      <c r="AA108" s="2141"/>
      <c r="AB108" s="2075" t="s">
        <v>2367</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2366</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2365</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2364</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2362</v>
      </c>
      <c r="C117" s="2111"/>
      <c r="D117" s="2111"/>
      <c r="E117" s="2111"/>
      <c r="F117" s="2111"/>
      <c r="G117" s="2111"/>
      <c r="H117" s="2111"/>
      <c r="I117" s="2111"/>
      <c r="J117" s="2111"/>
      <c r="K117" s="2111"/>
      <c r="L117" s="2111"/>
      <c r="M117" s="2111"/>
      <c r="N117" s="2111"/>
      <c r="O117" s="2111"/>
      <c r="P117" s="2111"/>
      <c r="Q117" s="2111"/>
      <c r="R117" s="2111"/>
      <c r="S117" s="2111"/>
      <c r="T117" s="2111"/>
      <c r="U117" s="2114" t="s">
        <v>544</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2362</v>
      </c>
      <c r="C121" s="2119"/>
      <c r="D121" s="2119"/>
      <c r="E121" s="2119"/>
      <c r="F121" s="2119"/>
      <c r="G121" s="2119"/>
      <c r="H121" s="2119"/>
      <c r="I121" s="2119"/>
      <c r="J121" s="2119"/>
      <c r="K121" s="2119"/>
      <c r="L121" s="2119"/>
      <c r="M121" s="2119"/>
      <c r="N121" s="2119"/>
      <c r="O121" s="2119"/>
      <c r="P121" s="2119"/>
      <c r="Q121" s="2119"/>
      <c r="R121" s="2119"/>
      <c r="S121" s="2119"/>
      <c r="T121" s="2119"/>
      <c r="U121" s="2122" t="s">
        <v>544</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2360</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1574</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2359</v>
      </c>
      <c r="J127" s="2105"/>
      <c r="K127" s="2105"/>
      <c r="L127" s="2105"/>
      <c r="M127" s="2105"/>
      <c r="N127" s="2105"/>
      <c r="O127" s="2106" t="s">
        <v>2358</v>
      </c>
      <c r="P127" s="2106"/>
      <c r="Q127" s="2106"/>
      <c r="R127" s="2106"/>
      <c r="S127" s="2106"/>
      <c r="T127" s="2106"/>
      <c r="U127" s="2107"/>
      <c r="V127" s="1190"/>
      <c r="W127" s="1190"/>
      <c r="X127" s="2045" t="s">
        <v>2328</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2342</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2341</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2356</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2344</v>
      </c>
      <c r="J134" s="2080"/>
      <c r="K134" s="2080"/>
      <c r="L134" s="2080"/>
      <c r="M134" s="2080"/>
      <c r="N134" s="2080"/>
      <c r="O134" s="2080"/>
      <c r="P134" s="2080" t="s">
        <v>2343</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2342</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2341</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2355</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544</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2354</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2353</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544</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2352</v>
      </c>
      <c r="C142" s="2088"/>
      <c r="D142" s="2088"/>
      <c r="E142" s="2088"/>
      <c r="F142" s="2088"/>
      <c r="G142" s="2088"/>
      <c r="H142" s="2088"/>
      <c r="I142" s="2088"/>
      <c r="J142" s="2088"/>
      <c r="K142" s="2088"/>
      <c r="L142" s="2088"/>
      <c r="M142" s="2088"/>
      <c r="N142" s="2088"/>
      <c r="O142" s="2088"/>
      <c r="P142" s="2088"/>
      <c r="Q142" s="2088"/>
      <c r="R142" s="2089" t="s">
        <v>2351</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249</v>
      </c>
      <c r="BD142" s="1190"/>
      <c r="BE142" s="1194"/>
    </row>
    <row r="143" spans="1:57" ht="15.75" customHeight="1">
      <c r="A143" s="1190"/>
      <c r="B143" s="2091" t="s">
        <v>2350</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2347</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2346</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2344</v>
      </c>
      <c r="J157" s="2080"/>
      <c r="K157" s="2080"/>
      <c r="L157" s="2080"/>
      <c r="M157" s="2080"/>
      <c r="N157" s="2080"/>
      <c r="O157" s="2080"/>
      <c r="P157" s="2080" t="s">
        <v>2345</v>
      </c>
      <c r="Q157" s="2080"/>
      <c r="R157" s="2080"/>
      <c r="S157" s="2080"/>
      <c r="T157" s="2080"/>
      <c r="U157" s="2081"/>
      <c r="V157" s="1190"/>
      <c r="W157" s="1190"/>
      <c r="X157" s="2042"/>
      <c r="Y157" s="2043"/>
      <c r="Z157" s="2043"/>
      <c r="AA157" s="2043"/>
      <c r="AB157" s="2043"/>
      <c r="AC157" s="2043"/>
      <c r="AD157" s="2043"/>
      <c r="AE157" s="2080" t="s">
        <v>2344</v>
      </c>
      <c r="AF157" s="2080"/>
      <c r="AG157" s="2080"/>
      <c r="AH157" s="2080"/>
      <c r="AI157" s="2080"/>
      <c r="AJ157" s="2080"/>
      <c r="AK157" s="2080"/>
      <c r="AL157" s="2080" t="s">
        <v>2343</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2342</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2342</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2341</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2340</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2325</v>
      </c>
      <c r="D163" s="2043"/>
      <c r="E163" s="2043"/>
      <c r="F163" s="2043"/>
      <c r="G163" s="2043"/>
      <c r="H163" s="2043"/>
      <c r="I163" s="2043"/>
      <c r="J163" s="2043"/>
      <c r="K163" s="2043"/>
      <c r="L163" s="2043"/>
      <c r="M163" s="2043"/>
      <c r="N163" s="2043"/>
      <c r="O163" s="2043"/>
      <c r="P163" s="2043"/>
      <c r="Q163" s="2043" t="s">
        <v>2339</v>
      </c>
      <c r="R163" s="2043"/>
      <c r="S163" s="2043"/>
      <c r="T163" s="2075" t="s">
        <v>2338</v>
      </c>
      <c r="U163" s="2075"/>
      <c r="V163" s="2075"/>
      <c r="W163" s="2075"/>
      <c r="X163" s="2075"/>
      <c r="Y163" s="2075"/>
      <c r="Z163" s="2075"/>
      <c r="AA163" s="2075"/>
      <c r="AB163" s="2043" t="s">
        <v>2337</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2336</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2335</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2334</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2333</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169</v>
      </c>
      <c r="D168" s="2058"/>
      <c r="E168" s="2058"/>
      <c r="F168" s="2059" t="s">
        <v>2314</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169</v>
      </c>
      <c r="D169" s="2058"/>
      <c r="E169" s="2058"/>
      <c r="F169" s="2059" t="s">
        <v>2314</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169</v>
      </c>
      <c r="D170" s="2064"/>
      <c r="E170" s="2064"/>
      <c r="F170" s="2065" t="s">
        <v>2314</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2332</v>
      </c>
      <c r="D172" s="2029"/>
      <c r="E172" s="2029"/>
      <c r="F172" s="2029"/>
      <c r="G172" s="2029"/>
      <c r="H172" s="2029"/>
      <c r="I172" s="2029"/>
      <c r="J172" s="2029"/>
      <c r="K172" s="2029"/>
      <c r="L172" s="2029"/>
      <c r="M172" s="2029"/>
      <c r="N172" s="2038"/>
      <c r="O172" s="1190"/>
      <c r="P172" s="2039" t="s">
        <v>2331</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2330</v>
      </c>
      <c r="D173" s="2043"/>
      <c r="E173" s="2043"/>
      <c r="F173" s="2043"/>
      <c r="G173" s="2043"/>
      <c r="H173" s="2043"/>
      <c r="I173" s="2043" t="s">
        <v>2329</v>
      </c>
      <c r="J173" s="2043"/>
      <c r="K173" s="2043"/>
      <c r="L173" s="2043"/>
      <c r="M173" s="2043"/>
      <c r="N173" s="2044"/>
      <c r="O173" s="1190"/>
      <c r="P173" s="2045" t="s">
        <v>2328</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2327</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2325</v>
      </c>
      <c r="D184" s="2029"/>
      <c r="E184" s="2029"/>
      <c r="F184" s="2029"/>
      <c r="G184" s="2029"/>
      <c r="H184" s="2029"/>
      <c r="I184" s="2029"/>
      <c r="J184" s="2029"/>
      <c r="K184" s="2029"/>
      <c r="L184" s="2029"/>
      <c r="M184" s="2029"/>
      <c r="N184" s="2029" t="s">
        <v>2326</v>
      </c>
      <c r="O184" s="2029"/>
      <c r="P184" s="2029"/>
      <c r="Q184" s="2029"/>
      <c r="R184" s="2029"/>
      <c r="S184" s="2029"/>
      <c r="T184" s="2029"/>
      <c r="U184" s="2030" t="s">
        <v>2325</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2324</v>
      </c>
      <c r="D185" s="2008"/>
      <c r="E185" s="2008"/>
      <c r="F185" s="2008"/>
      <c r="G185" s="2008"/>
      <c r="H185" s="2008"/>
      <c r="I185" s="2008"/>
      <c r="J185" s="2008"/>
      <c r="K185" s="2008"/>
      <c r="L185" s="2008"/>
      <c r="M185" s="2008"/>
      <c r="N185" s="2018">
        <f>'Sources and Uses Budget'!B105</f>
        <v>115354053</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2323</v>
      </c>
      <c r="D186" s="2008"/>
      <c r="E186" s="2008"/>
      <c r="F186" s="2008"/>
      <c r="G186" s="2008"/>
      <c r="H186" s="2008"/>
      <c r="I186" s="2008"/>
      <c r="J186" s="2008"/>
      <c r="K186" s="2008"/>
      <c r="L186" s="2008"/>
      <c r="M186" s="2008"/>
      <c r="N186" s="2018">
        <f>N185/J29</f>
        <v>769027.02</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2322</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2321</v>
      </c>
      <c r="D188" s="2008"/>
      <c r="E188" s="2008"/>
      <c r="F188" s="2008"/>
      <c r="G188" s="2008"/>
      <c r="H188" s="2008"/>
      <c r="I188" s="2008"/>
      <c r="J188" s="2008"/>
      <c r="K188" s="2008"/>
      <c r="L188" s="2008"/>
      <c r="M188" s="2008"/>
      <c r="N188" s="2037">
        <f>SUM('Sources and Uses Budget'!B85:B86)</f>
        <v>7627520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2320</v>
      </c>
      <c r="D189" s="2008"/>
      <c r="E189" s="2008"/>
      <c r="F189" s="2008"/>
      <c r="G189" s="2008"/>
      <c r="H189" s="2008"/>
      <c r="I189" s="2008"/>
      <c r="J189" s="2008"/>
      <c r="K189" s="2008"/>
      <c r="L189" s="2008"/>
      <c r="M189" s="2008"/>
      <c r="N189" s="2037">
        <f>'Sources and Uses Budget'!B8</f>
        <v>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2318</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2319</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2318</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2317</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2316</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299</v>
      </c>
      <c r="D192" s="2000"/>
      <c r="E192" s="1992" t="s">
        <v>2314</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2315</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299</v>
      </c>
      <c r="D193" s="1991"/>
      <c r="E193" s="1992" t="s">
        <v>2314</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299</v>
      </c>
      <c r="D194" s="1979"/>
      <c r="E194" s="1980" t="s">
        <v>2314</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2313</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2312</v>
      </c>
      <c r="D195" s="1962"/>
      <c r="E195" s="1962"/>
      <c r="F195" s="1962"/>
      <c r="G195" s="1962"/>
      <c r="H195" s="1962"/>
      <c r="I195" s="1962"/>
      <c r="J195" s="1962"/>
      <c r="K195" s="1962"/>
      <c r="L195" s="1962"/>
      <c r="M195" s="1962"/>
      <c r="N195" s="1963">
        <f>SUM(N187:T194)</f>
        <v>7627520</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2311</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2310</v>
      </c>
      <c r="D196" s="1972"/>
      <c r="E196" s="1972"/>
      <c r="F196" s="1972"/>
      <c r="G196" s="1972"/>
      <c r="H196" s="1972"/>
      <c r="I196" s="1972"/>
      <c r="J196" s="1972"/>
      <c r="K196" s="1972"/>
      <c r="L196" s="1972"/>
      <c r="M196" s="1972"/>
      <c r="N196" s="1973">
        <f>(N185-N195)/J29</f>
        <v>718176.88666666672</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2309</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2308</v>
      </c>
      <c r="D200" s="1959"/>
      <c r="E200" s="1959"/>
      <c r="F200" s="1959"/>
      <c r="G200" s="1959"/>
      <c r="H200" s="1959"/>
      <c r="I200" s="1959"/>
      <c r="J200" s="1959"/>
      <c r="K200" s="1959"/>
      <c r="L200" s="1959"/>
      <c r="M200" s="1959"/>
      <c r="N200" s="1959"/>
      <c r="O200" s="1960" t="s">
        <v>2307</v>
      </c>
      <c r="P200" s="1960"/>
      <c r="Q200" s="1960"/>
      <c r="R200" s="1960"/>
      <c r="S200" s="1960"/>
      <c r="T200" s="1960"/>
      <c r="U200" s="1960"/>
      <c r="V200" s="1960"/>
      <c r="W200" s="1960"/>
      <c r="X200" s="1960" t="s">
        <v>2306</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2305</v>
      </c>
      <c r="D201" s="1951"/>
      <c r="E201" s="1951"/>
      <c r="F201" s="1951"/>
      <c r="G201" s="1951"/>
      <c r="H201" s="1951"/>
      <c r="I201" s="1951"/>
      <c r="J201" s="1951"/>
      <c r="K201" s="1951"/>
      <c r="L201" s="1951"/>
      <c r="M201" s="1951"/>
      <c r="N201" s="1951"/>
      <c r="O201" s="1952" t="s">
        <v>2304</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852</v>
      </c>
      <c r="D202" s="1951"/>
      <c r="E202" s="1951"/>
      <c r="F202" s="1951"/>
      <c r="G202" s="1951"/>
      <c r="H202" s="1951"/>
      <c r="I202" s="1951"/>
      <c r="J202" s="1951"/>
      <c r="K202" s="1951"/>
      <c r="L202" s="1951"/>
      <c r="M202" s="1951"/>
      <c r="N202" s="1951"/>
      <c r="O202" s="1952" t="s">
        <v>2304</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2303</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2302</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2301</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2300</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2299</v>
      </c>
      <c r="D207" s="1930"/>
      <c r="E207" s="1930"/>
      <c r="F207" s="1931"/>
      <c r="G207" s="1935" t="s">
        <v>2298</v>
      </c>
      <c r="H207" s="1930"/>
      <c r="I207" s="1930"/>
      <c r="J207" s="1930"/>
      <c r="K207" s="1930"/>
      <c r="L207" s="1930"/>
      <c r="M207" s="1930"/>
      <c r="N207" s="1930"/>
      <c r="O207" s="1931"/>
      <c r="P207" s="1937" t="s">
        <v>2297</v>
      </c>
      <c r="Q207" s="1938"/>
      <c r="R207" s="1938"/>
      <c r="S207" s="1938"/>
      <c r="T207" s="1939"/>
      <c r="U207" s="1943" t="s">
        <v>2296</v>
      </c>
      <c r="V207" s="1944"/>
      <c r="W207" s="1944"/>
      <c r="X207" s="1945"/>
      <c r="Y207" s="1943" t="s">
        <v>2295</v>
      </c>
      <c r="Z207" s="1944"/>
      <c r="AA207" s="1944"/>
      <c r="AB207" s="1945"/>
      <c r="AC207" s="1943" t="s">
        <v>2294</v>
      </c>
      <c r="AD207" s="1944"/>
      <c r="AE207" s="1944"/>
      <c r="AF207" s="1945"/>
      <c r="AG207" s="1935" t="s">
        <v>2293</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1882</v>
      </c>
      <c r="H209" s="1920"/>
      <c r="I209" s="1920"/>
      <c r="J209" s="1920"/>
      <c r="K209" s="1920"/>
      <c r="L209" s="1920"/>
      <c r="M209" s="1920"/>
      <c r="N209" s="1920"/>
      <c r="O209" s="1920"/>
      <c r="P209" s="1921"/>
      <c r="Q209" s="1924"/>
      <c r="R209" s="1924"/>
      <c r="S209" s="1924"/>
      <c r="T209" s="1924"/>
      <c r="U209" s="1922" t="s">
        <v>1882</v>
      </c>
      <c r="V209" s="1922"/>
      <c r="W209" s="1922"/>
      <c r="X209" s="1922"/>
      <c r="Y209" s="1922" t="s">
        <v>1882</v>
      </c>
      <c r="Z209" s="1922"/>
      <c r="AA209" s="1922"/>
      <c r="AB209" s="1922"/>
      <c r="AC209" s="1923" t="s">
        <v>1882</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1882</v>
      </c>
      <c r="H210" s="1920"/>
      <c r="I210" s="1920"/>
      <c r="J210" s="1920"/>
      <c r="K210" s="1920"/>
      <c r="L210" s="1920"/>
      <c r="M210" s="1920"/>
      <c r="N210" s="1920"/>
      <c r="O210" s="1920"/>
      <c r="P210" s="1921"/>
      <c r="Q210" s="1921"/>
      <c r="R210" s="1921"/>
      <c r="S210" s="1921"/>
      <c r="T210" s="1921"/>
      <c r="U210" s="1922" t="s">
        <v>1882</v>
      </c>
      <c r="V210" s="1922"/>
      <c r="W210" s="1922"/>
      <c r="X210" s="1922"/>
      <c r="Y210" s="1922" t="s">
        <v>1882</v>
      </c>
      <c r="Z210" s="1922"/>
      <c r="AA210" s="1922"/>
      <c r="AB210" s="1922"/>
      <c r="AC210" s="1923" t="s">
        <v>1882</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1882</v>
      </c>
      <c r="H211" s="1920"/>
      <c r="I211" s="1920"/>
      <c r="J211" s="1920"/>
      <c r="K211" s="1920"/>
      <c r="L211" s="1920"/>
      <c r="M211" s="1920"/>
      <c r="N211" s="1920"/>
      <c r="O211" s="1920"/>
      <c r="P211" s="1921"/>
      <c r="Q211" s="1921"/>
      <c r="R211" s="1921"/>
      <c r="S211" s="1921"/>
      <c r="T211" s="1921"/>
      <c r="U211" s="1922" t="s">
        <v>1882</v>
      </c>
      <c r="V211" s="1922"/>
      <c r="W211" s="1922"/>
      <c r="X211" s="1922"/>
      <c r="Y211" s="1922" t="s">
        <v>1882</v>
      </c>
      <c r="Z211" s="1922"/>
      <c r="AA211" s="1922"/>
      <c r="AB211" s="1922"/>
      <c r="AC211" s="1923" t="s">
        <v>1882</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1882</v>
      </c>
      <c r="H212" s="1920"/>
      <c r="I212" s="1920"/>
      <c r="J212" s="1920"/>
      <c r="K212" s="1920"/>
      <c r="L212" s="1920"/>
      <c r="M212" s="1920"/>
      <c r="N212" s="1920"/>
      <c r="O212" s="1920"/>
      <c r="P212" s="1921"/>
      <c r="Q212" s="1921"/>
      <c r="R212" s="1921"/>
      <c r="S212" s="1921"/>
      <c r="T212" s="1921"/>
      <c r="U212" s="1922" t="s">
        <v>1882</v>
      </c>
      <c r="V212" s="1922"/>
      <c r="W212" s="1922"/>
      <c r="X212" s="1922"/>
      <c r="Y212" s="1922" t="s">
        <v>1882</v>
      </c>
      <c r="Z212" s="1922"/>
      <c r="AA212" s="1922"/>
      <c r="AB212" s="1922"/>
      <c r="AC212" s="1923" t="s">
        <v>1882</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1882</v>
      </c>
      <c r="H213" s="1920"/>
      <c r="I213" s="1920"/>
      <c r="J213" s="1920"/>
      <c r="K213" s="1920"/>
      <c r="L213" s="1920"/>
      <c r="M213" s="1920"/>
      <c r="N213" s="1920"/>
      <c r="O213" s="1920"/>
      <c r="P213" s="1921"/>
      <c r="Q213" s="1921"/>
      <c r="R213" s="1921"/>
      <c r="S213" s="1921"/>
      <c r="T213" s="1921"/>
      <c r="U213" s="1922" t="s">
        <v>1882</v>
      </c>
      <c r="V213" s="1922"/>
      <c r="W213" s="1922"/>
      <c r="X213" s="1922"/>
      <c r="Y213" s="1922" t="s">
        <v>1882</v>
      </c>
      <c r="Z213" s="1922"/>
      <c r="AA213" s="1922"/>
      <c r="AB213" s="1922"/>
      <c r="AC213" s="1923" t="s">
        <v>1882</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1882</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1882</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1882</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2292</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2290</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2289</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2288</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2287</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2285</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2284</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2283</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2282</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2281</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440</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2280</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2279</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75" sqref="AL75"/>
    </sheetView>
  </sheetViews>
  <sheetFormatPr defaultColWidth="0" defaultRowHeight="12.9" customHeight="1"/>
  <cols>
    <col min="1" max="1" width="1.54296875" style="402" customWidth="1"/>
    <col min="2" max="2" width="0.81640625" style="402" customWidth="1"/>
    <col min="3" max="18" width="2.54296875" style="402" customWidth="1"/>
    <col min="19" max="19" width="6.179687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78" t="s">
        <v>1278</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113868019</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 customHeight="1">
      <c r="B12" s="2382" t="s">
        <v>496</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 customHeight="1">
      <c r="B13" s="435"/>
      <c r="C13" s="2384" t="s">
        <v>497</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 customHeight="1">
      <c r="B14" s="435"/>
      <c r="C14" s="2384" t="s">
        <v>498</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 customHeight="1">
      <c r="B15" s="435"/>
      <c r="C15" s="2384" t="s">
        <v>499</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 customHeight="1">
      <c r="B16" s="435"/>
      <c r="C16" s="2384" t="s">
        <v>803</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 customHeight="1">
      <c r="B17" s="435"/>
      <c r="C17" s="2384" t="s">
        <v>500</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 customHeight="1">
      <c r="A18"/>
      <c r="B18" s="1150"/>
      <c r="C18" s="1565" t="s">
        <v>958</v>
      </c>
      <c r="D18" s="1565"/>
      <c r="E18" s="1565"/>
      <c r="F18" s="1565"/>
      <c r="G18" s="1565"/>
      <c r="H18" s="1565"/>
      <c r="I18" s="1565"/>
      <c r="J18" s="1565"/>
      <c r="K18" s="1565"/>
      <c r="L18" s="1565"/>
      <c r="M18" s="1565"/>
      <c r="N18" s="1565"/>
      <c r="O18" s="1565"/>
      <c r="P18" s="1565"/>
      <c r="Q18" s="1565"/>
      <c r="R18" s="1565"/>
      <c r="S18" s="1566"/>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 customHeight="1">
      <c r="B19" s="1150"/>
      <c r="C19" s="1565" t="s">
        <v>958</v>
      </c>
      <c r="D19" s="1565"/>
      <c r="E19" s="1565"/>
      <c r="F19" s="1565"/>
      <c r="G19" s="1565"/>
      <c r="H19" s="1565"/>
      <c r="I19" s="1565"/>
      <c r="J19" s="1565"/>
      <c r="K19" s="1565"/>
      <c r="L19" s="1565"/>
      <c r="M19" s="1565"/>
      <c r="N19" s="1565"/>
      <c r="O19" s="1565"/>
      <c r="P19" s="1565"/>
      <c r="Q19" s="1565"/>
      <c r="R19" s="1565"/>
      <c r="S19" s="1566"/>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 customHeight="1">
      <c r="B20" s="2344" t="s">
        <v>501</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 customHeight="1">
      <c r="B21" s="2344" t="s">
        <v>1261</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 customHeight="1">
      <c r="B22" s="2344" t="s">
        <v>502</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44" t="s">
        <v>503</v>
      </c>
      <c r="C23" s="2345"/>
      <c r="D23" s="2345"/>
      <c r="E23" s="2345"/>
      <c r="F23" s="2345"/>
      <c r="G23" s="2345"/>
      <c r="H23" s="2345"/>
      <c r="I23" s="2345"/>
      <c r="J23" s="2345"/>
      <c r="K23" s="2345"/>
      <c r="L23" s="2345"/>
      <c r="M23" s="2345"/>
      <c r="N23" s="2345"/>
      <c r="O23" s="2345"/>
      <c r="P23" s="2345"/>
      <c r="Q23" s="2345"/>
      <c r="R23" s="2345"/>
      <c r="S23" s="2346"/>
      <c r="T23" s="2357">
        <f>T11+T22</f>
        <v>113868019</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 customHeight="1">
      <c r="B24" s="2344" t="s">
        <v>959</v>
      </c>
      <c r="C24" s="2345"/>
      <c r="D24" s="2345"/>
      <c r="E24" s="2345"/>
      <c r="F24" s="2345"/>
      <c r="G24" s="2345"/>
      <c r="H24" s="2345"/>
      <c r="I24" s="2345"/>
      <c r="J24" s="2345"/>
      <c r="K24" s="2345"/>
      <c r="L24" s="2345"/>
      <c r="M24" s="2345"/>
      <c r="N24" s="2345"/>
      <c r="O24" s="2345"/>
      <c r="P24" s="2345"/>
      <c r="Q24" s="2345"/>
      <c r="R24" s="2345"/>
      <c r="S24" s="2346"/>
      <c r="T24" s="2348">
        <f>Application!AJ1053</f>
        <v>299655421.48000002</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 customHeight="1">
      <c r="B25" s="2388" t="s">
        <v>1262</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4" t="s">
        <v>504</v>
      </c>
      <c r="C26" s="2345"/>
      <c r="D26" s="2345"/>
      <c r="E26" s="2345"/>
      <c r="F26" s="2345"/>
      <c r="G26" s="2345"/>
      <c r="H26" s="2345"/>
      <c r="I26" s="2345"/>
      <c r="J26" s="2345"/>
      <c r="K26" s="2345"/>
      <c r="L26" s="2345"/>
      <c r="M26" s="2345"/>
      <c r="N26" s="2345"/>
      <c r="O26" s="2345"/>
      <c r="P26" s="2345"/>
      <c r="Q26" s="2345"/>
      <c r="R26" s="2345"/>
      <c r="S26" s="2346"/>
      <c r="T26" s="2357">
        <f>T23*T25</f>
        <v>148028424.70000002</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57">
        <f>IF(ISERROR((T26*T27)),0,(T26*T27))</f>
        <v>148028424.70000002</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 customHeight="1">
      <c r="B29" s="2344" t="s">
        <v>522</v>
      </c>
      <c r="C29" s="2345"/>
      <c r="D29" s="2345"/>
      <c r="E29" s="2345"/>
      <c r="F29" s="2345"/>
      <c r="G29" s="2345"/>
      <c r="H29" s="2345"/>
      <c r="I29" s="2345"/>
      <c r="J29" s="2345"/>
      <c r="K29" s="2345"/>
      <c r="L29" s="2345"/>
      <c r="M29" s="2345"/>
      <c r="N29" s="2345"/>
      <c r="O29" s="2345"/>
      <c r="P29" s="2345"/>
      <c r="Q29" s="2345"/>
      <c r="R29" s="2345"/>
      <c r="S29" s="2346"/>
      <c r="T29" s="2348">
        <f>T28+Y28+AD28+AI28</f>
        <v>148028424.70000002</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 customHeight="1">
      <c r="B30" s="2361" t="s">
        <v>1264</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 customHeight="1">
      <c r="B31" s="2361" t="s">
        <v>1263</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59" t="s">
        <v>368</v>
      </c>
      <c r="AE35" s="2359"/>
      <c r="AF35" s="2359"/>
      <c r="AG35" s="2359"/>
      <c r="AH35" s="2359"/>
    </row>
    <row r="36" spans="1:76" ht="12.9" customHeight="1">
      <c r="B36" s="407"/>
      <c r="X36" s="412"/>
      <c r="Y36" s="2358"/>
      <c r="Z36" s="2358"/>
      <c r="AA36" s="2358"/>
      <c r="AB36" s="2358"/>
      <c r="AC36" s="2358"/>
      <c r="AD36" s="2359"/>
      <c r="AE36" s="2359"/>
      <c r="AF36" s="2359"/>
      <c r="AG36" s="2359"/>
      <c r="AH36" s="235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148028424.70000002</v>
      </c>
      <c r="Z38" s="2338"/>
      <c r="AA38" s="2338"/>
      <c r="AB38" s="2338"/>
      <c r="AC38" s="2338"/>
      <c r="AD38" s="2338">
        <f>IF(T24&gt;=(T23+Y23+AD23+AI23),AD28+AI28,0)</f>
        <v>0</v>
      </c>
      <c r="AE38" s="2338"/>
      <c r="AF38" s="2338"/>
      <c r="AG38" s="2338"/>
      <c r="AH38" s="2338"/>
    </row>
    <row r="39" spans="1:76" ht="12.9" customHeight="1">
      <c r="B39" s="2344" t="s">
        <v>1689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 customHeight="1">
      <c r="A40" s="404"/>
      <c r="B40" s="2344" t="s">
        <v>640</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5921137</v>
      </c>
      <c r="Z40" s="2338"/>
      <c r="AA40" s="2338"/>
      <c r="AB40" s="2338"/>
      <c r="AC40" s="2338"/>
      <c r="AD40" s="2357">
        <f>ROUND(AD38*AD39,0)</f>
        <v>0</v>
      </c>
      <c r="AE40" s="2338"/>
      <c r="AF40" s="2338"/>
      <c r="AG40" s="2338"/>
      <c r="AH40" s="2338"/>
    </row>
    <row r="41" spans="1:76" ht="12.9" customHeight="1">
      <c r="B41" s="2344" t="s">
        <v>641</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5921137</v>
      </c>
      <c r="Z41" s="2356"/>
      <c r="AA41" s="2356"/>
      <c r="AB41" s="2356"/>
      <c r="AC41" s="2356"/>
      <c r="AD41" s="2356"/>
      <c r="AE41" s="2356"/>
      <c r="AF41" s="2356"/>
      <c r="AG41" s="2356"/>
      <c r="AH41" s="2357"/>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5" t="s">
        <v>1274</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 customHeight="1" thickTop="1"/>
    <row r="46" spans="1:76" ht="12.9" customHeight="1">
      <c r="A46" s="404" t="s">
        <v>585</v>
      </c>
      <c r="C46" s="404" t="s">
        <v>281</v>
      </c>
    </row>
    <row r="47" spans="1:76" ht="12.9" customHeight="1">
      <c r="D47" s="404" t="s">
        <v>282</v>
      </c>
      <c r="AB47" s="2352">
        <f>'Sources and Uses Budget'!B105-MAX(IF('Sources and Uses Budget'!B15="",0,'Sources and Uses Budget'!B15),IF(Application!AG394="",0,Application!AG394))</f>
        <v>115354053</v>
      </c>
      <c r="AC47" s="2353"/>
      <c r="AD47" s="2353"/>
      <c r="AE47" s="2353"/>
      <c r="AF47" s="2354"/>
    </row>
    <row r="48" spans="1:76" ht="12.9" customHeight="1">
      <c r="D48" s="404" t="s">
        <v>21</v>
      </c>
      <c r="AB48" s="2352">
        <f>Application!AO639-MAX(IF('Sources and Uses Budget'!B15="",0,'Sources and Uses Budget'!B15),IF(Application!AG394="",0,Application!AG394))</f>
        <v>59152350</v>
      </c>
      <c r="AC48" s="2353"/>
      <c r="AD48" s="2353"/>
      <c r="AE48" s="2353"/>
      <c r="AF48" s="2354"/>
    </row>
    <row r="49" spans="1:76" ht="12.9" customHeight="1">
      <c r="D49" s="404" t="s">
        <v>91</v>
      </c>
      <c r="AB49" s="2352">
        <f>AB47-AB48</f>
        <v>56201703</v>
      </c>
      <c r="AC49" s="2353"/>
      <c r="AD49" s="2353"/>
      <c r="AE49" s="2353"/>
      <c r="AF49" s="2354"/>
    </row>
    <row r="50" spans="1:76" ht="12.9" customHeight="1">
      <c r="D50" s="404" t="s">
        <v>679</v>
      </c>
      <c r="AA50" s="415"/>
      <c r="AB50" s="2340">
        <f xml:space="preserve"> (0.9999*0.82)</f>
        <v>0.81991799999999992</v>
      </c>
      <c r="AC50" s="2341"/>
      <c r="AD50" s="2341"/>
      <c r="AE50" s="2341"/>
      <c r="AF50" s="2342"/>
    </row>
    <row r="51" spans="1:76" s="417" customFormat="1" ht="12.9" customHeight="1">
      <c r="A51" s="402"/>
      <c r="B51" s="402"/>
      <c r="C51" s="402"/>
      <c r="D51" s="402"/>
      <c r="E51" s="2351" t="s">
        <v>2609</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68545517</v>
      </c>
      <c r="AC54" s="2353"/>
      <c r="AD54" s="2353"/>
      <c r="AE54" s="2353"/>
      <c r="AF54" s="2354"/>
    </row>
    <row r="55" spans="1:76" ht="12.9" customHeight="1">
      <c r="D55" s="404" t="s">
        <v>332</v>
      </c>
      <c r="AB55" s="2352">
        <f>(AB54/10)</f>
        <v>6854551.7000000002</v>
      </c>
      <c r="AC55" s="2353"/>
      <c r="AD55" s="2353"/>
      <c r="AE55" s="2353"/>
      <c r="AF55" s="2354"/>
    </row>
    <row r="56" spans="1:76" ht="12.9" customHeight="1">
      <c r="D56" s="404" t="s">
        <v>754</v>
      </c>
      <c r="AB56" s="2352">
        <f>ROUND((IF((Y41&lt;AB55),Y41,AB55)),0)</f>
        <v>5921137</v>
      </c>
      <c r="AC56" s="2353"/>
      <c r="AD56" s="2353"/>
      <c r="AE56" s="2353"/>
      <c r="AF56" s="2354"/>
    </row>
    <row r="57" spans="1:76" ht="12.9" customHeight="1">
      <c r="D57" s="404" t="s">
        <v>753</v>
      </c>
      <c r="AB57" s="2352">
        <f>ROUND((10*AB56*AB50),0)</f>
        <v>48548468</v>
      </c>
      <c r="AC57" s="2353"/>
      <c r="AD57" s="2353"/>
      <c r="AE57" s="2353"/>
      <c r="AF57" s="2354"/>
    </row>
    <row r="58" spans="1:76" ht="12.9" customHeight="1">
      <c r="D58" s="404"/>
      <c r="AB58" s="423"/>
      <c r="AC58" s="423"/>
      <c r="AD58" s="423"/>
      <c r="AE58" s="423"/>
      <c r="AF58" s="423"/>
    </row>
    <row r="59" spans="1:76" ht="12.9" customHeight="1">
      <c r="D59" s="404" t="s">
        <v>752</v>
      </c>
      <c r="AB59" s="2336">
        <f>AB49-AB57</f>
        <v>7653235</v>
      </c>
      <c r="AC59" s="2336"/>
      <c r="AD59" s="2336"/>
      <c r="AE59" s="2336"/>
      <c r="AF59" s="2336"/>
    </row>
    <row r="60" spans="1:76" ht="12.9" customHeight="1">
      <c r="D60" s="404"/>
      <c r="AB60" s="423"/>
      <c r="AC60" s="423"/>
      <c r="AD60" s="423"/>
      <c r="AE60" s="423"/>
      <c r="AF60" s="423"/>
    </row>
    <row r="61" spans="1:76" s="204" customFormat="1" ht="12.9"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 customHeight="1" thickTop="1"/>
    <row r="63" spans="1:76" ht="12.9" customHeight="1">
      <c r="A63" s="404" t="s">
        <v>588</v>
      </c>
      <c r="C63" s="205" t="s">
        <v>1246</v>
      </c>
      <c r="Y63" s="2347" t="s">
        <v>982</v>
      </c>
      <c r="Z63" s="2347"/>
      <c r="AA63" s="2347"/>
      <c r="AB63" s="2347"/>
      <c r="AC63" s="2347"/>
      <c r="AD63" s="2347" t="s">
        <v>368</v>
      </c>
      <c r="AE63" s="2347"/>
      <c r="AF63" s="2347"/>
      <c r="AG63" s="2347"/>
      <c r="AH63" s="2347"/>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113868019</v>
      </c>
      <c r="Z64" s="2349"/>
      <c r="AA64" s="2349"/>
      <c r="AB64" s="2349"/>
      <c r="AC64" s="2350"/>
      <c r="AD64" s="2348">
        <f>IF(AND(OR(Application!D211="At-Risk",Application!D211="At-Risk and Special Needs"),Application!M358="yes"),AD28+AI28,0)</f>
        <v>0</v>
      </c>
      <c r="AE64" s="2349"/>
      <c r="AF64" s="2349"/>
      <c r="AG64" s="2349"/>
      <c r="AH64" s="2350"/>
    </row>
    <row r="65" spans="1:36" ht="12.9"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0.3</v>
      </c>
      <c r="Z67" s="2337"/>
      <c r="AA67" s="2337"/>
      <c r="AB67" s="2337"/>
      <c r="AC67" s="2337"/>
      <c r="AD67" s="2337">
        <f>IF(Application!Z205="15% set-aside with qualifying low value rehab", 0.95,IF(OR(Application!D211="At-Risk",'Points System'!B13="Yes"),0.13,0))</f>
        <v>0</v>
      </c>
      <c r="AE67" s="2337"/>
      <c r="AF67" s="2337"/>
      <c r="AG67" s="2337"/>
      <c r="AH67" s="2337"/>
    </row>
    <row r="68" spans="1:36" ht="12.9" customHeight="1">
      <c r="C68" s="404"/>
      <c r="D68" s="205" t="s">
        <v>2222</v>
      </c>
      <c r="Y68" s="2338">
        <f>ROUND(Y64*Y67,0)</f>
        <v>34160406</v>
      </c>
      <c r="Z68" s="2339"/>
      <c r="AA68" s="2339"/>
      <c r="AB68" s="2339"/>
      <c r="AC68" s="2339"/>
      <c r="AD68" s="2338">
        <f>ROUND(AD64*AD67,0)</f>
        <v>0</v>
      </c>
      <c r="AE68" s="2339"/>
      <c r="AF68" s="2339"/>
      <c r="AG68" s="2339"/>
      <c r="AH68" s="2339"/>
    </row>
    <row r="69" spans="1:36" ht="12.9" customHeight="1">
      <c r="C69" s="404"/>
      <c r="D69" s="205" t="s">
        <v>2223</v>
      </c>
      <c r="Y69" s="2338">
        <f>IF(OR(Application!Z205="State Farmworker Credit",Application!Z205="$500M (Farmworker Housing)"),Y68+AD68,MIN(Y68+AD68,200000*(Application!G753+Application!O777)))</f>
        <v>30000000</v>
      </c>
      <c r="Z69" s="2338"/>
      <c r="AA69" s="2338"/>
      <c r="AB69" s="2338"/>
      <c r="AC69" s="2338"/>
      <c r="AD69" s="2338"/>
      <c r="AE69" s="2338"/>
      <c r="AF69" s="2338"/>
      <c r="AG69" s="2338"/>
      <c r="AH69" s="2338"/>
    </row>
    <row r="70" spans="1:36" ht="12.9" customHeight="1">
      <c r="C70" s="404"/>
      <c r="E70" s="404"/>
      <c r="AB70" s="422"/>
      <c r="AC70" s="422"/>
      <c r="AD70" s="422"/>
      <c r="AE70" s="422"/>
      <c r="AF70" s="422"/>
    </row>
    <row r="71" spans="1:36" ht="12.9" customHeight="1">
      <c r="A71" s="404" t="s">
        <v>589</v>
      </c>
      <c r="C71" s="205" t="s">
        <v>283</v>
      </c>
    </row>
    <row r="72" spans="1:36" ht="12.9" customHeight="1">
      <c r="A72" s="404"/>
      <c r="C72" s="404"/>
      <c r="D72" s="205" t="s">
        <v>1248</v>
      </c>
      <c r="AB72" s="2340">
        <f>0.9999*0.86</f>
        <v>0.85991399999999996</v>
      </c>
      <c r="AC72" s="2341"/>
      <c r="AD72" s="2341"/>
      <c r="AE72" s="2341"/>
      <c r="AF72" s="2342"/>
    </row>
    <row r="73" spans="1:36" ht="12.9" customHeight="1">
      <c r="A73" s="404"/>
      <c r="C73" s="404"/>
      <c r="D73" s="404"/>
      <c r="E73" s="2343" t="s">
        <v>1249</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1250</v>
      </c>
      <c r="AB77" s="2331">
        <f>ROUND(IF(ISERROR((AB59/AB72)),0,(AB59/AB72)),0)</f>
        <v>8900000</v>
      </c>
      <c r="AC77" s="2331"/>
      <c r="AD77" s="2331"/>
      <c r="AE77" s="2331"/>
      <c r="AF77" s="2331"/>
    </row>
    <row r="78" spans="1:36" ht="12.9" customHeight="1">
      <c r="C78" s="404"/>
      <c r="D78" s="205" t="s">
        <v>1251</v>
      </c>
      <c r="AB78" s="2332">
        <f>ROUNDUP(MIN(Y69,AB77),0)</f>
        <v>8900000</v>
      </c>
      <c r="AC78" s="2333"/>
      <c r="AD78" s="2333"/>
      <c r="AE78" s="2333"/>
      <c r="AF78" s="2334"/>
    </row>
    <row r="79" spans="1:36" ht="12.9" customHeight="1">
      <c r="C79" s="404"/>
      <c r="D79" s="205" t="s">
        <v>1252</v>
      </c>
      <c r="AB79" s="2335">
        <f>AB78*AB72</f>
        <v>7653234.5999999996</v>
      </c>
      <c r="AC79" s="2335"/>
      <c r="AD79" s="2335"/>
      <c r="AE79" s="2335"/>
      <c r="AF79" s="2335"/>
    </row>
    <row r="80" spans="1:36" ht="12.9" customHeight="1">
      <c r="C80" s="404"/>
      <c r="D80" s="404"/>
      <c r="AB80" s="425"/>
      <c r="AC80" s="425"/>
      <c r="AD80" s="425"/>
      <c r="AE80" s="425"/>
      <c r="AF80" s="425"/>
    </row>
    <row r="81" spans="1:78" ht="12.9" customHeight="1">
      <c r="D81" s="404" t="s">
        <v>752</v>
      </c>
      <c r="AB81" s="2336">
        <f>AB49-(AB57+AB79)</f>
        <v>0.39999999850988388</v>
      </c>
      <c r="AC81" s="2336"/>
      <c r="AD81" s="2336"/>
      <c r="AE81" s="2336"/>
      <c r="AF81" s="2336"/>
    </row>
    <row r="82" spans="1:78" ht="12.9" customHeight="1">
      <c r="F82" s="522"/>
      <c r="J82" s="522" t="str">
        <f>IF(AB81&gt;0,"FUNDING GAP MUST NOT EXCEED ZERO","")</f>
        <v>FUNDING GAP MUST NOT EXCEED ZERO</v>
      </c>
    </row>
    <row r="83" spans="1:78" ht="12.9" customHeight="1">
      <c r="D83" s="523"/>
    </row>
    <row r="84" spans="1:78" ht="12.9"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 customHeight="1" thickTop="1"/>
    <row r="86" spans="1:78" ht="12.9" customHeight="1">
      <c r="A86" s="404"/>
      <c r="C86" s="205"/>
    </row>
    <row r="87" spans="1:78" ht="12.9" customHeight="1">
      <c r="D87" s="205"/>
      <c r="AB87" s="2387"/>
      <c r="AC87" s="2387"/>
      <c r="AD87" s="2387"/>
      <c r="AE87" s="2387"/>
      <c r="AF87" s="2387"/>
    </row>
    <row r="88" spans="1:78" ht="12.9"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N409" sqref="AN409"/>
    </sheetView>
  </sheetViews>
  <sheetFormatPr defaultColWidth="0" defaultRowHeight="13" zeroHeight="1"/>
  <cols>
    <col min="1" max="1" width="2.72656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429" t="s">
        <v>1298</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1303</v>
      </c>
      <c r="AF7" s="2410"/>
      <c r="AG7" s="2410"/>
      <c r="AH7" s="2410"/>
      <c r="AI7" s="2410"/>
      <c r="AJ7" s="2410"/>
      <c r="AK7" s="2410"/>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590</v>
      </c>
      <c r="C13" s="2400"/>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590</v>
      </c>
      <c r="C16" s="2400"/>
      <c r="D16" s="547"/>
      <c r="E16" s="2411" t="s">
        <v>1305</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590</v>
      </c>
      <c r="C22" s="2400"/>
      <c r="D22" s="547"/>
      <c r="E22" s="2436" t="s">
        <v>1308</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590</v>
      </c>
      <c r="C25" s="2400"/>
      <c r="D25" s="547"/>
      <c r="E25" s="2401" t="s">
        <v>2031</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590</v>
      </c>
      <c r="C28" s="2400"/>
      <c r="D28" s="547"/>
      <c r="E28" s="2424" t="s">
        <v>2246</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400" t="s">
        <v>590</v>
      </c>
      <c r="C33" s="2400"/>
      <c r="D33" s="547"/>
      <c r="E33" s="2436" t="s">
        <v>2248</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590</v>
      </c>
      <c r="C36" s="2400"/>
      <c r="D36" s="547"/>
      <c r="E36" s="2401" t="s">
        <v>2249</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590</v>
      </c>
      <c r="C40" s="2400"/>
      <c r="D40" s="547"/>
      <c r="E40" s="2401" t="s">
        <v>2247</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590</v>
      </c>
      <c r="C45" s="2400"/>
      <c r="D45" s="1142"/>
      <c r="E45" s="2401" t="s">
        <v>2006</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590</v>
      </c>
      <c r="C52" s="2400"/>
      <c r="D52" s="540"/>
      <c r="E52" s="2401" t="s">
        <v>2011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590</v>
      </c>
      <c r="C56" s="2400"/>
      <c r="D56" s="540"/>
      <c r="E56" s="2421" t="s">
        <v>2012</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590</v>
      </c>
      <c r="C58" s="2400"/>
      <c r="D58" s="540"/>
      <c r="E58" s="2401" t="s">
        <v>2013</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1312</v>
      </c>
      <c r="AF65" s="2410"/>
      <c r="AG65" s="2410"/>
      <c r="AH65" s="2410"/>
      <c r="AI65" s="2410"/>
      <c r="AJ65" s="2410"/>
      <c r="AK65" s="2410"/>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590</v>
      </c>
      <c r="C68" s="2400"/>
      <c r="D68" s="547" t="s">
        <v>1313</v>
      </c>
      <c r="E68" s="2411" t="s">
        <v>2014</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1314</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544</v>
      </c>
      <c r="C74" s="2400"/>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544</v>
      </c>
      <c r="F75" s="2400"/>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590</v>
      </c>
      <c r="F76" s="239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590</v>
      </c>
      <c r="F77" s="239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590</v>
      </c>
      <c r="F79" s="2400"/>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590</v>
      </c>
      <c r="C81" s="2400"/>
      <c r="D81" s="547" t="s">
        <v>1318</v>
      </c>
      <c r="E81" s="2401" t="s">
        <v>1738</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1303</v>
      </c>
      <c r="AF87" s="2410"/>
      <c r="AG87" s="2410"/>
      <c r="AH87" s="2410"/>
      <c r="AI87" s="2410"/>
      <c r="AJ87" s="2410"/>
      <c r="AK87" s="2410"/>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590</v>
      </c>
      <c r="C90" s="2400"/>
      <c r="D90" s="547" t="s">
        <v>1313</v>
      </c>
      <c r="E90" s="2411" t="s">
        <v>1323</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0.41208053691275154</v>
      </c>
      <c r="F93" s="2395"/>
      <c r="G93" s="2395"/>
      <c r="H93" s="2395"/>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0.18</v>
      </c>
      <c r="F94" s="2397"/>
      <c r="G94" s="2397"/>
      <c r="H94" s="2397"/>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544</v>
      </c>
      <c r="C98" s="2400"/>
      <c r="D98" s="547" t="s">
        <v>1315</v>
      </c>
      <c r="E98" s="2411" t="s">
        <v>1723</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0.41208053691275154</v>
      </c>
      <c r="F103" s="2395"/>
      <c r="G103" s="2395"/>
      <c r="H103" s="2395"/>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0.49664429530201343</v>
      </c>
      <c r="F104" s="2395"/>
      <c r="G104" s="2395"/>
      <c r="H104" s="2395"/>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0.38926174496644295</v>
      </c>
      <c r="F105" s="2395"/>
      <c r="G105" s="2395"/>
      <c r="H105" s="2395"/>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1312</v>
      </c>
      <c r="AF112" s="2410"/>
      <c r="AG112" s="2410"/>
      <c r="AH112" s="2410"/>
      <c r="AI112" s="2410"/>
      <c r="AJ112" s="2410"/>
      <c r="AK112" s="2410"/>
      <c r="AL112" s="540"/>
      <c r="AM112" s="540"/>
      <c r="AN112" s="535"/>
      <c r="AO112" s="536" t="str">
        <f>Application!B718</f>
        <v>SRO/Studio</v>
      </c>
      <c r="AQ112" s="536">
        <f>Application!O718</f>
        <v>768</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1607</v>
      </c>
    </row>
    <row r="115" spans="1:52" s="536" customFormat="1" ht="12.75" customHeight="1">
      <c r="A115" s="540"/>
      <c r="B115" s="2400" t="s">
        <v>544</v>
      </c>
      <c r="C115" s="2400"/>
      <c r="D115" s="547" t="s">
        <v>1313</v>
      </c>
      <c r="E115" s="2411" t="s">
        <v>1855</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1 Bedroom</v>
      </c>
      <c r="AQ115" s="536">
        <f>Application!O721</f>
        <v>814</v>
      </c>
      <c r="AU115" s="536" t="s">
        <v>1838</v>
      </c>
      <c r="AV115" s="595" t="s">
        <v>1839</v>
      </c>
      <c r="AW115" s="536" t="s">
        <v>1840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1 Bedroom</v>
      </c>
      <c r="AQ116" s="536">
        <f>Application!O722</f>
        <v>1413</v>
      </c>
      <c r="AU116" s="856" t="str">
        <f>E124</f>
        <v>Studio/SRO</v>
      </c>
      <c r="AV116" s="536">
        <f t="array" ref="AV116">SUM(IF(Application!B718:F752="SRO/Studio",Application!G718:J752))</f>
        <v>22</v>
      </c>
      <c r="AW116" s="1011">
        <f>AV116/AV122</f>
        <v>0.1476510067114094</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1713</v>
      </c>
      <c r="AU117" s="856" t="str">
        <f>J124</f>
        <v>1-bedroom</v>
      </c>
      <c r="AV117" s="536">
        <f t="array" ref="AV117">SUM(IF(Application!B718:F752="1 Bedroom",Application!G718:J752))</f>
        <v>10</v>
      </c>
      <c r="AW117" s="1011">
        <f>AV117/AV122</f>
        <v>6.7114093959731544E-2</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2 Bedrooms</v>
      </c>
      <c r="AQ118" s="536">
        <f>Application!O724</f>
        <v>959</v>
      </c>
      <c r="AU118" s="856" t="str">
        <f>O124</f>
        <v>2-bedroom</v>
      </c>
      <c r="AV118" s="536">
        <f t="array" ref="AV118">SUM(IF(Application!B718:F752="2 Bedrooms",Application!G718:J752))</f>
        <v>68</v>
      </c>
      <c r="AW118" s="1011">
        <f>AV118/AV122</f>
        <v>0.4563758389261745</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2 Bedrooms</v>
      </c>
      <c r="AQ119" s="536">
        <f>Application!O725</f>
        <v>1678</v>
      </c>
      <c r="AU119" s="856" t="str">
        <f>T124</f>
        <v>3-bedroom</v>
      </c>
      <c r="AV119" s="536">
        <f t="array" ref="AV119">SUM(IF(Application!B718:F752="3 Bedrooms",Application!G718:J752))</f>
        <v>49</v>
      </c>
      <c r="AW119" s="1011">
        <f>AV119/AV122</f>
        <v>0.32885906040268459</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2 Bedrooms</v>
      </c>
      <c r="AQ120" s="536">
        <f>Application!O726</f>
        <v>2038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3 Bedrooms</v>
      </c>
      <c r="AQ121" s="536">
        <f>Application!O727</f>
        <v>1092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3 Bedrooms</v>
      </c>
      <c r="AQ122" s="536">
        <f>Application!O728</f>
        <v>1923</v>
      </c>
      <c r="AV122" s="536">
        <f>SUM(AV116:AV121)</f>
        <v>149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2339</v>
      </c>
    </row>
    <row r="124" spans="1:52" s="536" customFormat="1" ht="12.75" customHeight="1">
      <c r="A124" s="540"/>
      <c r="B124" s="539"/>
      <c r="C124" s="540"/>
      <c r="D124" s="540"/>
      <c r="E124" s="2394" t="s">
        <v>1586</v>
      </c>
      <c r="F124" s="2395"/>
      <c r="G124" s="2395"/>
      <c r="H124" s="2395"/>
      <c r="I124" s="577"/>
      <c r="J124" s="2395" t="s">
        <v>1629</v>
      </c>
      <c r="K124" s="2395"/>
      <c r="L124" s="2395"/>
      <c r="M124" s="2395"/>
      <c r="N124" s="577"/>
      <c r="O124" s="2395" t="s">
        <v>1630</v>
      </c>
      <c r="P124" s="2395"/>
      <c r="Q124" s="2395"/>
      <c r="R124" s="2395"/>
      <c r="S124" s="577"/>
      <c r="T124" s="2395" t="s">
        <v>1332</v>
      </c>
      <c r="U124" s="2395"/>
      <c r="V124" s="2395"/>
      <c r="W124" s="2395"/>
      <c r="X124" s="577"/>
      <c r="Y124" s="2395" t="s">
        <v>1631</v>
      </c>
      <c r="Z124" s="2395"/>
      <c r="AA124" s="2395"/>
      <c r="AB124" s="2395"/>
      <c r="AC124" s="577"/>
      <c r="AD124" s="2395" t="s">
        <v>1632</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1951</v>
      </c>
      <c r="F127" s="2455"/>
      <c r="G127" s="2455"/>
      <c r="H127" s="2455"/>
      <c r="I127" s="864"/>
      <c r="J127" s="2455">
        <v>2097</v>
      </c>
      <c r="K127" s="2455"/>
      <c r="L127" s="2455"/>
      <c r="M127" s="2455"/>
      <c r="N127" s="864"/>
      <c r="O127" s="2455">
        <v>2306</v>
      </c>
      <c r="P127" s="2455"/>
      <c r="Q127" s="2455"/>
      <c r="R127" s="2455"/>
      <c r="S127" s="864"/>
      <c r="T127" s="2455">
        <v>3228</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831.5454545454545</v>
      </c>
      <c r="F130" s="2448"/>
      <c r="G130" s="2448"/>
      <c r="H130" s="2448"/>
      <c r="I130" s="864"/>
      <c r="J130" s="2448">
        <f>Application!EC670</f>
        <v>963.8</v>
      </c>
      <c r="K130" s="2448"/>
      <c r="L130" s="2448"/>
      <c r="M130" s="2448"/>
      <c r="N130" s="864"/>
      <c r="O130" s="2448">
        <f>Application!EH670</f>
        <v>1371.4264705882354</v>
      </c>
      <c r="P130" s="2448"/>
      <c r="Q130" s="2448"/>
      <c r="R130" s="2448"/>
      <c r="S130" s="868"/>
      <c r="T130" s="2448">
        <f>Application!EM670</f>
        <v>1761.9591836734694</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0.57378500535855737</v>
      </c>
      <c r="F133" s="2397"/>
      <c r="G133" s="2397"/>
      <c r="H133" s="2647"/>
      <c r="I133" s="577"/>
      <c r="J133" s="2646">
        <f>(J127-J130)/J127</f>
        <v>0.54039103481163564</v>
      </c>
      <c r="K133" s="2397"/>
      <c r="L133" s="2397"/>
      <c r="M133" s="2647"/>
      <c r="N133" s="577"/>
      <c r="O133" s="2646">
        <f>(O127-O130)/O127</f>
        <v>0.40527906739452063</v>
      </c>
      <c r="P133" s="2397"/>
      <c r="Q133" s="2397"/>
      <c r="R133" s="2647"/>
      <c r="S133" s="577"/>
      <c r="T133" s="2646">
        <f>(T127-T130)/T127</f>
        <v>0.45416382166249397</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6.9954833005961503E-2</v>
      </c>
      <c r="F136" s="2450"/>
      <c r="G136" s="2450"/>
      <c r="H136" s="2451"/>
      <c r="I136" s="577"/>
      <c r="J136" s="2449">
        <f>IF(((J133-0.1)*AW117)&gt;0,((J133-0.1)*AW117),0)</f>
        <v>2.955644528937152E-2</v>
      </c>
      <c r="K136" s="2450"/>
      <c r="L136" s="2450"/>
      <c r="M136" s="2451"/>
      <c r="N136" s="577"/>
      <c r="O136" s="2449">
        <f>IF(((O133-0.1)*AW118)&gt;0,((O133-0.1)*AW118),0)</f>
        <v>0.1393219904887745</v>
      </c>
      <c r="P136" s="2450"/>
      <c r="Q136" s="2450"/>
      <c r="R136" s="2451"/>
      <c r="S136" s="577"/>
      <c r="T136" s="2449">
        <f>IF(((T133-0.1)*AW119)&gt;0,((T133-0.1)*AW119),0)</f>
        <v>0.11646998162055171</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0.35</v>
      </c>
      <c r="F138" s="2397"/>
      <c r="G138" s="2397"/>
      <c r="H138" s="2647"/>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10" t="s">
        <v>1312</v>
      </c>
      <c r="AF146" s="2410"/>
      <c r="AG146" s="2410"/>
      <c r="AH146" s="2410"/>
      <c r="AI146" s="2410"/>
      <c r="AJ146" s="2410"/>
      <c r="AK146" s="2410"/>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1336</v>
      </c>
      <c r="AG148" s="2445"/>
      <c r="AH148" s="2445"/>
      <c r="AI148" s="2445"/>
      <c r="AJ148" s="2445"/>
      <c r="AK148" s="2445"/>
      <c r="AL148" s="244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2626</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2" t="s">
        <v>1339</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1339</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473" t="s">
        <v>590</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2" t="s">
        <v>1341</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2473</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2474</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2472</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590</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1350</v>
      </c>
      <c r="AG168" s="2445"/>
      <c r="AH168" s="2445"/>
      <c r="AI168" s="2445"/>
      <c r="AJ168" s="2445"/>
      <c r="AK168" s="2445"/>
      <c r="AL168" s="244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1348</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590</v>
      </c>
      <c r="AG172" s="2473"/>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72" t="s">
        <v>1341</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4" t="str">
        <f>Application!AA335</f>
        <v>ConAm Management Corporation</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1312</v>
      </c>
      <c r="AF186" s="2410"/>
      <c r="AG186" s="2410"/>
      <c r="AH186" s="2410"/>
      <c r="AI186" s="2410"/>
      <c r="AJ186" s="2410"/>
      <c r="AK186" s="2410"/>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70" t="s">
        <v>1039</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1361</v>
      </c>
      <c r="AG188" s="2445"/>
      <c r="AH188" s="2445"/>
      <c r="AI188" s="2445"/>
      <c r="AJ188" s="2445"/>
      <c r="AK188" s="2445"/>
      <c r="AL188" s="2445"/>
      <c r="AN188" s="597"/>
      <c r="AP188" s="550" t="s">
        <v>1041</v>
      </c>
      <c r="AQ188" s="550">
        <v>10</v>
      </c>
    </row>
    <row r="189" spans="1:73" s="550" customFormat="1" ht="12.75" customHeight="1">
      <c r="A189" s="536"/>
      <c r="B189" s="2471" t="s">
        <v>1724</v>
      </c>
      <c r="C189" s="2471"/>
      <c r="D189" s="2471"/>
      <c r="E189" s="2471"/>
      <c r="F189" s="2471"/>
      <c r="G189" s="2471"/>
      <c r="H189" s="2471"/>
      <c r="I189" s="2471"/>
      <c r="J189" s="2471"/>
      <c r="K189" s="2471"/>
      <c r="L189" s="2471"/>
      <c r="M189" s="2471"/>
      <c r="N189" s="2471"/>
      <c r="O189" s="2471"/>
      <c r="P189" s="2471"/>
      <c r="Q189" s="2471"/>
      <c r="R189" s="2471"/>
      <c r="S189" s="2471"/>
      <c r="T189" s="2446" t="s">
        <v>590</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80">
        <f>IF(AK84&gt;0,VLOOKUP($B$188,AP185:AQ191,2,FALSE),0)</f>
        <v>10</v>
      </c>
      <c r="AL191" s="2481"/>
      <c r="AM191" s="2482"/>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1370</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2742</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27813000</v>
      </c>
      <c r="AE199" s="2458"/>
      <c r="AF199" s="2458"/>
      <c r="AG199" s="2458"/>
      <c r="AH199" s="2458"/>
      <c r="AI199" s="2458"/>
      <c r="AJ199" s="2458"/>
      <c r="AK199" s="610"/>
    </row>
    <row r="200" spans="1:40">
      <c r="A200" s="605"/>
      <c r="B200" s="2457" t="s">
        <v>2743</v>
      </c>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v>5000000</v>
      </c>
      <c r="AE200" s="2458"/>
      <c r="AF200" s="2458"/>
      <c r="AG200" s="2458"/>
      <c r="AH200" s="2458"/>
      <c r="AI200" s="2458"/>
      <c r="AJ200" s="2458"/>
      <c r="AK200" s="610"/>
    </row>
    <row r="201" spans="1:40">
      <c r="A201" s="605"/>
      <c r="B201" s="2457" t="s">
        <v>2744</v>
      </c>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v>2187000</v>
      </c>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1625</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1588</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492">
        <f>SUM(AD199:AJ209)-AD210</f>
        <v>35000000</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1605</v>
      </c>
      <c r="J222" s="2461"/>
      <c r="K222" s="2461"/>
      <c r="L222" s="536"/>
      <c r="M222" s="536"/>
      <c r="N222" s="536"/>
      <c r="O222" s="536"/>
      <c r="P222" s="536"/>
      <c r="Q222" s="536"/>
      <c r="R222" s="536"/>
      <c r="S222" s="536"/>
      <c r="T222" s="2649" t="s">
        <v>1599</v>
      </c>
      <c r="U222" s="2649"/>
      <c r="V222" s="2649"/>
      <c r="W222" s="2649"/>
      <c r="X222" s="2649"/>
      <c r="Y222" s="2649"/>
      <c r="Z222" s="849"/>
      <c r="AA222" s="489"/>
      <c r="AB222" s="2456" t="s">
        <v>1600</v>
      </c>
      <c r="AC222" s="2456"/>
      <c r="AD222" s="2456"/>
      <c r="AE222" s="2456"/>
      <c r="AF222" s="2456"/>
      <c r="AG222" s="2456"/>
      <c r="AH222" s="827"/>
      <c r="AI222" s="827"/>
      <c r="AJ222" s="827"/>
      <c r="AK222" s="610"/>
    </row>
    <row r="223" spans="1:37">
      <c r="A223" s="605"/>
      <c r="B223" s="2459" t="s">
        <v>1585</v>
      </c>
      <c r="C223" s="2459"/>
      <c r="D223" s="2459"/>
      <c r="E223" s="2459"/>
      <c r="F223" s="2459"/>
      <c r="G223" s="2459"/>
      <c r="I223" s="2460" t="s">
        <v>1606</v>
      </c>
      <c r="J223" s="2460"/>
      <c r="K223" s="2460"/>
      <c r="L223" s="1008"/>
      <c r="N223" s="2466" t="s">
        <v>1601</v>
      </c>
      <c r="O223" s="2466"/>
      <c r="P223" s="2466"/>
      <c r="Q223" s="2466"/>
      <c r="R223" s="2466"/>
      <c r="T223" s="2466" t="s">
        <v>1602</v>
      </c>
      <c r="U223" s="2466"/>
      <c r="V223" s="2466"/>
      <c r="W223" s="2466"/>
      <c r="X223" s="2466"/>
      <c r="Y223" s="2466"/>
      <c r="Z223" s="850"/>
      <c r="AA223" s="489"/>
      <c r="AB223" s="2603" t="s">
        <v>1603</v>
      </c>
      <c r="AC223" s="2603"/>
      <c r="AD223" s="2603"/>
      <c r="AE223" s="2603"/>
      <c r="AF223" s="2603"/>
      <c r="AG223" s="2603"/>
      <c r="AH223" s="827"/>
      <c r="AI223" s="827"/>
      <c r="AJ223" s="827"/>
      <c r="AK223" s="610"/>
    </row>
    <row r="224" spans="1:37">
      <c r="A224" s="605"/>
      <c r="B224" s="2463" t="s">
        <v>1182</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1182</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1182</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1182</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1182</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1182</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1182</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1182</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1182</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1182</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35000000</v>
      </c>
      <c r="AH268" s="2483"/>
      <c r="AI268" s="2483"/>
      <c r="AJ268" s="2483"/>
      <c r="AK268" s="2483"/>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115354053</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0.3</v>
      </c>
      <c r="AH270" s="2484"/>
      <c r="AI270" s="2484"/>
      <c r="AJ270" s="2484"/>
      <c r="AK270" s="248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5">
        <f>IFERROR(IF(AG270=0,0,IF((AG270*100)&gt;8,8,(AG270*100))),0)</f>
        <v>8</v>
      </c>
      <c r="AL273" s="2485"/>
      <c r="AM273" s="2486"/>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7" t="s">
        <v>544</v>
      </c>
      <c r="D278" s="2477"/>
      <c r="E278" s="547"/>
      <c r="F278" s="2634" t="s">
        <v>2022</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1361</v>
      </c>
      <c r="AH278" s="2478"/>
      <c r="AI278" s="2478"/>
      <c r="AJ278" s="2478"/>
      <c r="AK278" s="550"/>
      <c r="AL278" s="550"/>
      <c r="AM278" s="550"/>
      <c r="AO278" s="550"/>
    </row>
    <row r="279" spans="1:52" ht="13.6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6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5">
        <f>IF($C$278="yes",10,0)</f>
        <v>10</v>
      </c>
      <c r="AL285" s="2485"/>
      <c r="AM285" s="2486"/>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1380</v>
      </c>
      <c r="B292" s="1628"/>
      <c r="C292" s="2473" t="s">
        <v>590</v>
      </c>
      <c r="D292" s="2477"/>
      <c r="E292" s="547"/>
      <c r="F292" s="2505" t="s">
        <v>1381</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2015</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2023</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1382</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1383</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1384</v>
      </c>
      <c r="B302" s="1628"/>
      <c r="C302" s="2477" t="s">
        <v>544</v>
      </c>
      <c r="D302" s="2477"/>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7" t="s">
        <v>2017</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1387</v>
      </c>
      <c r="B310" s="1628"/>
      <c r="C310" s="2477" t="s">
        <v>590</v>
      </c>
      <c r="D310" s="2477"/>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9" t="s">
        <v>2024</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1182</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1182</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15" t="s">
        <v>1182</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5" t="s">
        <v>1182</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8" t="s">
        <v>1390</v>
      </c>
      <c r="B333" s="1628"/>
      <c r="C333" s="2477" t="s">
        <v>590</v>
      </c>
      <c r="D333" s="2477"/>
      <c r="E333" s="547"/>
      <c r="F333" s="2401" t="s">
        <v>2025</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10" t="s">
        <v>1312</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1452</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5"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2090</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2205</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1453</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2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9"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1454</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1455</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580</v>
      </c>
      <c r="AP361" s="696">
        <f>IF(C407="Yes",5,0)</f>
        <v>0</v>
      </c>
      <c r="AS361" s="539" t="s">
        <v>1876</v>
      </c>
    </row>
    <row r="362" spans="1:46" s="550" customFormat="1" ht="12.75" customHeight="1">
      <c r="A362" s="603"/>
      <c r="B362" s="611"/>
      <c r="C362" s="2541" t="s">
        <v>2229</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761</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583</v>
      </c>
      <c r="AP364" s="696">
        <f>IF(C421="Yes",5,0)</f>
        <v>0</v>
      </c>
    </row>
    <row r="365" spans="1:46" s="550" customFormat="1" ht="11.9"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5"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226</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9" t="s">
        <v>1456</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455</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460</v>
      </c>
      <c r="AP370" s="696">
        <f>IF(C449="Yes",5,0)</f>
        <v>0</v>
      </c>
    </row>
    <row r="371" spans="1:81" s="550" customFormat="1" ht="68.150000000000006"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644</v>
      </c>
      <c r="AP371" s="701">
        <f>IF(C453="Yes",5,0)</f>
        <v>0</v>
      </c>
    </row>
    <row r="372" spans="1:81" s="550" customFormat="1" ht="12.5"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7">
        <f>Application!DU802-U374</f>
        <v>315</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2">
        <f>IF(AP375&gt;0,AP375,0)</f>
        <v>0</v>
      </c>
      <c r="AR375" s="2542"/>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3" t="s">
        <v>1458</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590</v>
      </c>
      <c r="D381" s="2477"/>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1460</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3" t="s">
        <v>1461</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590</v>
      </c>
      <c r="D389" s="2477"/>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1460</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3" t="s">
        <v>1463</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544</v>
      </c>
      <c r="D397" s="2477"/>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1465</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590</v>
      </c>
      <c r="D399" s="2477"/>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1460</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3" t="s">
        <v>1469</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590</v>
      </c>
      <c r="D407" s="2477"/>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1460</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544</v>
      </c>
      <c r="D409" s="2477"/>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1472</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590</v>
      </c>
      <c r="D412" s="2477"/>
      <c r="E412" s="715" t="s">
        <v>1473</v>
      </c>
      <c r="F412" s="2523" t="s">
        <v>1474</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1460</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3" t="s">
        <v>1476</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590</v>
      </c>
      <c r="D421" s="2477"/>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1460</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590</v>
      </c>
      <c r="D423" s="2477"/>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1472</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3" t="s">
        <v>1480</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5"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590</v>
      </c>
      <c r="D430" s="2477"/>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1460</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1482</v>
      </c>
      <c r="F433" s="2523" t="s">
        <v>1483</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590</v>
      </c>
      <c r="D442" s="2477"/>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1460</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3" t="s">
        <v>1486</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590</v>
      </c>
      <c r="D449" s="2477"/>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1460</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590</v>
      </c>
      <c r="D453" s="2527"/>
      <c r="E453" s="715" t="s">
        <v>1495</v>
      </c>
      <c r="F453" s="2523" t="s">
        <v>1496</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1460</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75"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590</v>
      </c>
      <c r="D457" s="2477"/>
      <c r="E457" s="715" t="s">
        <v>1501</v>
      </c>
      <c r="F457" s="2523" t="s">
        <v>1502</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1460</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3" t="s">
        <v>1505</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590</v>
      </c>
      <c r="D466" s="2477"/>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1460</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1" t="s">
        <v>1509</v>
      </c>
      <c r="AF472" s="2521"/>
      <c r="AG472" s="2521"/>
      <c r="AH472" s="2521"/>
      <c r="AI472" s="2521"/>
      <c r="AJ472" s="2521"/>
      <c r="AK472" s="2521"/>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6" t="s">
        <v>590</v>
      </c>
      <c r="D478" s="2547"/>
      <c r="E478" s="761" t="s">
        <v>506</v>
      </c>
      <c r="F478" s="2548" t="s">
        <v>1515</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2" t="s">
        <v>590</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3" t="s">
        <v>544</v>
      </c>
      <c r="D482" s="2624"/>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1" t="s">
        <v>590</v>
      </c>
      <c r="W485" s="2621"/>
      <c r="X485" s="2621"/>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1" t="s">
        <v>590</v>
      </c>
      <c r="W487" s="2621"/>
      <c r="X487" s="2621"/>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1" t="s">
        <v>590</v>
      </c>
      <c r="W492" s="2621"/>
      <c r="X492" s="2621"/>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1"/>
      <c r="E495" s="2611"/>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1" t="s">
        <v>590</v>
      </c>
      <c r="W496" s="2621"/>
      <c r="X496" s="2621"/>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1" t="s">
        <v>590</v>
      </c>
      <c r="W498" s="2621"/>
      <c r="X498" s="2621"/>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590</v>
      </c>
      <c r="D501" s="2547"/>
      <c r="E501" s="761" t="s">
        <v>506</v>
      </c>
      <c r="F501" s="2548" t="s">
        <v>1515</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590</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590</v>
      </c>
      <c r="D505" s="2547"/>
      <c r="E505" s="761" t="s">
        <v>755</v>
      </c>
      <c r="F505" s="2618" t="s">
        <v>1537</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590</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590</v>
      </c>
      <c r="D510" s="2547"/>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590</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590</v>
      </c>
      <c r="D515" s="2551"/>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590</v>
      </c>
      <c r="D519" s="2551"/>
      <c r="F519" s="795" t="s">
        <v>1545</v>
      </c>
      <c r="G519" s="2524" t="s">
        <v>1546</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590</v>
      </c>
      <c r="D523" s="2553"/>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590</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1558</v>
      </c>
      <c r="AF538" s="2410"/>
      <c r="AG538" s="2410"/>
      <c r="AH538" s="2410"/>
      <c r="AI538" s="2410"/>
      <c r="AJ538" s="2410"/>
      <c r="AK538" s="2410"/>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544</v>
      </c>
      <c r="D541" s="2477"/>
      <c r="E541" s="551"/>
      <c r="F541" s="2604" t="s">
        <v>1559</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590</v>
      </c>
      <c r="D544" s="2477"/>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1561</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1562</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102597168</v>
      </c>
      <c r="AQ550" s="2626"/>
      <c r="AR550" s="2626"/>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113868019</v>
      </c>
      <c r="AG551" s="2483"/>
      <c r="AH551" s="2483"/>
      <c r="AI551" s="2483"/>
      <c r="AJ551" s="2483"/>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242201007.40000001</v>
      </c>
      <c r="AG552" s="2631"/>
      <c r="AH552" s="2631"/>
      <c r="AI552" s="2631"/>
      <c r="AJ552" s="2631"/>
      <c r="AK552" s="595"/>
      <c r="AL552" s="595"/>
      <c r="AM552" s="595"/>
      <c r="AN552" s="597"/>
      <c r="AP552" s="2626">
        <f>Application!AJ1045</f>
        <v>38986923.840000004</v>
      </c>
      <c r="AQ552" s="2626"/>
      <c r="AR552" s="2626"/>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0.52</v>
      </c>
      <c r="AG553" s="2632"/>
      <c r="AH553" s="2632"/>
      <c r="AI553" s="2632"/>
      <c r="AJ553" s="2632"/>
      <c r="AK553" s="595"/>
      <c r="AL553" s="595"/>
      <c r="AM553" s="595"/>
      <c r="AN553" s="597"/>
      <c r="AP553" s="2629">
        <f>Application!AJ1049</f>
        <v>100545224.64</v>
      </c>
      <c r="AQ553" s="2629"/>
      <c r="AR553" s="2629"/>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2169</v>
      </c>
    </row>
    <row r="555" spans="1:49" s="550" customFormat="1" ht="12.75" customHeight="1">
      <c r="A555" s="624"/>
      <c r="B555" s="2562" t="s">
        <v>2029</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160123273</v>
      </c>
      <c r="AQ556" s="2535"/>
      <c r="AR556" s="2535"/>
      <c r="AS556" s="550" t="s">
        <v>2171</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299655421.48000002</v>
      </c>
      <c r="AQ557" s="2626"/>
      <c r="AR557" s="2626"/>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1">
        <f>IFERROR(IF(AND(C541="N/A",C544="N/A"),0,IF(AF553=0,0,IF((AF553*100)&gt;12,12,(AF553*100)))),0)</f>
        <v>12</v>
      </c>
      <c r="AL559" s="2571"/>
      <c r="AM559" s="2572"/>
      <c r="AN559" s="597"/>
      <c r="AP559" s="2643">
        <f>AP556+(AP550*AP554)</f>
        <v>242201007.40000001</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1312</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2020</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1336</v>
      </c>
      <c r="AG578" s="2445"/>
      <c r="AH578" s="2445"/>
      <c r="AI578" s="2445"/>
      <c r="AJ578" s="2445"/>
      <c r="AK578" s="2445"/>
      <c r="AL578" s="244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1394</v>
      </c>
      <c r="AG585" s="2445"/>
      <c r="AH585" s="2445"/>
      <c r="AI585" s="2445"/>
      <c r="AJ585" s="2445"/>
      <c r="AK585" s="2445"/>
      <c r="AL585" s="244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1376</v>
      </c>
      <c r="AG591" s="2445"/>
      <c r="AH591" s="2445"/>
      <c r="AI591" s="2445"/>
      <c r="AJ591" s="2445"/>
      <c r="AK591" s="2445"/>
      <c r="AL591" s="244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1397</v>
      </c>
      <c r="AG597" s="2445"/>
      <c r="AH597" s="2445"/>
      <c r="AI597" s="2445"/>
      <c r="AJ597" s="2445"/>
      <c r="AK597" s="2445"/>
      <c r="AL597" s="244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1" t="s">
        <v>1182</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1350</v>
      </c>
      <c r="AG603" s="2445"/>
      <c r="AH603" s="2445"/>
      <c r="AI603" s="2445"/>
      <c r="AJ603" s="2445"/>
      <c r="AK603" s="2445"/>
      <c r="AL603" s="244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9" t="s">
        <v>685</v>
      </c>
      <c r="I606" s="2529"/>
      <c r="J606" s="936"/>
      <c r="K606" s="936"/>
      <c r="L606" s="936"/>
      <c r="N606" s="22"/>
      <c r="O606" s="22"/>
      <c r="P606" s="22"/>
      <c r="Q606" s="1151" t="s">
        <v>2174</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0" t="s">
        <v>590</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3" t="s">
        <v>590</v>
      </c>
      <c r="C616" s="2473"/>
      <c r="D616" s="642"/>
      <c r="E616" s="2500" t="s">
        <v>1401</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28" t="s">
        <v>1692</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1350</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3" t="s">
        <v>590</v>
      </c>
      <c r="Y634" s="2473"/>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1406</v>
      </c>
      <c r="AG636" s="2445"/>
      <c r="AH636" s="2445"/>
      <c r="AI636" s="2445"/>
      <c r="AJ636" s="2445"/>
      <c r="AK636" s="2445"/>
      <c r="AL636" s="24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9" t="s">
        <v>508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80">
        <f>VLOOKUP($H$638,$AO$605:$AP$607,2,FALSE)</f>
        <v>2</v>
      </c>
      <c r="AK640" s="2482"/>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500" t="s">
        <v>2095</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1350</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1406</v>
      </c>
      <c r="AG647" s="2445"/>
      <c r="AH647" s="2445"/>
      <c r="AI647" s="2445"/>
      <c r="AJ647" s="2445"/>
      <c r="AK647" s="2445"/>
      <c r="AL647" s="244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9" t="s">
        <v>685</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80">
        <f>VLOOKUP(H650,AT605:AU607,2,FALSE)</f>
        <v>3</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500" t="s">
        <v>1416</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1376</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0" t="s">
        <v>1417</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1397</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0" t="s">
        <v>1418</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1350</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590</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500" t="s">
        <v>1419</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1397</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500" t="s">
        <v>1420</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1350</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500" t="s">
        <v>1421</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1406</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500" t="s">
        <v>1422</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1423</v>
      </c>
      <c r="AG681" s="2445"/>
      <c r="AH681" s="2445"/>
      <c r="AI681" s="2445"/>
      <c r="AJ681" s="2445"/>
      <c r="AK681" s="2445"/>
      <c r="AL681" s="2445"/>
      <c r="AM681" s="596"/>
      <c r="AN681" s="597"/>
      <c r="AO681" s="611" t="s">
        <v>685</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9" t="s">
        <v>685</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149</v>
      </c>
    </row>
    <row r="691" spans="1:51" s="550" customFormat="1" ht="12.75" customHeight="1">
      <c r="A691" s="679"/>
      <c r="B691" s="536"/>
      <c r="C691" s="948"/>
      <c r="D691" s="663" t="s">
        <v>685</v>
      </c>
      <c r="E691" s="2536" t="s">
        <v>2187</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1350</v>
      </c>
      <c r="AG691" s="2445"/>
      <c r="AH691" s="2445"/>
      <c r="AI691" s="2445"/>
      <c r="AJ691" s="2445"/>
      <c r="AK691" s="2445"/>
      <c r="AL691" s="2445"/>
      <c r="AN691" s="597"/>
      <c r="AW691" s="22" t="s">
        <v>2182</v>
      </c>
      <c r="AX691" s="550">
        <f>Application!DE753</f>
        <v>49</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500" t="s">
        <v>2131</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1350</v>
      </c>
      <c r="AG694" s="2445"/>
      <c r="AH694" s="2445"/>
      <c r="AI694" s="2445"/>
      <c r="AJ694" s="2445"/>
      <c r="AK694" s="2445"/>
      <c r="AL694" s="2445"/>
      <c r="AN694" s="597"/>
      <c r="AW694" s="22" t="s">
        <v>2185</v>
      </c>
      <c r="AX694" s="550">
        <f>AX691+AX692+AX693</f>
        <v>49</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1</v>
      </c>
      <c r="AP695" s="2535"/>
      <c r="AW695" s="22" t="s">
        <v>2186</v>
      </c>
      <c r="AX695" s="550">
        <f>IFERROR(AX694/AX690,0)</f>
        <v>0.32885906040268459</v>
      </c>
      <c r="AY695" s="550">
        <f>IFERROR(AX694/(AX690-AX689),0)</f>
        <v>0.32885906040268459</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500" t="s">
        <v>2132</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1406</v>
      </c>
      <c r="AG699" s="2445"/>
      <c r="AH699" s="2445"/>
      <c r="AI699" s="2445"/>
      <c r="AJ699" s="2445"/>
      <c r="AK699" s="2445"/>
      <c r="AL699" s="2445"/>
      <c r="AN699" s="597"/>
      <c r="AO699" s="611" t="s">
        <v>508</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500" t="s">
        <v>1691</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9" t="s">
        <v>277</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80">
        <f>VLOOKUP($H$709,$AO$703:$AP$706,2,FALSE)</f>
        <v>2</v>
      </c>
      <c r="AK711" s="2482"/>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1350</v>
      </c>
      <c r="AG715" s="2445"/>
      <c r="AH715" s="2445"/>
      <c r="AI715" s="2445"/>
      <c r="AJ715" s="2445"/>
      <c r="AK715" s="2445"/>
      <c r="AL715" s="2445"/>
      <c r="AM715" s="550"/>
      <c r="AN715" s="684"/>
      <c r="AP715" s="570" t="s">
        <v>1430</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1406</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685</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 customHeight="1">
      <c r="A723" s="550"/>
      <c r="B723" s="536"/>
      <c r="C723" s="933"/>
      <c r="D723" s="536" t="s">
        <v>1398</v>
      </c>
      <c r="E723" s="936"/>
      <c r="F723" s="936"/>
      <c r="G723" s="936"/>
      <c r="H723" s="2529" t="s">
        <v>590</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500" t="s">
        <v>1694</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1350</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0" t="s">
        <v>1437</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1406</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9" t="s">
        <v>590</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500" t="s">
        <v>1440</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1350</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0" t="s">
        <v>1441</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1406</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9" t="s">
        <v>685</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500" t="s">
        <v>1443</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1406</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0" t="s">
        <v>1444</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1423</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9" t="s">
        <v>685</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685</v>
      </c>
      <c r="E769" s="2500" t="s">
        <v>1690</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1406</v>
      </c>
      <c r="AG769" s="2445"/>
      <c r="AH769" s="2445"/>
      <c r="AI769" s="2445"/>
      <c r="AJ769" s="2445"/>
      <c r="AK769" s="2445"/>
      <c r="AL769" s="2445"/>
      <c r="AM769" s="613"/>
      <c r="AN769" s="684"/>
      <c r="AO769" s="550" t="s">
        <v>590</v>
      </c>
      <c r="AP769" s="673">
        <v>0</v>
      </c>
    </row>
    <row r="770" spans="1:81" s="570" customFormat="1" ht="13.6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9" t="s">
        <v>1695</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1350</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9" t="s">
        <v>590</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685</v>
      </c>
      <c r="E785" s="2500" t="s">
        <v>2030</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1350</v>
      </c>
      <c r="AG785" s="2445"/>
      <c r="AH785" s="2445"/>
      <c r="AI785" s="2445"/>
      <c r="AJ785" s="2445"/>
      <c r="AK785" s="2445"/>
      <c r="AL785" s="2445"/>
      <c r="AM785" s="613"/>
      <c r="AN785" s="684"/>
      <c r="AO785" s="611" t="s">
        <v>544</v>
      </c>
      <c r="AP785" s="550">
        <v>3</v>
      </c>
      <c r="AT785" s="674"/>
      <c r="AU785" s="674"/>
      <c r="AV785" s="674"/>
      <c r="AW785" s="674"/>
      <c r="AX785" s="674"/>
      <c r="AY785" s="674"/>
      <c r="AZ785" s="674"/>
    </row>
    <row r="786" spans="1:81" s="570" customFormat="1" ht="13.6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9" t="s">
        <v>590</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1566</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1567</v>
      </c>
      <c r="U802" s="2577"/>
      <c r="V802" s="2577"/>
      <c r="W802" s="2577"/>
      <c r="X802" s="2577"/>
      <c r="Y802" s="2578"/>
      <c r="Z802" s="2576" t="s">
        <v>1568</v>
      </c>
      <c r="AA802" s="2577"/>
      <c r="AB802" s="2577"/>
      <c r="AC802" s="2577"/>
      <c r="AD802" s="2577"/>
      <c r="AE802" s="2578"/>
      <c r="AF802" s="2576" t="s">
        <v>1569</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755</v>
      </c>
      <c r="B804" s="2556" t="s">
        <v>1302</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1539</v>
      </c>
      <c r="B805" s="2556" t="s">
        <v>1311</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1548</v>
      </c>
      <c r="B806" s="2556" t="s">
        <v>1321</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1570</v>
      </c>
      <c r="B807" s="2556" t="s">
        <v>1331</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1571</v>
      </c>
      <c r="B808" s="2556" t="s">
        <v>1572</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1573</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1574</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1359</v>
      </c>
      <c r="B811" s="2556" t="s">
        <v>1575</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1368</v>
      </c>
      <c r="B812" s="2556" t="s">
        <v>1369</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588</v>
      </c>
      <c r="B813" s="2556" t="s">
        <v>1576</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6" t="s">
        <v>1577</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6" t="s">
        <v>1379</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6" t="s">
        <v>843</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6" t="s">
        <v>1557</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6" t="s">
        <v>1579</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1580</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1581</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1" t="s">
        <v>1582</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2025-09-04T15:02:49Z</dcterms:modified>
</cp:coreProperties>
</file>