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showInkAnnotation="0" codeName="ThisWorkbook" defaultThemeVersion="124226"/>
  <mc:AlternateContent xmlns:mc="http://schemas.openxmlformats.org/markup-compatibility/2006">
    <mc:Choice Requires="x15">
      <x15ac:absPath xmlns:x15ac="http://schemas.microsoft.com/office/spreadsheetml/2010/11/ac" url="H:\Brinshore\Brinshore Developments\Brinshore Deals-California\Eureka\Green Phase (+ Masterplan) - 25-1 Hiler\TCAC\2025 Application 4% R3 - Twinning\TAB 0\"/>
    </mc:Choice>
  </mc:AlternateContent>
  <xr:revisionPtr revIDLastSave="0" documentId="13_ncr:1_{E8D868FD-E75B-4CAC-9898-455E62457E66}" xr6:coauthVersionLast="47" xr6:coauthVersionMax="47" xr10:uidLastSave="{00000000-0000-0000-0000-000000000000}"/>
  <bookViews>
    <workbookView xWindow="0" yWindow="30" windowWidth="28770" windowHeight="15450" tabRatio="601"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00" i="20" l="1"/>
  <c r="C19" i="4"/>
  <c r="C21" i="4" s="1"/>
  <c r="C20" i="4"/>
  <c r="P418" i="3"/>
  <c r="W865" i="3"/>
  <c r="C80" i="4" l="1"/>
  <c r="S80" i="4"/>
  <c r="C67" i="4" l="1"/>
  <c r="E5" i="4" l="1"/>
  <c r="C76" i="4"/>
  <c r="G10" i="7"/>
  <c r="I10" i="7" s="1"/>
  <c r="K10" i="7" s="1"/>
  <c r="M10" i="7" s="1"/>
  <c r="O10" i="7" s="1"/>
  <c r="Q10" i="7" s="1"/>
  <c r="S10" i="7" s="1"/>
  <c r="U10" i="7" s="1"/>
  <c r="W10" i="7" s="1"/>
  <c r="Y10" i="7" s="1"/>
  <c r="AA10" i="7" s="1"/>
  <c r="AC10" i="7" s="1"/>
  <c r="AE10" i="7" s="1"/>
  <c r="AG10" i="7" s="1"/>
  <c r="W859" i="3" l="1"/>
  <c r="W857" i="3"/>
  <c r="W866" i="3"/>
  <c r="W861" i="3"/>
  <c r="W854" i="3"/>
  <c r="W853" i="3"/>
  <c r="W846" i="3"/>
  <c r="AM559" i="3" l="1"/>
  <c r="T627" i="3"/>
  <c r="S95" i="4"/>
  <c r="S65" i="4"/>
  <c r="S53" i="4"/>
  <c r="C95" i="4"/>
  <c r="E95" i="4" s="1"/>
  <c r="C99" i="4"/>
  <c r="C84" i="4"/>
  <c r="C69" i="4"/>
  <c r="E69" i="4" s="1"/>
  <c r="C65" i="4"/>
  <c r="E65" i="4" s="1"/>
  <c r="E67" i="4"/>
  <c r="C53" i="4"/>
  <c r="E53" i="4" s="1"/>
  <c r="C45" i="4"/>
  <c r="C43" i="4"/>
  <c r="E43" i="4" s="1"/>
  <c r="C41" i="4"/>
  <c r="E41" i="4" s="1"/>
  <c r="C40" i="4"/>
  <c r="E40" i="4" s="1"/>
  <c r="C27" i="4"/>
  <c r="E27" i="4" s="1"/>
  <c r="C25" i="4"/>
  <c r="C37" i="4" s="1"/>
  <c r="E37" i="4" s="1"/>
  <c r="C23" i="4"/>
  <c r="E23" i="4" s="1"/>
  <c r="C30" i="4"/>
  <c r="C22" i="4"/>
  <c r="E22" i="4" s="1"/>
  <c r="E20" i="4"/>
  <c r="I9" i="4"/>
  <c r="E36" i="4"/>
  <c r="E47" i="4"/>
  <c r="E48" i="4"/>
  <c r="E49" i="4"/>
  <c r="E50" i="4"/>
  <c r="E51" i="4"/>
  <c r="E52" i="4"/>
  <c r="E46" i="4"/>
  <c r="E57" i="4"/>
  <c r="E58" i="4"/>
  <c r="E59" i="4"/>
  <c r="E60" i="4"/>
  <c r="E61" i="4"/>
  <c r="E56" i="4"/>
  <c r="E66" i="4"/>
  <c r="E68" i="4"/>
  <c r="E24" i="4"/>
  <c r="K722" i="3"/>
  <c r="K725" i="3" s="1"/>
  <c r="K728" i="3" s="1"/>
  <c r="K723" i="3"/>
  <c r="K726" i="3" s="1"/>
  <c r="K729" i="3" s="1"/>
  <c r="K721" i="3"/>
  <c r="K724" i="3" s="1"/>
  <c r="K727" i="3" s="1"/>
  <c r="C32" i="4" l="1"/>
  <c r="C31" i="4"/>
  <c r="C34" i="4"/>
  <c r="E34" i="4" s="1"/>
  <c r="E19" i="4"/>
  <c r="E25" i="4"/>
  <c r="C35" i="4"/>
  <c r="E35" i="4" s="1"/>
  <c r="E17" i="4"/>
  <c r="F8" i="8"/>
  <c r="F11" i="8" s="1"/>
  <c r="F14" i="8" s="1"/>
  <c r="F9" i="8"/>
  <c r="F12" i="8" s="1"/>
  <c r="F15" i="8" s="1"/>
  <c r="F7" i="8"/>
  <c r="F10" i="8" s="1"/>
  <c r="F13" i="8" s="1"/>
  <c r="F17" i="8" s="1"/>
  <c r="E21" i="4" l="1"/>
  <c r="E29" i="4"/>
  <c r="E32" i="4"/>
  <c r="Q557" i="3"/>
  <c r="E94" i="4"/>
  <c r="E93" i="4"/>
  <c r="E92" i="4"/>
  <c r="E91" i="4"/>
  <c r="E90" i="4"/>
  <c r="E89" i="4"/>
  <c r="E88" i="4"/>
  <c r="E87" i="4"/>
  <c r="E86" i="4"/>
  <c r="E85" i="4"/>
  <c r="E84" i="4"/>
  <c r="E83" i="4"/>
  <c r="E80" i="4"/>
  <c r="E79" i="4"/>
  <c r="E76" i="4"/>
  <c r="AF240" i="20"/>
  <c r="AD240" i="20"/>
  <c r="G663" i="3"/>
  <c r="G662" i="3"/>
  <c r="G661" i="3"/>
  <c r="G660" i="3"/>
  <c r="Q627" i="3"/>
  <c r="Q488" i="3"/>
  <c r="Q487" i="3"/>
  <c r="AA249" i="3"/>
  <c r="AC245" i="3"/>
  <c r="W245" i="3"/>
  <c r="M248" i="3"/>
  <c r="M247" i="3"/>
  <c r="M246" i="3"/>
  <c r="M245" i="3"/>
  <c r="M244" i="3"/>
  <c r="C33" i="4" l="1"/>
  <c r="E33" i="4" s="1"/>
  <c r="E31" i="4"/>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45" i="21" l="1"/>
  <c r="S45" i="21"/>
  <c r="R53" i="21" a="1"/>
  <c r="R53" i="21" s="1"/>
  <c r="S47" i="2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R98" i="23" l="1"/>
  <c r="BQ98" i="23"/>
  <c r="BR97" i="23"/>
  <c r="BQ97" i="23"/>
  <c r="BR96" i="23"/>
  <c r="BQ96" i="23"/>
  <c r="AN28" i="23"/>
  <c r="AH28" i="23"/>
  <c r="AB28" i="23"/>
  <c r="V28" i="23"/>
  <c r="P28" i="23"/>
  <c r="S15" i="23"/>
  <c r="AO13" i="23"/>
  <c r="BE18" i="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G444" i="3" l="1"/>
  <c r="AG441" i="3"/>
  <c r="BN150" i="3" l="1"/>
  <c r="C178" i="20" l="1"/>
  <c r="U374" i="20"/>
  <c r="L100" i="21"/>
  <c r="X752" i="3" l="1"/>
  <c r="AH752" i="3"/>
  <c r="BF751" i="3"/>
  <c r="BS751" i="3"/>
  <c r="BS752"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AH750" i="3"/>
  <c r="AH749" i="3"/>
  <c r="AH748" i="3"/>
  <c r="AH747" i="3"/>
  <c r="AH746" i="3"/>
  <c r="AH745" i="3"/>
  <c r="AH744" i="3"/>
  <c r="AH743" i="3"/>
  <c r="AH741" i="3"/>
  <c r="AH740" i="3"/>
  <c r="AH739" i="3"/>
  <c r="AH738" i="3"/>
  <c r="AH737" i="3"/>
  <c r="AH736" i="3"/>
  <c r="AH735" i="3"/>
  <c r="AH734" i="3"/>
  <c r="AH733" i="3"/>
  <c r="AH732"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E24" i="13" s="1"/>
  <c r="F24" i="13" s="1"/>
  <c r="AF1026" i="3"/>
  <c r="AF1021" i="3"/>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C26" i="4"/>
  <c r="B26" i="13" s="1"/>
  <c r="G72" i="21"/>
  <c r="G78" i="21" s="1"/>
  <c r="G109" i="21"/>
  <c r="M20" i="21"/>
  <c r="M21" i="21"/>
  <c r="M22" i="21"/>
  <c r="M23" i="21"/>
  <c r="M24" i="21"/>
  <c r="M25" i="21"/>
  <c r="M26" i="21"/>
  <c r="M27" i="21"/>
  <c r="M28" i="21"/>
  <c r="M29" i="21"/>
  <c r="M30" i="21"/>
  <c r="M31" i="21"/>
  <c r="M32" i="21"/>
  <c r="M33" i="2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F36" i="13" s="1"/>
  <c r="B36" i="4"/>
  <c r="B66" i="4"/>
  <c r="B67" i="4"/>
  <c r="B68" i="4"/>
  <c r="B69" i="4"/>
  <c r="R66" i="4"/>
  <c r="R67" i="4"/>
  <c r="S67" i="4" s="1"/>
  <c r="E67" i="13" s="1"/>
  <c r="F67" i="13" s="1"/>
  <c r="R68" i="4"/>
  <c r="S68" i="4" s="1"/>
  <c r="E68" i="13" s="1"/>
  <c r="F68"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5" i="11"/>
  <c r="C36" i="11"/>
  <c r="C37" i="11"/>
  <c r="C38"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I100" i="13" s="1"/>
  <c r="H101" i="13"/>
  <c r="I101" i="13" s="1"/>
  <c r="H102" i="13"/>
  <c r="I102" i="13" s="1"/>
  <c r="H103" i="13"/>
  <c r="I103" i="13" s="1"/>
  <c r="B100" i="13"/>
  <c r="C100" i="13" s="1"/>
  <c r="B101" i="13"/>
  <c r="C101" i="13" s="1"/>
  <c r="B102" i="13"/>
  <c r="C102" i="13" s="1"/>
  <c r="B103" i="13"/>
  <c r="C103" i="13" s="1"/>
  <c r="A69" i="13"/>
  <c r="H66" i="13"/>
  <c r="I66" i="13" s="1"/>
  <c r="H67" i="13"/>
  <c r="I67" i="13" s="1"/>
  <c r="H68" i="13"/>
  <c r="I68" i="13" s="1"/>
  <c r="H69" i="13"/>
  <c r="I69" i="13" s="1"/>
  <c r="E66" i="13"/>
  <c r="F66" i="13" s="1"/>
  <c r="B66" i="13"/>
  <c r="C66" i="13" s="1"/>
  <c r="B67" i="13"/>
  <c r="C67" i="13" s="1"/>
  <c r="B68" i="13"/>
  <c r="C68" i="13" s="1"/>
  <c r="B69" i="13"/>
  <c r="C69" i="13" s="1"/>
  <c r="A53" i="13"/>
  <c r="H36" i="13"/>
  <c r="I36" i="13" s="1"/>
  <c r="B36" i="13"/>
  <c r="C36" i="13" s="1"/>
  <c r="H24" i="13"/>
  <c r="I24" i="13" s="1"/>
  <c r="B24" i="13"/>
  <c r="C24" i="13"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S100" i="4" s="1"/>
  <c r="E100" i="13" s="1"/>
  <c r="F100" i="13"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S10" i="4" s="1"/>
  <c r="E10" i="13" s="1"/>
  <c r="F10" i="13" s="1"/>
  <c r="R91" i="4"/>
  <c r="R84" i="4"/>
  <c r="S84" i="4" s="1"/>
  <c r="E84" i="13" s="1"/>
  <c r="F84" i="13" s="1"/>
  <c r="B59" i="4"/>
  <c r="C80" i="11"/>
  <c r="C81" i="11"/>
  <c r="B80" i="11"/>
  <c r="B81" i="11"/>
  <c r="J96" i="13"/>
  <c r="J81" i="13"/>
  <c r="G81" i="13"/>
  <c r="D81" i="13"/>
  <c r="H80" i="13"/>
  <c r="I80" i="13" s="1"/>
  <c r="E80" i="13"/>
  <c r="F80" i="13" s="1"/>
  <c r="B80" i="13"/>
  <c r="C80" i="13" s="1"/>
  <c r="R80" i="4"/>
  <c r="R79" i="4"/>
  <c r="S79" i="4" s="1"/>
  <c r="E79" i="13" s="1"/>
  <c r="F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I106" i="13" s="1"/>
  <c r="H99" i="13"/>
  <c r="I99" i="13" s="1"/>
  <c r="H95" i="13"/>
  <c r="I95" i="13" s="1"/>
  <c r="H94" i="13"/>
  <c r="I94" i="13" s="1"/>
  <c r="H93" i="13"/>
  <c r="I93" i="13" s="1"/>
  <c r="H92" i="13"/>
  <c r="I92" i="13" s="1"/>
  <c r="H91" i="13"/>
  <c r="I91" i="13" s="1"/>
  <c r="H90" i="13"/>
  <c r="I90" i="13" s="1"/>
  <c r="H89" i="13"/>
  <c r="I89" i="13" s="1"/>
  <c r="H87" i="13"/>
  <c r="I87" i="13" s="1"/>
  <c r="H86" i="13"/>
  <c r="I86" i="13" s="1"/>
  <c r="H85" i="13"/>
  <c r="I85" i="13" s="1"/>
  <c r="H84" i="13"/>
  <c r="I84" i="13" s="1"/>
  <c r="H79" i="13"/>
  <c r="I79" i="13" s="1"/>
  <c r="H65" i="13"/>
  <c r="I65" i="13" s="1"/>
  <c r="H53" i="13"/>
  <c r="I53" i="13" s="1"/>
  <c r="H52" i="13"/>
  <c r="I52" i="13" s="1"/>
  <c r="H51" i="13"/>
  <c r="I51" i="13" s="1"/>
  <c r="H50" i="13"/>
  <c r="I50" i="13" s="1"/>
  <c r="H49" i="13"/>
  <c r="I49" i="13" s="1"/>
  <c r="H48" i="13"/>
  <c r="I48" i="13" s="1"/>
  <c r="H47" i="13"/>
  <c r="I47" i="13" s="1"/>
  <c r="H46" i="13"/>
  <c r="I46" i="13" s="1"/>
  <c r="H45" i="13"/>
  <c r="I45" i="13" s="1"/>
  <c r="H43" i="13"/>
  <c r="I43" i="13" s="1"/>
  <c r="H41" i="13"/>
  <c r="I41" i="13" s="1"/>
  <c r="H40" i="13"/>
  <c r="I40" i="13" s="1"/>
  <c r="H37" i="13"/>
  <c r="I37" i="13" s="1"/>
  <c r="H35" i="13"/>
  <c r="I35" i="13" s="1"/>
  <c r="H34" i="13"/>
  <c r="I34" i="13" s="1"/>
  <c r="H33" i="13"/>
  <c r="I33" i="13" s="1"/>
  <c r="H32" i="13"/>
  <c r="I32" i="13" s="1"/>
  <c r="H31" i="13"/>
  <c r="I31" i="13" s="1"/>
  <c r="H30" i="13"/>
  <c r="I30" i="13" s="1"/>
  <c r="H29" i="13"/>
  <c r="I29" i="13" s="1"/>
  <c r="H27" i="13"/>
  <c r="I27" i="13" s="1"/>
  <c r="H25" i="13"/>
  <c r="I25" i="13" s="1"/>
  <c r="H23" i="13"/>
  <c r="I23" i="13" s="1"/>
  <c r="H22" i="13"/>
  <c r="I22" i="13" s="1"/>
  <c r="H21" i="13"/>
  <c r="I21" i="13" s="1"/>
  <c r="H20" i="13"/>
  <c r="I20" i="13" s="1"/>
  <c r="H19" i="13"/>
  <c r="I19" i="13" s="1"/>
  <c r="H18" i="13"/>
  <c r="I18" i="13" s="1"/>
  <c r="H17" i="13"/>
  <c r="I17" i="13" s="1"/>
  <c r="H15" i="13"/>
  <c r="H14" i="13"/>
  <c r="I14" i="13" s="1"/>
  <c r="H13" i="13"/>
  <c r="I13" i="13" s="1"/>
  <c r="H10" i="13"/>
  <c r="I10" i="13" s="1"/>
  <c r="E106" i="13"/>
  <c r="F106" i="13" s="1"/>
  <c r="E91" i="13"/>
  <c r="F91" i="13" s="1"/>
  <c r="E49" i="13"/>
  <c r="F49" i="13" s="1"/>
  <c r="E48" i="13"/>
  <c r="F48" i="13" s="1"/>
  <c r="E47" i="13"/>
  <c r="F47" i="13" s="1"/>
  <c r="E15" i="13"/>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29" i="13"/>
  <c r="C29" i="13" s="1"/>
  <c r="B27" i="13"/>
  <c r="C27" i="13" s="1"/>
  <c r="B25" i="13"/>
  <c r="C25" i="13" s="1"/>
  <c r="B23" i="13"/>
  <c r="C23" i="13" s="1"/>
  <c r="B22" i="13"/>
  <c r="C22" i="13" s="1"/>
  <c r="B21" i="13"/>
  <c r="C21" i="13" s="1"/>
  <c r="B20" i="13"/>
  <c r="C20" i="13" s="1"/>
  <c r="B19" i="13"/>
  <c r="C19" i="13" s="1"/>
  <c r="B18" i="13"/>
  <c r="C18" i="13" s="1"/>
  <c r="B17" i="13"/>
  <c r="C17" i="13" s="1"/>
  <c r="B5" i="13"/>
  <c r="C5" i="13" s="1"/>
  <c r="B6" i="13"/>
  <c r="C6" i="13" s="1"/>
  <c r="B7" i="13"/>
  <c r="C7" i="13" s="1"/>
  <c r="C8" i="4"/>
  <c r="B8" i="13" s="1"/>
  <c r="B9" i="13"/>
  <c r="C9" i="13" s="1"/>
  <c r="B10" i="13"/>
  <c r="C10" i="13" s="1"/>
  <c r="B13" i="13"/>
  <c r="C13" i="13" s="1"/>
  <c r="B14" i="13"/>
  <c r="C14" i="13" s="1"/>
  <c r="B15" i="13"/>
  <c r="C15" i="13" s="1"/>
  <c r="B4" i="13"/>
  <c r="C4" i="13" s="1"/>
  <c r="J104" i="13"/>
  <c r="G104" i="13"/>
  <c r="D104" i="13"/>
  <c r="G96" i="13"/>
  <c r="D96" i="13"/>
  <c r="D77" i="13"/>
  <c r="J70" i="13"/>
  <c r="G70" i="13"/>
  <c r="D70" i="13"/>
  <c r="D62" i="13"/>
  <c r="J54" i="13"/>
  <c r="G54" i="13"/>
  <c r="D54" i="13"/>
  <c r="J42" i="13"/>
  <c r="G42" i="13"/>
  <c r="D42" i="13"/>
  <c r="J38" i="13"/>
  <c r="G38" i="13"/>
  <c r="D38" i="13"/>
  <c r="J26" i="13"/>
  <c r="G26" i="13"/>
  <c r="D26" i="13"/>
  <c r="J11" i="13"/>
  <c r="D11" i="13"/>
  <c r="D8" i="13"/>
  <c r="T104" i="4"/>
  <c r="H104" i="13" s="1"/>
  <c r="R103" i="4"/>
  <c r="S103" i="4" s="1"/>
  <c r="E103" i="13" s="1"/>
  <c r="F103" i="13" s="1"/>
  <c r="R102" i="4"/>
  <c r="S102" i="4" s="1"/>
  <c r="E102" i="13" s="1"/>
  <c r="F102" i="13" s="1"/>
  <c r="R101" i="4"/>
  <c r="S101" i="4" s="1"/>
  <c r="E101" i="13" s="1"/>
  <c r="F101" i="13" s="1"/>
  <c r="R95" i="4"/>
  <c r="E95" i="13" s="1"/>
  <c r="F95" i="13" s="1"/>
  <c r="R94" i="4"/>
  <c r="S94" i="4" s="1"/>
  <c r="E94" i="13" s="1"/>
  <c r="F94" i="13" s="1"/>
  <c r="R93" i="4"/>
  <c r="S93" i="4" s="1"/>
  <c r="E93" i="13" s="1"/>
  <c r="F93" i="13" s="1"/>
  <c r="R92" i="4"/>
  <c r="S92" i="4" s="1"/>
  <c r="E92" i="13" s="1"/>
  <c r="F92" i="13" s="1"/>
  <c r="R90" i="4"/>
  <c r="R89" i="4"/>
  <c r="R88" i="4"/>
  <c r="R87" i="4"/>
  <c r="S87" i="4" s="1"/>
  <c r="E87" i="13" s="1"/>
  <c r="F87" i="13" s="1"/>
  <c r="R86" i="4"/>
  <c r="S86" i="4" s="1"/>
  <c r="E86" i="13" s="1"/>
  <c r="F86" i="13" s="1"/>
  <c r="R85" i="4"/>
  <c r="S85" i="4" s="1"/>
  <c r="R83" i="4"/>
  <c r="R76" i="4"/>
  <c r="R75" i="4"/>
  <c r="R72" i="4"/>
  <c r="R73" i="4"/>
  <c r="R74" i="4"/>
  <c r="R69" i="4"/>
  <c r="S69" i="4" s="1"/>
  <c r="E69" i="13" s="1"/>
  <c r="F69" i="13" s="1"/>
  <c r="R65" i="4"/>
  <c r="R61" i="4"/>
  <c r="R60" i="4"/>
  <c r="R59" i="4"/>
  <c r="R58" i="4"/>
  <c r="R57" i="4"/>
  <c r="R56" i="4"/>
  <c r="R53" i="4"/>
  <c r="E53" i="13" s="1"/>
  <c r="F53" i="13" s="1"/>
  <c r="R52" i="4"/>
  <c r="E52" i="13" s="1"/>
  <c r="F52" i="13" s="1"/>
  <c r="R51" i="4"/>
  <c r="E51" i="13" s="1"/>
  <c r="F51" i="13" s="1"/>
  <c r="R50" i="4"/>
  <c r="R49" i="4"/>
  <c r="R48" i="4"/>
  <c r="R47" i="4"/>
  <c r="R46" i="4"/>
  <c r="S46" i="4" s="1"/>
  <c r="E46" i="13" s="1"/>
  <c r="F46" i="13" s="1"/>
  <c r="R43" i="4"/>
  <c r="S43" i="4" s="1"/>
  <c r="E43" i="13" s="1"/>
  <c r="F43" i="13" s="1"/>
  <c r="R41" i="4"/>
  <c r="S41" i="4" s="1"/>
  <c r="E41" i="13" s="1"/>
  <c r="F41" i="13" s="1"/>
  <c r="R40" i="4"/>
  <c r="S40" i="4" s="1"/>
  <c r="E40" i="13" s="1"/>
  <c r="F40" i="13" s="1"/>
  <c r="R37" i="4"/>
  <c r="S37" i="4" s="1"/>
  <c r="E37" i="13" s="1"/>
  <c r="F37" i="13" s="1"/>
  <c r="R35" i="4"/>
  <c r="S35" i="4" s="1"/>
  <c r="E35" i="13" s="1"/>
  <c r="F35" i="13" s="1"/>
  <c r="R34" i="4"/>
  <c r="S34" i="4" s="1"/>
  <c r="E34" i="13" s="1"/>
  <c r="F34" i="13" s="1"/>
  <c r="R33" i="4"/>
  <c r="S33" i="4" s="1"/>
  <c r="E33" i="13" s="1"/>
  <c r="F33" i="13" s="1"/>
  <c r="R32" i="4"/>
  <c r="S32" i="4" s="1"/>
  <c r="E32" i="13" s="1"/>
  <c r="F32" i="13" s="1"/>
  <c r="R31" i="4"/>
  <c r="S31" i="4" s="1"/>
  <c r="E31" i="13" s="1"/>
  <c r="F31" i="13" s="1"/>
  <c r="R29" i="4"/>
  <c r="E29" i="13" s="1"/>
  <c r="F29" i="13" s="1"/>
  <c r="R27" i="4"/>
  <c r="S27" i="4" s="1"/>
  <c r="E27" i="13" s="1"/>
  <c r="F27" i="13" s="1"/>
  <c r="R25" i="4"/>
  <c r="S25" i="4" s="1"/>
  <c r="E25" i="13" s="1"/>
  <c r="F25" i="13" s="1"/>
  <c r="R23" i="4"/>
  <c r="S23" i="4" s="1"/>
  <c r="E23" i="13" s="1"/>
  <c r="F23" i="13" s="1"/>
  <c r="R22" i="4"/>
  <c r="S22" i="4" s="1"/>
  <c r="E22" i="13" s="1"/>
  <c r="F22" i="13" s="1"/>
  <c r="R21" i="4"/>
  <c r="S21" i="4" s="1"/>
  <c r="E21" i="13" s="1"/>
  <c r="F21" i="13" s="1"/>
  <c r="R20" i="4"/>
  <c r="S20" i="4" s="1"/>
  <c r="E20" i="13" s="1"/>
  <c r="F20" i="13" s="1"/>
  <c r="R19" i="4"/>
  <c r="S19" i="4" s="1"/>
  <c r="E19" i="13" s="1"/>
  <c r="F19" i="13" s="1"/>
  <c r="R17" i="4"/>
  <c r="E17" i="13" s="1"/>
  <c r="F17" i="13" s="1"/>
  <c r="R15" i="4"/>
  <c r="R14" i="4"/>
  <c r="S14" i="4" s="1"/>
  <c r="E14" i="13" s="1"/>
  <c r="F14" i="13" s="1"/>
  <c r="R13" i="4"/>
  <c r="S13" i="4" s="1"/>
  <c r="E13" i="13" s="1"/>
  <c r="F13"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A4" i="8"/>
  <c r="D4" i="8"/>
  <c r="I4" i="8" s="1"/>
  <c r="A5" i="8"/>
  <c r="D5" i="8"/>
  <c r="I5" i="8" s="1"/>
  <c r="A6" i="8"/>
  <c r="D6" i="8"/>
  <c r="I6" i="8" s="1"/>
  <c r="A7" i="8"/>
  <c r="D7" i="8"/>
  <c r="I7" i="8" s="1"/>
  <c r="A8" i="8"/>
  <c r="D8" i="8"/>
  <c r="I8" i="8" s="1"/>
  <c r="A9" i="8"/>
  <c r="D9" i="8"/>
  <c r="I9" i="8" s="1"/>
  <c r="A10" i="8"/>
  <c r="D10" i="8"/>
  <c r="I10" i="8" s="1"/>
  <c r="A11" i="8"/>
  <c r="D11" i="8"/>
  <c r="I11" i="8" s="1"/>
  <c r="A12" i="8"/>
  <c r="D12" i="8"/>
  <c r="I12" i="8" s="1"/>
  <c r="A13" i="8"/>
  <c r="D13" i="8"/>
  <c r="I13" i="8" s="1"/>
  <c r="A14" i="8"/>
  <c r="D14" i="8"/>
  <c r="I14" i="8" s="1"/>
  <c r="A15" i="8"/>
  <c r="D15" i="8"/>
  <c r="I15" i="8" s="1"/>
  <c r="A16" i="8"/>
  <c r="D16" i="8"/>
  <c r="I16" i="8" s="1"/>
  <c r="A17" i="8"/>
  <c r="D17" i="8"/>
  <c r="I17" i="8" s="1"/>
  <c r="J17" i="8" s="1"/>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J8" i="4"/>
  <c r="J11" i="4"/>
  <c r="J26" i="4"/>
  <c r="J38" i="4"/>
  <c r="J42" i="4"/>
  <c r="J54" i="4"/>
  <c r="J62" i="4"/>
  <c r="J70" i="4"/>
  <c r="J77" i="4"/>
  <c r="J96" i="4"/>
  <c r="J104" i="4"/>
  <c r="K8" i="4"/>
  <c r="K11" i="4"/>
  <c r="L8" i="4"/>
  <c r="L11" i="4"/>
  <c r="M8" i="4"/>
  <c r="M11" i="4"/>
  <c r="N8" i="4"/>
  <c r="O8" i="4"/>
  <c r="Q8" i="4"/>
  <c r="Q11" i="4"/>
  <c r="B9" i="4"/>
  <c r="B10" i="4"/>
  <c r="E11" i="4"/>
  <c r="F11" i="4"/>
  <c r="F42" i="4"/>
  <c r="F54" i="4"/>
  <c r="F62" i="4"/>
  <c r="N11" i="4"/>
  <c r="O11" i="4"/>
  <c r="B13" i="4"/>
  <c r="B14" i="4"/>
  <c r="B15" i="4"/>
  <c r="AD210" i="20" s="1"/>
  <c r="B17" i="4"/>
  <c r="B18" i="4"/>
  <c r="B19" i="4"/>
  <c r="B20" i="4"/>
  <c r="B21" i="4"/>
  <c r="B22" i="4"/>
  <c r="B23" i="4"/>
  <c r="B25"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I104" i="4"/>
  <c r="K104" i="4"/>
  <c r="L104" i="4"/>
  <c r="Q104" i="4"/>
  <c r="G108" i="4"/>
  <c r="G18" i="4" s="1"/>
  <c r="G30" i="4" s="1"/>
  <c r="G38" i="4" s="1"/>
  <c r="I108" i="4"/>
  <c r="I11" i="4" s="1"/>
  <c r="J108" i="4"/>
  <c r="K108" i="4"/>
  <c r="K45" i="4" s="1"/>
  <c r="E45" i="4" s="1"/>
  <c r="R45" i="4" s="1"/>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X733" i="3"/>
  <c r="X734" i="3"/>
  <c r="X735" i="3"/>
  <c r="X736" i="3"/>
  <c r="X737" i="3"/>
  <c r="X738" i="3"/>
  <c r="X739" i="3"/>
  <c r="X740" i="3"/>
  <c r="X741" i="3"/>
  <c r="M832" i="3"/>
  <c r="Q832" i="3"/>
  <c r="U832" i="3"/>
  <c r="Y832" i="3"/>
  <c r="AC832" i="3"/>
  <c r="AG832" i="3"/>
  <c r="Z902" i="3"/>
  <c r="G26" i="4" l="1"/>
  <c r="S50" i="4"/>
  <c r="E50" i="13" s="1"/>
  <c r="F50" i="13" s="1"/>
  <c r="K54" i="4"/>
  <c r="R9" i="4"/>
  <c r="T9" i="4" s="1"/>
  <c r="J16" i="8"/>
  <c r="E54" i="4"/>
  <c r="J15" i="8"/>
  <c r="J14" i="8"/>
  <c r="J13" i="8"/>
  <c r="J12" i="8"/>
  <c r="F81" i="13"/>
  <c r="I42" i="13"/>
  <c r="I70" i="13"/>
  <c r="I81" i="13"/>
  <c r="C54" i="13"/>
  <c r="E45" i="13"/>
  <c r="F45" i="13" s="1"/>
  <c r="I104" i="13"/>
  <c r="S70" i="4"/>
  <c r="E70" i="13" s="1"/>
  <c r="C11" i="13"/>
  <c r="J4" i="8"/>
  <c r="J5" i="8"/>
  <c r="F42" i="13"/>
  <c r="S81" i="4"/>
  <c r="E81" i="13" s="1"/>
  <c r="I54" i="13"/>
  <c r="S89" i="4"/>
  <c r="E89" i="13" s="1"/>
  <c r="F89" i="13" s="1"/>
  <c r="S90" i="4"/>
  <c r="E90" i="13" s="1"/>
  <c r="F90" i="13" s="1"/>
  <c r="C70" i="13"/>
  <c r="I26" i="13"/>
  <c r="C8" i="13"/>
  <c r="J6" i="8"/>
  <c r="C26" i="13"/>
  <c r="I96" i="13"/>
  <c r="D35" i="11"/>
  <c r="S42" i="4"/>
  <c r="E42" i="13" s="1"/>
  <c r="I38" i="13"/>
  <c r="C77" i="13"/>
  <c r="C81" i="13"/>
  <c r="E65" i="13"/>
  <c r="F65" i="13" s="1"/>
  <c r="F70" i="13" s="1"/>
  <c r="C96" i="13"/>
  <c r="B26" i="4"/>
  <c r="J11" i="8"/>
  <c r="E85" i="13"/>
  <c r="F85" i="13" s="1"/>
  <c r="C62" i="13"/>
  <c r="C42" i="13"/>
  <c r="J9" i="8"/>
  <c r="J10" i="8"/>
  <c r="J8" i="8"/>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D95" i="11"/>
  <c r="C12" i="4"/>
  <c r="B12" i="13" s="1"/>
  <c r="D75" i="11"/>
  <c r="D62" i="11"/>
  <c r="D58" i="11"/>
  <c r="D47" i="11"/>
  <c r="L12" i="4"/>
  <c r="D38" i="11"/>
  <c r="B42" i="4"/>
  <c r="H12" i="4"/>
  <c r="D51" i="11"/>
  <c r="D49" i="11"/>
  <c r="B78" i="11"/>
  <c r="D48" i="11"/>
  <c r="D20" i="11"/>
  <c r="D15" i="11"/>
  <c r="D8"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71" i="11"/>
  <c r="O12" i="4"/>
  <c r="D10" i="11"/>
  <c r="B43" i="11"/>
  <c r="Q12" i="4"/>
  <c r="K12" i="4"/>
  <c r="D61" i="11"/>
  <c r="D57" i="11"/>
  <c r="B9" i="11"/>
  <c r="J12" i="4"/>
  <c r="B54" i="4"/>
  <c r="D30" i="11"/>
  <c r="D22" i="11"/>
  <c r="R77" i="4"/>
  <c r="D80" i="11"/>
  <c r="B62" i="4"/>
  <c r="O63" i="4"/>
  <c r="O97" i="4" s="1"/>
  <c r="O105" i="4" s="1"/>
  <c r="M63" i="4"/>
  <c r="M97" i="4" s="1"/>
  <c r="M105" i="4" s="1"/>
  <c r="N12" i="4"/>
  <c r="I12" i="4"/>
  <c r="B70" i="4"/>
  <c r="D102" i="11"/>
  <c r="P63" i="4"/>
  <c r="P97" i="4" s="1"/>
  <c r="P105" i="4" s="1"/>
  <c r="C71" i="11"/>
  <c r="R70" i="4"/>
  <c r="B81" i="4"/>
  <c r="G58" i="7"/>
  <c r="I63" i="4"/>
  <c r="I97" i="4" s="1"/>
  <c r="I105" i="4" s="1"/>
  <c r="L63" i="4"/>
  <c r="L97" i="4" s="1"/>
  <c r="L105" i="4" s="1"/>
  <c r="D52" i="11"/>
  <c r="D44" i="11"/>
  <c r="D18" i="11"/>
  <c r="C12" i="11"/>
  <c r="J63" i="4"/>
  <c r="J97" i="4" s="1"/>
  <c r="J105" i="4" s="1"/>
  <c r="Q63" i="4"/>
  <c r="Q97" i="4" s="1"/>
  <c r="Q105" i="4" s="1"/>
  <c r="B11" i="4"/>
  <c r="C97" i="11"/>
  <c r="J63" i="13"/>
  <c r="J97" i="13" s="1"/>
  <c r="J105" i="13" s="1"/>
  <c r="J107" i="13" s="1"/>
  <c r="D81" i="11"/>
  <c r="B77" i="4"/>
  <c r="C78" i="11"/>
  <c r="D60" i="11"/>
  <c r="M12" i="4"/>
  <c r="D63" i="4"/>
  <c r="D97" i="4" s="1"/>
  <c r="D105" i="4" s="1"/>
  <c r="BE68" i="3" s="1"/>
  <c r="R42" i="4"/>
  <c r="R54" i="4"/>
  <c r="R62" i="4"/>
  <c r="D63" i="13"/>
  <c r="D97" i="13" s="1"/>
  <c r="D105" i="13" s="1"/>
  <c r="B97" i="11"/>
  <c r="C55" i="11"/>
  <c r="D23" i="11"/>
  <c r="D19" i="11"/>
  <c r="D14" i="11"/>
  <c r="D7" i="11"/>
  <c r="R8" i="4"/>
  <c r="R96" i="4"/>
  <c r="G63" i="13"/>
  <c r="G97" i="13" s="1"/>
  <c r="G105" i="13" s="1"/>
  <c r="G107" i="13" s="1"/>
  <c r="R81" i="4"/>
  <c r="M53" i="7"/>
  <c r="K58" i="7"/>
  <c r="N188" i="23"/>
  <c r="C27" i="11"/>
  <c r="D46" i="11"/>
  <c r="B82" i="11"/>
  <c r="H63" i="4"/>
  <c r="H97" i="4" s="1"/>
  <c r="G63" i="4"/>
  <c r="G97" i="4" s="1"/>
  <c r="G105" i="4" s="1"/>
  <c r="I58" i="7"/>
  <c r="C9" i="11"/>
  <c r="B63" i="11"/>
  <c r="B96" i="4"/>
  <c r="D84" i="11"/>
  <c r="B54" i="13"/>
  <c r="K63" i="4"/>
  <c r="K97" i="4" s="1"/>
  <c r="K105" i="4" s="1"/>
  <c r="CI753" i="3"/>
  <c r="X1048" i="3" s="1"/>
  <c r="BG243" i="3"/>
  <c r="BO245" i="3" s="1"/>
  <c r="T267" i="3" s="1"/>
  <c r="AH721" i="3"/>
  <c r="J7" i="8"/>
  <c r="S38" i="21"/>
  <c r="S37" i="21"/>
  <c r="S36" i="21"/>
  <c r="S43" i="21"/>
  <c r="S35" i="21"/>
  <c r="S42" i="21"/>
  <c r="S34" i="21"/>
  <c r="U20" i="21"/>
  <c r="O20" i="21" s="1"/>
  <c r="S41" i="21"/>
  <c r="U33" i="21"/>
  <c r="S40" i="21"/>
  <c r="U32" i="21"/>
  <c r="U24" i="21"/>
  <c r="O24" i="21" s="1"/>
  <c r="U28" i="21"/>
  <c r="O28" i="21" s="1"/>
  <c r="S39" i="21"/>
  <c r="AH720" i="3"/>
  <c r="T22" i="21"/>
  <c r="U22" i="21"/>
  <c r="O22" i="21" s="1"/>
  <c r="U37" i="21"/>
  <c r="U29" i="21"/>
  <c r="T21" i="21"/>
  <c r="U21" i="21"/>
  <c r="O21" i="21" s="1"/>
  <c r="U36" i="21"/>
  <c r="T43" i="21"/>
  <c r="U43" i="21"/>
  <c r="T35" i="21"/>
  <c r="U35" i="21"/>
  <c r="T27" i="21"/>
  <c r="U27" i="21"/>
  <c r="O27" i="21" s="1"/>
  <c r="U38" i="21"/>
  <c r="R42" i="21" a="1"/>
  <c r="R42" i="21" s="1"/>
  <c r="U42" i="21"/>
  <c r="T34" i="21"/>
  <c r="U34" i="21"/>
  <c r="U26" i="21"/>
  <c r="R41" i="21" a="1"/>
  <c r="R41" i="21" s="1"/>
  <c r="U41" i="21"/>
  <c r="T25" i="21"/>
  <c r="U25" i="21"/>
  <c r="O25" i="21" s="1"/>
  <c r="R30" i="21" a="1"/>
  <c r="R30" i="21" s="1"/>
  <c r="U30" i="21"/>
  <c r="T40" i="21"/>
  <c r="U40" i="21"/>
  <c r="T39" i="21"/>
  <c r="U39" i="21"/>
  <c r="T31" i="21"/>
  <c r="U31" i="21"/>
  <c r="T23" i="21"/>
  <c r="U23" i="21"/>
  <c r="O23" i="21" s="1"/>
  <c r="AO23" i="20"/>
  <c r="AF1017" i="3"/>
  <c r="C9" i="7"/>
  <c r="E9" i="7" s="1"/>
  <c r="C7" i="7"/>
  <c r="G12" i="4"/>
  <c r="AF1014" i="3"/>
  <c r="G99" i="21"/>
  <c r="AA29" i="7"/>
  <c r="O29" i="7"/>
  <c r="AY1003" i="3"/>
  <c r="I1048" i="3" s="1"/>
  <c r="C798"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AC29" i="7"/>
  <c r="M29" i="7"/>
  <c r="G29" i="7"/>
  <c r="Q29" i="7"/>
  <c r="AE29" i="7"/>
  <c r="P36" i="21" a="1"/>
  <c r="P36" i="21" s="1"/>
  <c r="T28" i="21"/>
  <c r="W29" i="7"/>
  <c r="P40" i="21" a="1"/>
  <c r="P40" i="21" s="1"/>
  <c r="U29" i="7"/>
  <c r="R25" i="21" a="1"/>
  <c r="R25" i="21" s="1"/>
  <c r="T36" i="21"/>
  <c r="T42" i="21"/>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M960" i="3" s="1"/>
  <c r="M961" i="3" s="1"/>
  <c r="I15" i="7"/>
  <c r="E28" i="21"/>
  <c r="E25" i="21"/>
  <c r="F25" i="21" s="1"/>
  <c r="G25" i="21" s="1"/>
  <c r="F54" i="13" l="1"/>
  <c r="R11" i="4"/>
  <c r="R12" i="4" s="1"/>
  <c r="T11" i="4"/>
  <c r="H9" i="13"/>
  <c r="I9" i="13" s="1"/>
  <c r="I11" i="13" s="1"/>
  <c r="I63" i="13" s="1"/>
  <c r="I97" i="13" s="1"/>
  <c r="I105" i="13" s="1"/>
  <c r="I107" i="13" s="1"/>
  <c r="C12" i="13"/>
  <c r="S54" i="4"/>
  <c r="E54" i="13" s="1"/>
  <c r="F96" i="13"/>
  <c r="S96" i="4"/>
  <c r="E96" i="13" s="1"/>
  <c r="AJ621" i="20"/>
  <c r="G94" i="21"/>
  <c r="J40" i="8"/>
  <c r="Z809" i="3" s="1"/>
  <c r="E6" i="7" s="1"/>
  <c r="D43" i="11"/>
  <c r="D71" i="11"/>
  <c r="B12" i="4"/>
  <c r="N195" i="23"/>
  <c r="D55" i="11"/>
  <c r="D82" i="11"/>
  <c r="D78" i="11"/>
  <c r="D12" i="11"/>
  <c r="D63" i="11"/>
  <c r="B13" i="11"/>
  <c r="D27" i="11"/>
  <c r="D97" i="11"/>
  <c r="AO39" i="20"/>
  <c r="AK62" i="20" s="1"/>
  <c r="T804" i="20" s="1"/>
  <c r="AF804" i="20" s="1"/>
  <c r="BE71" i="3" s="1"/>
  <c r="D9" i="11"/>
  <c r="C13" i="1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9"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O33" i="21" l="1"/>
  <c r="P33" i="21" s="1" a="1"/>
  <c r="P33" i="21" s="1"/>
  <c r="S33" i="21" s="1"/>
  <c r="H11" i="13"/>
  <c r="T63" i="4"/>
  <c r="O26" i="21"/>
  <c r="P26" i="21" s="1" a="1"/>
  <c r="P26" i="21" s="1"/>
  <c r="S26" i="21" s="1"/>
  <c r="O32" i="21"/>
  <c r="P32" i="21" s="1" a="1"/>
  <c r="P32" i="21" s="1"/>
  <c r="S32" i="21" s="1"/>
  <c r="O31" i="21"/>
  <c r="P31" i="21" s="1" a="1"/>
  <c r="P31" i="21" s="1"/>
  <c r="S31" i="21" s="1"/>
  <c r="O30" i="21"/>
  <c r="P30" i="21" s="1" a="1"/>
  <c r="P30" i="21" s="1"/>
  <c r="S30" i="21" s="1"/>
  <c r="AK84" i="20"/>
  <c r="AK191" i="20" s="1"/>
  <c r="T811" i="20" s="1"/>
  <c r="AF811" i="20" s="1"/>
  <c r="BE76" i="3" s="1"/>
  <c r="D13" i="11"/>
  <c r="O58" i="7"/>
  <c r="Q53" i="7"/>
  <c r="P29" i="21" a="1"/>
  <c r="P29" i="21" s="1"/>
  <c r="S29" i="21" s="1"/>
  <c r="P25" i="21" a="1"/>
  <c r="P25" i="21" s="1"/>
  <c r="S25" i="21" s="1"/>
  <c r="P28" i="21" a="1"/>
  <c r="P28" i="21" s="1"/>
  <c r="S28" i="21" s="1"/>
  <c r="P27" i="21" a="1"/>
  <c r="P27" i="21" s="1"/>
  <c r="S27"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97" i="4" l="1"/>
  <c r="H63" i="13"/>
  <c r="T805" i="20"/>
  <c r="AF805" i="20" s="1"/>
  <c r="BE72" i="3" s="1"/>
  <c r="Q58" i="7"/>
  <c r="S53" i="7"/>
  <c r="G45" i="21"/>
  <c r="G47" i="21" s="1"/>
  <c r="E10" i="21" s="1"/>
  <c r="E11" i="21"/>
  <c r="AP705" i="20"/>
  <c r="AJ711" i="20" s="1"/>
  <c r="AK794" i="20" s="1"/>
  <c r="T819" i="20" s="1"/>
  <c r="AF819" i="20" s="1"/>
  <c r="BE82" i="3" s="1"/>
  <c r="AP706" i="20"/>
  <c r="I4" i="7"/>
  <c r="I5" i="7" s="1"/>
  <c r="K9" i="7"/>
  <c r="E11" i="7"/>
  <c r="E37" i="7" s="1"/>
  <c r="AJ992" i="3"/>
  <c r="E138" i="20"/>
  <c r="E139" i="20" s="1"/>
  <c r="AK143" i="20" s="1"/>
  <c r="T807" i="20" s="1"/>
  <c r="AF807" i="20" s="1"/>
  <c r="BE74" i="3" s="1"/>
  <c r="AB991" i="3"/>
  <c r="DU802" i="3"/>
  <c r="U373" i="20" s="1"/>
  <c r="P421" i="3"/>
  <c r="I6" i="7"/>
  <c r="G7" i="7"/>
  <c r="G11" i="7" s="1"/>
  <c r="G37" i="7" s="1"/>
  <c r="M22" i="7"/>
  <c r="M35" i="7" s="1"/>
  <c r="O15" i="7"/>
  <c r="M9" i="7"/>
  <c r="O8" i="7"/>
  <c r="G27" i="21"/>
  <c r="F26" i="21"/>
  <c r="AJ994" i="3" l="1"/>
  <c r="AJ1020" i="3"/>
  <c r="H97" i="13"/>
  <c r="AZ1048" i="3"/>
  <c r="T105" i="4"/>
  <c r="N10" i="23"/>
  <c r="F108" i="4"/>
  <c r="AD11" i="15"/>
  <c r="AD23" i="15" s="1"/>
  <c r="AD26" i="15" s="1"/>
  <c r="AD28" i="15" s="1"/>
  <c r="S58" i="7"/>
  <c r="U53" i="7"/>
  <c r="AJ1045" i="3"/>
  <c r="AJ1049" i="3"/>
  <c r="AP553" i="20" s="1"/>
  <c r="AP550" i="20"/>
  <c r="K4" i="7"/>
  <c r="M4" i="7" s="1"/>
  <c r="K6" i="7"/>
  <c r="I7" i="7"/>
  <c r="I11" i="7" s="1"/>
  <c r="I37" i="7" s="1"/>
  <c r="G26" i="21"/>
  <c r="F29" i="21"/>
  <c r="G29" i="21"/>
  <c r="O22" i="7"/>
  <c r="O35" i="7" s="1"/>
  <c r="Q15" i="7"/>
  <c r="O9" i="7"/>
  <c r="Q8" i="7"/>
  <c r="F18" i="4" l="1"/>
  <c r="F30" i="4"/>
  <c r="F38" i="4" s="1"/>
  <c r="H105" i="13"/>
  <c r="T107" i="4"/>
  <c r="H107" i="13" s="1"/>
  <c r="AI11" i="15" s="1"/>
  <c r="AI23" i="15" s="1"/>
  <c r="AI26" i="15" s="1"/>
  <c r="AI28" i="15" s="1"/>
  <c r="AD64" i="15" s="1"/>
  <c r="AD68" i="15" s="1"/>
  <c r="U58" i="7"/>
  <c r="W53" i="7"/>
  <c r="AJ1053" i="3"/>
  <c r="AP552" i="20"/>
  <c r="AP554" i="20" s="1"/>
  <c r="K5" i="7"/>
  <c r="O4" i="7"/>
  <c r="M5" i="7"/>
  <c r="M6" i="7"/>
  <c r="K7" i="7"/>
  <c r="Q22" i="7"/>
  <c r="Q35" i="7" s="1"/>
  <c r="S15" i="7"/>
  <c r="G79" i="21"/>
  <c r="G31" i="21"/>
  <c r="G33" i="21" s="1"/>
  <c r="E9" i="21" s="1"/>
  <c r="G88" i="21"/>
  <c r="G90" i="21" s="1"/>
  <c r="E16" i="21" s="1"/>
  <c r="G111" i="21"/>
  <c r="G96" i="21"/>
  <c r="Q9" i="7"/>
  <c r="S8" i="7"/>
  <c r="E18" i="4" l="1"/>
  <c r="F26" i="4"/>
  <c r="F63" i="4" s="1"/>
  <c r="F97" i="4" s="1"/>
  <c r="F105" i="4" s="1"/>
  <c r="G80" i="21"/>
  <c r="E15" i="21" s="1"/>
  <c r="W58" i="7"/>
  <c r="Y53" i="7"/>
  <c r="T24" i="15"/>
  <c r="AP557" i="20"/>
  <c r="AP556" i="20" s="1"/>
  <c r="AP559" i="20" s="1"/>
  <c r="AF552" i="20" s="1"/>
  <c r="K11" i="7"/>
  <c r="K37" i="7" s="1"/>
  <c r="O5" i="7"/>
  <c r="Q4" i="7"/>
  <c r="M7" i="7"/>
  <c r="M11" i="7" s="1"/>
  <c r="M37" i="7" s="1"/>
  <c r="O6" i="7"/>
  <c r="G101" i="21"/>
  <c r="G113" i="21"/>
  <c r="G97" i="21"/>
  <c r="S22" i="7"/>
  <c r="S35" i="7" s="1"/>
  <c r="U15" i="7"/>
  <c r="U8" i="7"/>
  <c r="S9" i="7"/>
  <c r="R18" i="4" l="1"/>
  <c r="E26" i="4"/>
  <c r="E108" i="4"/>
  <c r="AA53" i="7"/>
  <c r="Y58" i="7"/>
  <c r="G115" i="21"/>
  <c r="E17" i="21" s="1"/>
  <c r="E14" i="21" s="1"/>
  <c r="E18" i="21" s="1"/>
  <c r="S4" i="7"/>
  <c r="Q5" i="7"/>
  <c r="O7" i="7"/>
  <c r="O11" i="7" s="1"/>
  <c r="O37" i="7" s="1"/>
  <c r="Q6" i="7"/>
  <c r="U22" i="7"/>
  <c r="U35" i="7" s="1"/>
  <c r="W15" i="7"/>
  <c r="U9" i="7"/>
  <c r="W8" i="7"/>
  <c r="S18" i="4" l="1"/>
  <c r="R26" i="4"/>
  <c r="AC53" i="7"/>
  <c r="AA58" i="7"/>
  <c r="U4" i="7"/>
  <c r="S5" i="7"/>
  <c r="Q7" i="7"/>
  <c r="Q11" i="7" s="1"/>
  <c r="Q37" i="7" s="1"/>
  <c r="S6" i="7"/>
  <c r="W22" i="7"/>
  <c r="W35" i="7" s="1"/>
  <c r="Y15" i="7"/>
  <c r="W9" i="7"/>
  <c r="Y8" i="7"/>
  <c r="E18" i="13" l="1"/>
  <c r="F18" i="13" s="1"/>
  <c r="F26" i="13" s="1"/>
  <c r="S26" i="4"/>
  <c r="E26" i="13" s="1"/>
  <c r="AE53" i="7"/>
  <c r="AC58" i="7"/>
  <c r="U5" i="7"/>
  <c r="W4" i="7"/>
  <c r="S7" i="7"/>
  <c r="S11" i="7" s="1"/>
  <c r="S37" i="7" s="1"/>
  <c r="U6" i="7"/>
  <c r="Y22" i="7"/>
  <c r="Y35" i="7" s="1"/>
  <c r="AA15" i="7"/>
  <c r="Y9" i="7"/>
  <c r="AA8" i="7"/>
  <c r="AG53" i="7" l="1"/>
  <c r="AG58" i="7" s="1"/>
  <c r="AE58" i="7"/>
  <c r="W5" i="7"/>
  <c r="Y4" i="7"/>
  <c r="U7" i="7"/>
  <c r="U11" i="7" s="1"/>
  <c r="U37" i="7" s="1"/>
  <c r="W6" i="7"/>
  <c r="AC15" i="7"/>
  <c r="AA22" i="7"/>
  <c r="AA35" i="7" s="1"/>
  <c r="AC8" i="7"/>
  <c r="AA9" i="7"/>
  <c r="H108" i="4" l="1"/>
  <c r="H99" i="4" s="1"/>
  <c r="E99" i="4" s="1"/>
  <c r="E104" i="4" s="1"/>
  <c r="AO639" i="3"/>
  <c r="AA4" i="7"/>
  <c r="Y5" i="7"/>
  <c r="Y6" i="7"/>
  <c r="W7" i="7"/>
  <c r="W11" i="7" s="1"/>
  <c r="W37" i="7" s="1"/>
  <c r="AE15" i="7"/>
  <c r="AC22" i="7"/>
  <c r="AC35" i="7" s="1"/>
  <c r="AC9" i="7"/>
  <c r="AE8" i="7"/>
  <c r="AB48" i="15" l="1"/>
  <c r="AO641" i="3"/>
  <c r="AA5" i="7"/>
  <c r="AC4" i="7"/>
  <c r="Y7" i="7"/>
  <c r="Y11" i="7" s="1"/>
  <c r="Y37" i="7" s="1"/>
  <c r="AA6" i="7"/>
  <c r="AE22" i="7"/>
  <c r="AE35" i="7" s="1"/>
  <c r="AG15" i="7"/>
  <c r="AG22" i="7" s="1"/>
  <c r="AG35" i="7" s="1"/>
  <c r="AE9" i="7"/>
  <c r="AG8" i="7"/>
  <c r="AG9" i="7" s="1"/>
  <c r="AC5" i="7" l="1"/>
  <c r="AE4" i="7"/>
  <c r="AC6" i="7"/>
  <c r="AA7" i="7"/>
  <c r="AA11" i="7" s="1"/>
  <c r="AA37" i="7" s="1"/>
  <c r="AE5" i="7" l="1"/>
  <c r="AG4" i="7"/>
  <c r="AE6" i="7"/>
  <c r="AC7" i="7"/>
  <c r="AC11" i="7" s="1"/>
  <c r="AC37" i="7" s="1"/>
  <c r="Y64" i="15" l="1"/>
  <c r="Y68" i="15" s="1"/>
  <c r="Y69" i="15" s="1"/>
  <c r="AG5" i="7"/>
  <c r="AE7" i="7"/>
  <c r="AE11" i="7" s="1"/>
  <c r="AE37" i="7" s="1"/>
  <c r="AG6" i="7"/>
  <c r="AG7" i="7" l="1"/>
  <c r="AG11" i="7" s="1"/>
  <c r="AG37" i="7" s="1"/>
  <c r="BH753" i="3" l="1"/>
  <c r="AC753" i="3" s="1"/>
  <c r="BE42" i="3" s="1"/>
  <c r="E93" i="20" l="1"/>
  <c r="E94" i="20" s="1"/>
  <c r="E95" i="20" s="1"/>
  <c r="AP95" i="20" s="1"/>
  <c r="E103" i="20"/>
  <c r="E106" i="20" s="1"/>
  <c r="AP106" i="20" s="1"/>
  <c r="AK109" i="20" l="1"/>
  <c r="T806" i="20" s="1"/>
  <c r="AF806" i="20" s="1"/>
  <c r="BE73" i="3" s="1"/>
  <c r="H3" i="21"/>
  <c r="E40" i="7" l="1"/>
  <c r="E43" i="7" s="1"/>
  <c r="E49" i="7" s="1"/>
  <c r="AG40" i="7" l="1"/>
  <c r="AG43" i="7" s="1"/>
  <c r="AG49" i="7" s="1"/>
  <c r="AE40" i="7"/>
  <c r="AE43" i="7" s="1"/>
  <c r="AE45" i="7" s="1"/>
  <c r="AC40" i="7"/>
  <c r="AC43" i="7" s="1"/>
  <c r="AC49" i="7" s="1"/>
  <c r="AA40" i="7"/>
  <c r="AA43" i="7" s="1"/>
  <c r="AA45" i="7" s="1"/>
  <c r="I40" i="7"/>
  <c r="I43" i="7" s="1"/>
  <c r="I45" i="7" s="1"/>
  <c r="W40" i="7"/>
  <c r="W43" i="7" s="1"/>
  <c r="W45" i="7" s="1"/>
  <c r="U40" i="7"/>
  <c r="U43" i="7" s="1"/>
  <c r="U49" i="7" s="1"/>
  <c r="S40" i="7"/>
  <c r="S43" i="7" s="1"/>
  <c r="S45" i="7" s="1"/>
  <c r="Q40" i="7"/>
  <c r="Q43" i="7" s="1"/>
  <c r="Q49" i="7" s="1"/>
  <c r="O40" i="7"/>
  <c r="O43" i="7" s="1"/>
  <c r="O45" i="7" s="1"/>
  <c r="M40" i="7"/>
  <c r="M43" i="7" s="1"/>
  <c r="M49" i="7" s="1"/>
  <c r="G40" i="7"/>
  <c r="G43" i="7" s="1"/>
  <c r="G49" i="7" s="1"/>
  <c r="Y40" i="7"/>
  <c r="Y43" i="7" s="1"/>
  <c r="Y49" i="7" s="1"/>
  <c r="K40" i="7"/>
  <c r="K43" i="7" s="1"/>
  <c r="K49" i="7" s="1"/>
  <c r="E45" i="7"/>
  <c r="E48" i="7" s="1"/>
  <c r="AE49" i="7" l="1"/>
  <c r="AG45" i="7"/>
  <c r="AG60" i="7" s="1"/>
  <c r="AA49" i="7"/>
  <c r="I49" i="7"/>
  <c r="AC45" i="7"/>
  <c r="AC60" i="7" s="1"/>
  <c r="K45" i="7"/>
  <c r="K47" i="7" s="1"/>
  <c r="U45" i="7"/>
  <c r="U60" i="7" s="1"/>
  <c r="S49" i="7"/>
  <c r="W49" i="7"/>
  <c r="G45" i="7"/>
  <c r="G60" i="7" s="1"/>
  <c r="O49" i="7"/>
  <c r="Y45" i="7"/>
  <c r="Y60" i="7" s="1"/>
  <c r="Q45" i="7"/>
  <c r="Q60" i="7" s="1"/>
  <c r="E60" i="7"/>
  <c r="M45" i="7"/>
  <c r="M48" i="7" s="1"/>
  <c r="E47" i="7"/>
  <c r="S60" i="7"/>
  <c r="S48" i="7"/>
  <c r="S47" i="7"/>
  <c r="AA48" i="7"/>
  <c r="AA60" i="7"/>
  <c r="AA47" i="7"/>
  <c r="AE60" i="7"/>
  <c r="AE48" i="7"/>
  <c r="AE47" i="7"/>
  <c r="O60" i="7"/>
  <c r="O48" i="7"/>
  <c r="O47" i="7"/>
  <c r="W48" i="7"/>
  <c r="W47" i="7"/>
  <c r="W60" i="7"/>
  <c r="I47" i="7"/>
  <c r="I60" i="7"/>
  <c r="I48" i="7"/>
  <c r="K60" i="7" l="1"/>
  <c r="AG47" i="7"/>
  <c r="AG48" i="7"/>
  <c r="K48" i="7"/>
  <c r="G62" i="7"/>
  <c r="I62" i="7" s="1"/>
  <c r="AC47" i="7"/>
  <c r="AC48" i="7"/>
  <c r="U47" i="7"/>
  <c r="U48" i="7"/>
  <c r="Q47" i="7"/>
  <c r="Q48" i="7"/>
  <c r="G47" i="7"/>
  <c r="E70" i="7"/>
  <c r="G48" i="7"/>
  <c r="Y47" i="7"/>
  <c r="M60" i="7"/>
  <c r="M47" i="7"/>
  <c r="Y48" i="7"/>
  <c r="I67" i="7" l="1"/>
  <c r="I68" i="7"/>
  <c r="I66" i="7"/>
  <c r="K62" i="7"/>
  <c r="M62" i="7" s="1"/>
  <c r="G67" i="7"/>
  <c r="G66" i="7"/>
  <c r="G68" i="7"/>
  <c r="I70" i="7" l="1"/>
  <c r="G70" i="7"/>
  <c r="M67" i="7"/>
  <c r="M66" i="7"/>
  <c r="M68" i="7"/>
  <c r="K67" i="7"/>
  <c r="K68" i="7"/>
  <c r="K66" i="7"/>
  <c r="O62" i="7"/>
  <c r="Q62" i="7" s="1"/>
  <c r="M70" i="7"/>
  <c r="BE21" i="3"/>
  <c r="I9" i="21"/>
  <c r="K70" i="7" l="1"/>
  <c r="Q68" i="7"/>
  <c r="Q66" i="7"/>
  <c r="Q67" i="7"/>
  <c r="O68" i="7"/>
  <c r="O66" i="7"/>
  <c r="O67" i="7"/>
  <c r="G144" i="21"/>
  <c r="G143" i="21"/>
  <c r="I17" i="21" s="1"/>
  <c r="B31" i="11"/>
  <c r="B39" i="11" s="1"/>
  <c r="B64" i="11" s="1"/>
  <c r="B98" i="11" s="1"/>
  <c r="C31" i="11"/>
  <c r="B30" i="13"/>
  <c r="C30" i="13" s="1"/>
  <c r="C38" i="13" s="1"/>
  <c r="C63" i="13" s="1"/>
  <c r="C97" i="13" s="1"/>
  <c r="B30" i="4"/>
  <c r="E30" i="4"/>
  <c r="E38" i="4" s="1"/>
  <c r="E63" i="4" s="1"/>
  <c r="E97" i="4" s="1"/>
  <c r="E105" i="4" s="1"/>
  <c r="C38" i="4"/>
  <c r="B38" i="4" s="1"/>
  <c r="B63" i="4" s="1"/>
  <c r="D31" i="11" l="1"/>
  <c r="O70" i="7"/>
  <c r="Q70" i="7"/>
  <c r="R30" i="4"/>
  <c r="S30" i="4" s="1"/>
  <c r="S38" i="4" s="1"/>
  <c r="C39" i="11"/>
  <c r="D39" i="11" s="1"/>
  <c r="C63" i="4"/>
  <c r="B38" i="13"/>
  <c r="R38" i="4"/>
  <c r="R63" i="4" s="1"/>
  <c r="R97" i="4" s="1"/>
  <c r="C64" i="11"/>
  <c r="E30" i="13" l="1"/>
  <c r="F30" i="13" s="1"/>
  <c r="F38" i="13" s="1"/>
  <c r="F63" i="13" s="1"/>
  <c r="F97" i="13" s="1"/>
  <c r="D64" i="11"/>
  <c r="C98" i="11"/>
  <c r="B63" i="13"/>
  <c r="C97" i="4"/>
  <c r="E38" i="13"/>
  <c r="S63" i="4"/>
  <c r="E63" i="13" l="1"/>
  <c r="S97" i="4"/>
  <c r="D98" i="11"/>
  <c r="B97" i="4"/>
  <c r="B97" i="13"/>
  <c r="C104" i="4"/>
  <c r="B99" i="4"/>
  <c r="C100" i="11"/>
  <c r="B99" i="13"/>
  <c r="C99" i="13" s="1"/>
  <c r="C104" i="13" s="1"/>
  <c r="C105" i="13" s="1"/>
  <c r="B100" i="11"/>
  <c r="B105" i="11" s="1"/>
  <c r="B106" i="11" s="1"/>
  <c r="B104" i="4" l="1"/>
  <c r="B104" i="13"/>
  <c r="C105" i="4"/>
  <c r="AZ1046" i="3"/>
  <c r="E97" i="13"/>
  <c r="H104" i="4"/>
  <c r="H105" i="4" s="1"/>
  <c r="R99" i="4"/>
  <c r="D100" i="11"/>
  <c r="C105" i="11"/>
  <c r="D105" i="11" l="1"/>
  <c r="C106" i="11"/>
  <c r="D106" i="11" s="1"/>
  <c r="BE101" i="3"/>
  <c r="AC455" i="3"/>
  <c r="B105" i="4"/>
  <c r="B105" i="13"/>
  <c r="AG269" i="20"/>
  <c r="S99" i="4"/>
  <c r="R104" i="4"/>
  <c r="R105" i="4" s="1"/>
  <c r="AZ1051" i="3"/>
  <c r="BA1056" i="3"/>
  <c r="BA1055" i="3" l="1"/>
  <c r="E99" i="13"/>
  <c r="F99" i="13" s="1"/>
  <c r="F104" i="13" s="1"/>
  <c r="F105" i="13" s="1"/>
  <c r="F107" i="13" s="1"/>
  <c r="S104" i="4"/>
  <c r="AC454" i="3"/>
  <c r="BE22" i="3"/>
  <c r="AB47" i="15"/>
  <c r="AB49" i="15" s="1"/>
  <c r="N185" i="23"/>
  <c r="AB266" i="20"/>
  <c r="AG268" i="20" s="1"/>
  <c r="AG270" i="20" s="1"/>
  <c r="AK273" i="20" s="1"/>
  <c r="T812" i="20" s="1"/>
  <c r="AF812" i="20" s="1"/>
  <c r="BE77" i="3" l="1"/>
  <c r="AB54" i="15"/>
  <c r="AB55" i="15" s="1"/>
  <c r="F457" i="3"/>
  <c r="BE44" i="3"/>
  <c r="BA1058" i="3"/>
  <c r="BA1059" i="3" s="1"/>
  <c r="E104" i="13"/>
  <c r="S105" i="4"/>
  <c r="N186" i="23"/>
  <c r="N196" i="23"/>
  <c r="T11" i="15"/>
  <c r="T23" i="15" s="1"/>
  <c r="S107" i="4" l="1"/>
  <c r="E105" i="13"/>
  <c r="T26" i="15"/>
  <c r="T28" i="15" s="1"/>
  <c r="AF551" i="20" l="1"/>
  <c r="AF553" i="20" s="1"/>
  <c r="AK559" i="20" s="1"/>
  <c r="T818" i="20" s="1"/>
  <c r="AF818" i="20" s="1"/>
  <c r="AC456" i="3"/>
  <c r="E107" i="13"/>
  <c r="Y11" i="15" s="1"/>
  <c r="Y23" i="15" s="1"/>
  <c r="AA1056" i="3"/>
  <c r="AA1057" i="3" s="1"/>
  <c r="G1058" i="3" s="1"/>
  <c r="Y26" i="15" l="1"/>
  <c r="Y28" i="15" s="1"/>
  <c r="T29" i="15" s="1"/>
  <c r="AD38" i="15"/>
  <c r="AD40" i="15" s="1"/>
  <c r="BE81" i="3"/>
  <c r="AF821" i="20"/>
  <c r="BE70" i="3" s="1"/>
  <c r="Y38" i="15" l="1"/>
  <c r="Y40" i="15" s="1"/>
  <c r="Y41" i="15" s="1"/>
  <c r="AB56" i="15" s="1"/>
  <c r="M26" i="3" l="1"/>
  <c r="AB57" i="15"/>
  <c r="AB59" i="15" l="1"/>
  <c r="AB77" i="15" s="1"/>
  <c r="AB78" i="15" s="1"/>
  <c r="P204" i="3"/>
  <c r="BE19" i="3"/>
  <c r="AB79" i="15" l="1"/>
  <c r="AB81" i="15" s="1"/>
  <c r="J82" i="15" s="1"/>
  <c r="I10" i="21"/>
  <c r="I11" i="21" s="1"/>
  <c r="I18" i="21" s="1"/>
  <c r="H4" i="21" s="1"/>
  <c r="H5" i="21" s="1"/>
  <c r="BE83" i="3" s="1"/>
  <c r="M27" i="3"/>
  <c r="P205" i="3" l="1"/>
  <c r="BE20" i="3"/>
  <c r="AM566" i="3" l="1"/>
  <c r="S62" i="7" l="1"/>
  <c r="E72" i="7"/>
  <c r="G72" i="7"/>
  <c r="I72" i="7"/>
  <c r="K72" i="7"/>
  <c r="M72" i="7"/>
  <c r="O72" i="7"/>
  <c r="Q72" i="7"/>
  <c r="S67" i="7" l="1"/>
  <c r="S68" i="7"/>
  <c r="S66" i="7"/>
  <c r="U62" i="7"/>
  <c r="S70" i="7" l="1"/>
  <c r="S72" i="7" s="1"/>
  <c r="U68" i="7"/>
  <c r="U66" i="7"/>
  <c r="U67" i="7"/>
  <c r="W62" i="7"/>
  <c r="W67" i="7" l="1"/>
  <c r="W68" i="7"/>
  <c r="W66" i="7"/>
  <c r="U70" i="7"/>
  <c r="U72" i="7" s="1"/>
  <c r="Y62" i="7"/>
  <c r="W70" i="7" l="1"/>
  <c r="W72" i="7" s="1"/>
  <c r="Y67" i="7"/>
  <c r="Y68" i="7"/>
  <c r="Y66" i="7"/>
  <c r="AA62" i="7"/>
  <c r="Y70" i="7" l="1"/>
  <c r="Y72" i="7" s="1"/>
  <c r="AC62" i="7"/>
  <c r="AE62" i="7" s="1"/>
  <c r="AA67" i="7"/>
  <c r="AA68" i="7"/>
  <c r="AA66" i="7"/>
  <c r="AE67" i="7" l="1"/>
  <c r="AE66" i="7"/>
  <c r="AE68" i="7"/>
  <c r="AA70" i="7"/>
  <c r="AA72" i="7" s="1"/>
  <c r="AC67" i="7"/>
  <c r="AC68" i="7"/>
  <c r="AC66" i="7"/>
  <c r="AG62" i="7"/>
  <c r="AC70" i="7" l="1"/>
  <c r="AC72" i="7" s="1"/>
  <c r="AG67" i="7"/>
  <c r="AG68" i="7"/>
  <c r="AG66" i="7"/>
  <c r="AE70" i="7"/>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<sst xmlns="http://schemas.openxmlformats.org/spreadsheetml/2006/main" count="5083" uniqueCount="2794">
  <si>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</si>
  <si>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</si>
  <si>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</si>
  <si>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</si>
  <si>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</si>
  <si>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</si>
  <si>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</si>
  <si>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</si>
  <si>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</si>
  <si>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</si>
  <si>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</si>
  <si>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</si>
  <si>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</si>
  <si>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</si>
  <si>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</si>
  <si>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</si>
  <si>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</si>
  <si>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</si>
  <si>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</si>
  <si>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</si>
  <si>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</si>
  <si>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</si>
  <si>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</si>
  <si>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</si>
  <si>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</si>
  <si>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</si>
  <si>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</si>
  <si>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</si>
  <si>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</si>
  <si>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</si>
  <si>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</si>
  <si>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</si>
  <si>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</si>
  <si>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</si>
  <si>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</si>
  <si>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</si>
  <si>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</si>
  <si>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</si>
  <si>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</si>
  <si>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</si>
  <si>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</si>
  <si>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</si>
  <si>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</si>
  <si>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</si>
  <si>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</si>
  <si>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</si>
  <si>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</si>
  <si>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</si>
  <si>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</si>
  <si>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</si>
  <si>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</si>
  <si>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</si>
  <si>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</si>
  <si>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</si>
  <si>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</si>
  <si>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</si>
  <si>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</si>
  <si>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</si>
  <si>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</si>
  <si>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</si>
  <si>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</si>
  <si>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</si>
  <si>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</si>
  <si>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</si>
  <si>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</si>
  <si>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</si>
  <si>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</si>
  <si>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</si>
  <si>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</si>
  <si>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</si>
  <si>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</si>
  <si>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</si>
  <si>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</si>
  <si>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</si>
  <si>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</si>
  <si>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</si>
  <si>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</si>
  <si>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</si>
  <si>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</si>
  <si>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</si>
  <si>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</si>
  <si>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</si>
  <si>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</si>
  <si>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</si>
  <si>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</si>
  <si>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</si>
  <si>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</si>
  <si>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</si>
  <si>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</si>
  <si>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</si>
  <si>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</si>
  <si>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</si>
  <si>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</si>
  <si>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</si>
  <si>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</si>
  <si>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</si>
  <si>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</si>
  <si>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</si>
  <si>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</si>
  <si>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</si>
  <si>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</si>
  <si>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</si>
  <si>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</si>
  <si>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</si>
  <si>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</si>
  <si>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</si>
  <si>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</si>
  <si>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</si>
  <si>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</si>
  <si>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</si>
  <si>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</si>
  <si>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</si>
  <si>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</si>
  <si>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</si>
  <si>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</si>
  <si>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</si>
  <si>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</si>
  <si>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</si>
  <si>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</si>
  <si>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</si>
  <si>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</si>
  <si>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</si>
  <si>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</si>
  <si>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</si>
  <si>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</si>
  <si>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</si>
  <si>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</si>
  <si>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</si>
  <si>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</si>
  <si>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</si>
  <si>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</si>
  <si>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</si>
  <si>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</si>
  <si>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</si>
  <si>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</si>
  <si>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</si>
  <si>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</si>
  <si>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</si>
  <si>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</si>
  <si>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</si>
  <si>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</si>
  <si>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</si>
  <si>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</si>
  <si>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</si>
  <si>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</si>
  <si>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</si>
  <si>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</si>
  <si>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</si>
  <si>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</si>
  <si>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</si>
  <si>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</si>
  <si>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</si>
  <si>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</si>
  <si>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</si>
  <si>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</si>
  <si>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</si>
  <si>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</si>
  <si>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</si>
  <si>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</si>
  <si>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</si>
  <si>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</si>
  <si>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</si>
  <si>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</si>
  <si>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</si>
  <si>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</si>
  <si>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</si>
  <si>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</si>
  <si>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</si>
  <si>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</si>
  <si>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</si>
  <si>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</si>
  <si>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</si>
  <si>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</si>
  <si>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</si>
  <si>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</si>
  <si>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</si>
  <si>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</si>
  <si>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</si>
  <si>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</si>
  <si>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</si>
  <si>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</si>
  <si>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</si>
  <si>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</si>
  <si>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</si>
  <si>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</si>
  <si>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</si>
  <si>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</si>
  <si>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</si>
  <si>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</si>
  <si>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</si>
  <si>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</si>
  <si>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</si>
  <si>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</si>
  <si>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</si>
  <si>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</si>
  <si>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</si>
  <si>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</si>
  <si>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</si>
  <si>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</si>
  <si>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</si>
  <si>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</si>
  <si>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</si>
  <si>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</si>
  <si>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</si>
  <si>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</si>
  <si>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</si>
  <si>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</si>
  <si>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</si>
  <si>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</si>
  <si>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</si>
  <si>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</si>
  <si>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</si>
  <si>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</si>
  <si>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</si>
  <si>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</si>
  <si>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</si>
  <si>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</si>
  <si>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</si>
  <si>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</si>
  <si>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</si>
  <si>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</si>
  <si>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</si>
  <si>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</si>
  <si>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</si>
  <si>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</si>
  <si>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</si>
  <si>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</si>
  <si>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</si>
  <si>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</si>
  <si>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</si>
  <si>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</si>
  <si>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</si>
  <si>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</si>
  <si>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</si>
  <si>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</si>
  <si>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</si>
  <si>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</si>
  <si>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</si>
  <si>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</si>
  <si>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</si>
  <si>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</si>
  <si>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</si>
  <si>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</si>
  <si>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</si>
  <si>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</si>
  <si>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</si>
  <si>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</si>
  <si>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</si>
  <si>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</si>
  <si>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</si>
  <si>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</si>
  <si>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</si>
  <si>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</si>
  <si>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</si>
  <si>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</si>
  <si>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</si>
  <si>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</si>
  <si>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</si>
  <si>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</si>
  <si>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</si>
  <si>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</si>
  <si>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</si>
  <si>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</si>
  <si>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</si>
  <si>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</si>
  <si>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</si>
  <si>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</si>
  <si>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</si>
  <si>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</si>
  <si>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</si>
  <si>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</si>
  <si>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</si>
  <si>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</si>
  <si>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</si>
  <si>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</si>
  <si>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</si>
  <si>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</si>
  <si>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</si>
  <si>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</si>
  <si>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</si>
  <si>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</si>
  <si>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</si>
  <si>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</si>
  <si>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</si>
  <si>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</si>
  <si>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</si>
  <si>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</si>
  <si>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</si>
  <si>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</si>
  <si>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</si>
  <si>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</si>
  <si>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</si>
  <si>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</si>
  <si>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</si>
  <si>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</si>
  <si>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</si>
  <si>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</si>
  <si>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</si>
  <si>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</si>
  <si>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</si>
  <si>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</si>
  <si>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</si>
  <si>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</si>
  <si>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</si>
  <si>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</si>
  <si>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</si>
  <si>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</si>
  <si>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</si>
  <si>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</si>
  <si>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</si>
  <si>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</si>
  <si>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</si>
  <si>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</si>
  <si>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</si>
  <si>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</si>
  <si>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</si>
  <si>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</si>
  <si>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</si>
  <si>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</si>
  <si>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</si>
  <si>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</si>
  <si>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</si>
  <si>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</si>
  <si>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</si>
  <si>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</si>
  <si>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</si>
  <si>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</si>
  <si>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</si>
  <si>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</si>
  <si>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</si>
  <si>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</si>
  <si>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</si>
  <si>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</si>
  <si>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</si>
  <si>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</si>
  <si>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</si>
  <si>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</si>
  <si>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</si>
  <si>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</si>
  <si>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</si>
  <si>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</si>
  <si>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</si>
  <si>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</si>
  <si>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</si>
  <si>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</si>
  <si>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</si>
  <si>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</si>
  <si>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</si>
  <si>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</si>
  <si>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</si>
  <si>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</si>
  <si>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</si>
  <si>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</si>
  <si>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</si>
  <si>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</si>
  <si>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</si>
  <si>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</si>
  <si>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</si>
  <si>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</si>
  <si>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</si>
  <si>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</si>
  <si>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</si>
  <si>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</si>
  <si>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</si>
  <si>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</si>
  <si>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</si>
  <si>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</si>
  <si>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</si>
  <si>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</si>
  <si>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</si>
  <si>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</si>
  <si>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</si>
  <si>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</si>
  <si>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</si>
  <si>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</si>
  <si>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</si>
  <si>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</si>
  <si>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</si>
  <si>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</si>
  <si>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</si>
  <si>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</si>
  <si>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</si>
  <si>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</si>
  <si>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</si>
  <si>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</si>
  <si>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</si>
  <si>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</si>
  <si>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</si>
  <si>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</si>
  <si>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</si>
  <si>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</si>
  <si>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</si>
  <si>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</si>
  <si>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</si>
  <si>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</si>
  <si>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</si>
  <si>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</si>
  <si>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</si>
  <si>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</si>
  <si>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</si>
  <si>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</si>
  <si>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</si>
  <si>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</si>
  <si>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</si>
  <si>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</si>
  <si>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</si>
  <si>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</si>
  <si>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</si>
  <si>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</si>
  <si>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</si>
  <si>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</si>
  <si>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</si>
  <si>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</si>
  <si>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</si>
  <si>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</si>
  <si>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</si>
  <si>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</si>
  <si>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</si>
  <si>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</si>
  <si>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</si>
  <si>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</si>
  <si>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</si>
  <si>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</si>
  <si>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</si>
  <si>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</si>
  <si>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</si>
  <si>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</si>
  <si>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</si>
  <si>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</si>
  <si>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</si>
  <si>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</si>
  <si>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</si>
  <si>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</si>
  <si>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</si>
  <si>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</si>
  <si>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</si>
  <si>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</si>
  <si>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</si>
  <si>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</si>
  <si>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</si>
  <si>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</si>
  <si>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</si>
  <si>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</si>
  <si>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</si>
  <si>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</si>
  <si>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</si>
  <si>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</si>
  <si>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</si>
  <si>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</si>
  <si>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</si>
  <si>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</si>
  <si>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</si>
  <si>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</si>
  <si>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</si>
  <si>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</si>
  <si>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</si>
  <si>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</si>
  <si>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</si>
  <si>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</si>
  <si>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</si>
  <si>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</si>
  <si>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</si>
  <si>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</si>
  <si>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</si>
  <si>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</si>
  <si>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</si>
  <si>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</si>
  <si>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</si>
  <si>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</si>
  <si>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</si>
  <si>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</si>
  <si>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</si>
  <si>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</si>
  <si>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</si>
  <si>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</si>
  <si>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</si>
  <si>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</si>
  <si>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</si>
  <si>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</si>
  <si>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</si>
  <si>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</si>
  <si>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</si>
  <si>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</si>
  <si>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</si>
  <si>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</si>
  <si>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</si>
  <si>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</si>
  <si>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</si>
  <si>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</si>
  <si>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</si>
  <si>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</si>
  <si>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</si>
  <si>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</si>
  <si>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</si>
  <si>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</si>
  <si>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</si>
  <si>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</si>
  <si>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</si>
  <si>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</si>
  <si>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</si>
  <si>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</si>
  <si>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</si>
  <si>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</si>
  <si>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</si>
  <si>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</si>
  <si>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</si>
  <si>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</si>
  <si>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</si>
  <si>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</si>
  <si>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</si>
  <si>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</si>
  <si>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</si>
  <si>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</si>
  <si>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</si>
  <si>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</si>
  <si>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</si>
  <si>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</si>
  <si>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</si>
  <si>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</si>
  <si>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</si>
  <si>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</si>
  <si>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</si>
  <si>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</si>
  <si>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</si>
  <si>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</si>
  <si>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</si>
  <si>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</si>
  <si>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</si>
  <si>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</si>
  <si>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</si>
  <si>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</si>
  <si>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</si>
  <si>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</si>
  <si>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</si>
  <si>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</si>
  <si>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</si>
  <si>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</si>
  <si>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</si>
  <si>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</si>
  <si>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</si>
  <si>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</si>
  <si>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</si>
  <si>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</si>
  <si>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</si>
  <si>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</si>
  <si>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</si>
  <si>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</si>
  <si>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</si>
  <si>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</si>
  <si>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</si>
  <si>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</si>
  <si>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</si>
  <si>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</si>
  <si>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</si>
  <si>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</si>
  <si>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</si>
  <si>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</si>
  <si>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</si>
  <si>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</si>
  <si>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</si>
  <si>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</si>
  <si>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</si>
  <si>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</si>
  <si>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</si>
  <si>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</si>
  <si>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</si>
  <si>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</si>
  <si>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</si>
  <si>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</si>
  <si>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</si>
  <si>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</si>
  <si>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</si>
  <si>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</si>
  <si>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</si>
  <si>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</si>
  <si>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</si>
  <si>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</si>
  <si>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</si>
  <si>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</si>
  <si>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</si>
  <si>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</si>
  <si>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</si>
  <si>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</si>
  <si>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</si>
  <si>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</si>
  <si>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</si>
  <si>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</si>
  <si>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</si>
  <si>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</si>
  <si>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</si>
  <si>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</si>
  <si>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</si>
  <si>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</si>
  <si>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</si>
  <si>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</si>
  <si>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</si>
  <si>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</si>
  <si>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</si>
  <si>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</si>
  <si>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</si>
  <si>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</si>
  <si>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</si>
  <si>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</si>
  <si>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</si>
  <si>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</si>
  <si>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</si>
  <si>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</si>
  <si>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</si>
  <si>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</si>
  <si>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</si>
  <si>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</si>
  <si>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</si>
  <si>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</si>
  <si>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</si>
  <si>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</si>
  <si>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</si>
  <si>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</si>
  <si>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</si>
  <si>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</si>
  <si>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</si>
  <si>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</si>
  <si>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</si>
  <si>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</si>
  <si>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</si>
  <si>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</si>
  <si>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</si>
  <si>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</si>
  <si>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</si>
  <si>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</si>
  <si>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</si>
  <si>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</si>
  <si>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</si>
  <si>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</si>
  <si>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</si>
  <si>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</si>
  <si>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</si>
  <si>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</si>
  <si>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</si>
  <si>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</si>
  <si>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</si>
  <si>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</si>
  <si>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</si>
  <si>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</si>
  <si>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</si>
  <si>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</si>
  <si>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</si>
  <si>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</si>
  <si>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</si>
  <si>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</si>
  <si>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</si>
  <si>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</si>
  <si>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</si>
  <si>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</si>
  <si>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</si>
  <si>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</si>
  <si>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</si>
  <si>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</si>
  <si>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</si>
  <si>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</si>
  <si>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</si>
  <si>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</si>
  <si>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</si>
  <si>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</si>
  <si>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</si>
  <si>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</si>
  <si>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</si>
  <si>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</si>
  <si>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</si>
  <si>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</si>
  <si>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</si>
  <si>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</si>
  <si>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</si>
  <si>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</si>
  <si>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</si>
  <si>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</si>
  <si>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</si>
  <si>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</si>
  <si>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</si>
  <si>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</si>
  <si>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</si>
  <si>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</si>
  <si>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</si>
  <si>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</si>
  <si>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</si>
  <si>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</si>
  <si>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</si>
  <si>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</si>
  <si>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</si>
  <si>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</si>
  <si>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</si>
  <si>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</si>
  <si>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</si>
  <si>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</si>
  <si>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</si>
  <si>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</si>
  <si>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</si>
  <si>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</si>
  <si>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</si>
  <si>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</si>
  <si>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</si>
  <si>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</si>
  <si>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</si>
  <si>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</si>
  <si>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</si>
  <si>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</si>
  <si>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</si>
  <si>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</si>
  <si>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</si>
  <si>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</si>
  <si>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</si>
  <si>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</si>
  <si>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</si>
  <si>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</si>
  <si>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</si>
  <si>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</si>
  <si>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</si>
  <si>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</si>
  <si>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</si>
  <si>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</si>
  <si>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</si>
  <si>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</si>
  <si>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</si>
  <si>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</si>
  <si>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</si>
  <si>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</si>
  <si>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</si>
  <si>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</si>
  <si>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</si>
  <si>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</si>
  <si>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</si>
  <si>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</si>
  <si>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</si>
  <si>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</si>
  <si>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</si>
  <si>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</si>
  <si>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</si>
  <si>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</si>
  <si>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</si>
  <si>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</si>
  <si>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</si>
  <si>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</si>
  <si>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</si>
  <si>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</si>
  <si>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</si>
  <si>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</si>
  <si>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</si>
  <si>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</si>
  <si>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</si>
  <si>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</si>
  <si>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</si>
  <si>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</si>
  <si>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</si>
  <si>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</si>
  <si>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</si>
  <si>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</si>
  <si>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</si>
  <si>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</si>
  <si>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</si>
  <si>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</si>
  <si>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</si>
  <si>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</si>
  <si>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</si>
  <si>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</si>
  <si>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</si>
  <si>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</si>
  <si>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</si>
  <si>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</si>
  <si>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</si>
  <si>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</si>
  <si>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</si>
  <si>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</si>
  <si>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</si>
  <si>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</si>
  <si>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</si>
  <si>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</si>
  <si>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</si>
  <si>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</si>
  <si>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</si>
  <si>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</si>
  <si>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</si>
  <si>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</si>
  <si>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</si>
  <si>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</si>
  <si>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</si>
  <si>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</si>
  <si>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</si>
  <si>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</si>
  <si>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</si>
  <si>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</si>
  <si>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</si>
  <si>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</si>
  <si>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</si>
  <si>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</si>
  <si>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</si>
  <si>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</si>
  <si>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</si>
  <si>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</si>
  <si>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</si>
  <si>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</si>
  <si>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</si>
  <si>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</si>
  <si>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</si>
  <si>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</si>
  <si>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</si>
  <si>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</si>
  <si>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</si>
  <si>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</si>
  <si>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</si>
  <si>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</si>
  <si>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</si>
  <si>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</si>
  <si>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</si>
  <si>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</si>
  <si>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</si>
  <si>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</si>
  <si>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</si>
  <si>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</si>
  <si>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</si>
  <si>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</si>
  <si>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</si>
  <si>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</si>
  <si>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</si>
  <si>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</si>
  <si>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</si>
  <si>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</si>
  <si>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</si>
  <si>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</si>
  <si>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</si>
  <si>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</si>
  <si>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</si>
  <si>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</si>
  <si>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</si>
  <si>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</si>
  <si>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</si>
  <si>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</si>
  <si>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</si>
  <si>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</si>
  <si>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</si>
  <si>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</si>
  <si>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</si>
  <si>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</si>
  <si>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</si>
  <si>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</si>
  <si>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</si>
  <si>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</si>
  <si>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</si>
  <si>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</si>
  <si>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</si>
  <si>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</si>
  <si>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</si>
  <si>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</si>
  <si>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</si>
  <si>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</si>
  <si>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</si>
  <si>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</si>
  <si>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</si>
  <si>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</si>
  <si>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</si>
  <si>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</si>
  <si>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</si>
  <si>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</si>
  <si>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</si>
  <si>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</si>
  <si>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</si>
  <si>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</si>
  <si>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</si>
  <si>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</si>
  <si>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</si>
  <si>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</si>
  <si>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</si>
  <si>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</si>
  <si>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</si>
  <si>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</si>
  <si>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</si>
  <si>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</si>
  <si>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</si>
  <si>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</si>
  <si>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</si>
  <si>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</si>
  <si>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</si>
  <si>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</si>
  <si>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</si>
  <si>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</si>
  <si>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</si>
  <si>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</si>
  <si>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</si>
  <si>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</si>
  <si>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</si>
  <si>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</si>
  <si>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</si>
  <si>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</si>
  <si>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</si>
  <si>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</si>
  <si>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</si>
  <si>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</si>
  <si>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</si>
  <si>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</si>
  <si>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</si>
  <si>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</si>
  <si>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</si>
  <si>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</si>
  <si>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</si>
  <si>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</si>
  <si>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</si>
  <si>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</si>
  <si>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</si>
  <si>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</si>
  <si>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</si>
  <si>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</si>
  <si>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</si>
  <si>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</si>
  <si>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</si>
  <si>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</si>
  <si>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</si>
  <si>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</si>
  <si>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</si>
  <si>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</si>
  <si>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</si>
  <si>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</si>
  <si>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</si>
  <si>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</si>
  <si>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</si>
  <si>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</si>
  <si>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</si>
  <si>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</si>
  <si>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</si>
  <si>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</si>
  <si>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</si>
  <si>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</si>
  <si>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</si>
  <si>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</si>
  <si>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</si>
  <si>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</si>
  <si>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</si>
  <si>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</si>
  <si>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</si>
  <si>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</si>
  <si>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</si>
  <si>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</si>
  <si>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</si>
  <si>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</si>
  <si>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</si>
  <si>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</si>
  <si>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</si>
  <si>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</si>
  <si>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</si>
  <si>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</si>
  <si>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</si>
  <si>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</si>
  <si>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</si>
  <si>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</si>
  <si>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</si>
  <si>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</si>
  <si>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</si>
  <si>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</si>
  <si>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</si>
  <si>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</si>
  <si>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</si>
  <si>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</si>
  <si>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</si>
  <si>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</si>
  <si>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</si>
  <si>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</si>
  <si>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</si>
  <si>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</si>
  <si>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</si>
  <si>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</si>
  <si>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</si>
  <si>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</si>
  <si>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</si>
  <si>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</si>
  <si>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</si>
  <si>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</si>
  <si>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</si>
  <si>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</si>
  <si>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</si>
  <si>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</si>
  <si>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</si>
  <si>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</si>
  <si>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</si>
  <si>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</si>
  <si>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</si>
  <si>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</si>
  <si>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</si>
  <si>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</si>
  <si>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</si>
  <si>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</si>
  <si>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</si>
  <si>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</si>
  <si>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</si>
  <si>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</si>
  <si>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</si>
  <si>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</si>
  <si>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</si>
  <si>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</si>
  <si>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</si>
  <si>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</si>
  <si>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</si>
  <si>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</si>
  <si>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</si>
  <si>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</si>
  <si>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</si>
  <si>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</si>
  <si>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</si>
  <si>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</si>
  <si>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</si>
  <si>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</si>
  <si>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</si>
  <si>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</si>
  <si>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</si>
  <si>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</si>
  <si>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</si>
  <si>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</si>
  <si>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</si>
  <si>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</si>
  <si>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</si>
  <si>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</si>
  <si>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</si>
  <si>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</si>
  <si>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</si>
  <si>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</si>
  <si>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</si>
  <si>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</si>
  <si>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</si>
  <si>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</si>
  <si>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</si>
  <si>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</si>
  <si>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</si>
  <si>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</si>
  <si>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</si>
  <si>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</si>
  <si>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</si>
  <si>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</si>
  <si>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</si>
  <si>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</si>
  <si>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</si>
  <si>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</si>
  <si>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</si>
  <si>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</si>
  <si>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</si>
  <si>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</si>
  <si>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</si>
  <si>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</si>
  <si>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</si>
  <si>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</si>
  <si>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</si>
  <si>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</si>
  <si>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</si>
  <si>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</si>
  <si>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</si>
  <si>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</si>
  <si>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</si>
  <si>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</si>
  <si>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</si>
  <si>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</si>
  <si>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</si>
  <si>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</si>
  <si>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</si>
  <si>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</si>
  <si>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</si>
  <si>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</si>
  <si>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</si>
  <si>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</si>
  <si>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</si>
  <si>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</si>
  <si>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</si>
  <si>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</si>
  <si>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</si>
  <si>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</si>
  <si>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</si>
  <si>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</si>
  <si>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</si>
  <si>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</si>
  <si>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</si>
  <si>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</si>
  <si>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</si>
  <si>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</si>
  <si>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</si>
  <si>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</si>
  <si>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</si>
  <si>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</si>
  <si>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</si>
  <si>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</si>
  <si>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</si>
  <si>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</si>
  <si>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</si>
  <si>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</si>
  <si>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</si>
  <si>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</si>
  <si>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</si>
  <si>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</si>
  <si>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</si>
  <si>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</si>
  <si>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</si>
  <si>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</si>
  <si>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</si>
  <si>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</si>
  <si>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</si>
  <si>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</si>
  <si>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</si>
  <si>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</si>
  <si>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</si>
  <si>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</si>
  <si>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</si>
  <si>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</si>
  <si>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</si>
  <si>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</si>
  <si>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</si>
  <si>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</si>
  <si>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</si>
  <si>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</si>
  <si>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</si>
  <si>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</si>
  <si>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</si>
  <si>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</si>
  <si>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</si>
  <si>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</si>
  <si>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</si>
  <si>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</si>
  <si>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</si>
  <si>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</si>
  <si>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</si>
  <si>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</si>
  <si>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</si>
  <si>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</si>
  <si>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</si>
  <si>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</si>
  <si>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</si>
  <si>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</si>
  <si>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</si>
  <si>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</si>
  <si>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</si>
  <si>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</si>
  <si>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</si>
  <si>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</si>
  <si>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</si>
  <si>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</si>
  <si>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</si>
  <si>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</si>
  <si>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</si>
  <si>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</si>
  <si>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</si>
  <si>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</si>
  <si>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</si>
  <si>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</si>
  <si>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</si>
  <si>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</si>
  <si>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</si>
  <si>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</si>
  <si>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</si>
  <si>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</si>
  <si>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</si>
  <si>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</si>
  <si>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</si>
  <si>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</si>
  <si>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</si>
  <si>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</si>
  <si>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</si>
  <si>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</si>
  <si>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</si>
  <si>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</si>
  <si>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</si>
  <si>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</si>
  <si>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</si>
  <si>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</si>
  <si>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</si>
  <si>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</si>
  <si>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</si>
  <si>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</si>
  <si>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</si>
  <si>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</si>
  <si>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</si>
  <si>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</si>
  <si>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</si>
  <si>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</si>
  <si>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</si>
  <si>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</si>
  <si>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</si>
  <si>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</si>
  <si>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</si>
  <si>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</si>
  <si>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</si>
  <si>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</si>
  <si>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</si>
  <si>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</si>
  <si>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</si>
  <si>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</si>
  <si>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</si>
  <si>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</si>
  <si>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</si>
  <si>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</si>
  <si>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</si>
  <si>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</si>
  <si>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</si>
  <si>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</si>
  <si>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</si>
  <si>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</si>
  <si>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</si>
  <si>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</si>
  <si>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</si>
  <si>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</si>
  <si>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</si>
  <si>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</si>
  <si>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</si>
  <si>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</si>
  <si>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</si>
  <si>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</si>
  <si>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</si>
  <si>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</si>
  <si>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</si>
  <si>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</si>
  <si>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</si>
  <si>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</si>
  <si>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</si>
  <si>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</si>
  <si>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</si>
  <si>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</si>
  <si>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</si>
  <si>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</si>
  <si>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</si>
  <si>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</si>
  <si>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</si>
  <si>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</si>
  <si>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</si>
  <si>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</si>
  <si>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</si>
  <si>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</si>
  <si>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</si>
  <si>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</si>
  <si>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</si>
  <si>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</si>
  <si>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</si>
  <si>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</si>
  <si>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</si>
  <si>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</si>
  <si>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</si>
  <si>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</si>
  <si>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</si>
  <si>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</si>
  <si>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</si>
  <si>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</si>
  <si>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</si>
  <si>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</si>
  <si>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</si>
  <si>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</si>
  <si>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</si>
  <si>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</si>
  <si>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</si>
  <si>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</si>
  <si>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</si>
  <si>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</si>
  <si>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</si>
  <si>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</si>
  <si>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</si>
  <si>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</si>
  <si>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</si>
  <si>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</si>
  <si>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</si>
  <si>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</si>
  <si>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</si>
  <si>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</si>
  <si>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</si>
  <si>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</si>
  <si>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</si>
  <si>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</si>
  <si>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</si>
  <si>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</si>
  <si>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</si>
  <si>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</si>
  <si>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</si>
  <si>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</si>
  <si>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</si>
  <si>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</si>
  <si>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</si>
  <si>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</si>
  <si>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</si>
  <si>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</si>
  <si>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</si>
  <si>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</si>
  <si>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</si>
  <si>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</si>
  <si>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</si>
  <si>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</si>
  <si>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</si>
  <si>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</si>
  <si>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</si>
  <si>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</si>
  <si>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</si>
  <si>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</si>
  <si>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</si>
  <si>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</si>
  <si>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</si>
  <si>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</si>
  <si>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</si>
  <si>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</si>
  <si>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</si>
  <si>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</si>
  <si>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</si>
  <si>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</si>
  <si>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</si>
  <si>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</si>
  <si>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</si>
  <si>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</si>
  <si>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</si>
  <si>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</si>
  <si>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</si>
  <si>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</si>
  <si>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</si>
  <si>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</si>
  <si>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</si>
  <si>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</si>
  <si>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</si>
  <si>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</si>
  <si>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</si>
  <si>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</si>
  <si>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</si>
  <si>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</si>
  <si>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</si>
  <si>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</si>
  <si>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</si>
  <si>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</si>
  <si>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</si>
  <si>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</si>
  <si>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</si>
  <si>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</si>
  <si>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</si>
  <si>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</si>
  <si>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</si>
  <si>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</si>
  <si>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</si>
  <si>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</si>
  <si>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</si>
  <si>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</si>
  <si>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</si>
  <si>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</si>
  <si>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</si>
  <si>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</si>
  <si>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</si>
  <si>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</si>
  <si>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</si>
  <si>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</si>
  <si>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</si>
  <si>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</si>
  <si>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</si>
  <si>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</si>
  <si>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</si>
  <si>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</si>
  <si>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</si>
  <si>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</si>
  <si>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</si>
  <si>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</si>
  <si>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</si>
  <si>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</si>
  <si>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</si>
  <si>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</si>
  <si>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</si>
  <si>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</si>
  <si>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</si>
  <si>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</si>
  <si>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</si>
  <si>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</si>
  <si>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</si>
  <si>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</si>
  <si>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</si>
  <si>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</si>
  <si>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</si>
  <si>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</si>
  <si>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</si>
  <si>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</si>
  <si>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</si>
  <si>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</si>
  <si>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</si>
  <si>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</si>
  <si>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</si>
  <si>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</si>
  <si>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</si>
  <si>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</si>
  <si>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</si>
  <si>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</si>
  <si>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</si>
  <si>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</si>
  <si>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</si>
  <si>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</si>
  <si>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</si>
  <si>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</si>
  <si>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</si>
  <si>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</si>
  <si>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</si>
  <si>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</si>
  <si>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</si>
  <si>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</si>
  <si>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</si>
  <si>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</si>
  <si>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</si>
  <si>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</si>
  <si>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</si>
  <si>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</si>
  <si>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</si>
  <si>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</si>
  <si>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</si>
  <si>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</si>
  <si>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</si>
  <si>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</si>
  <si>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</si>
  <si>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</si>
  <si>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</si>
  <si>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</si>
  <si>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</si>
  <si>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</si>
  <si>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</si>
  <si>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</si>
  <si>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</si>
  <si>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</si>
  <si>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</si>
  <si>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</si>
  <si>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</si>
  <si>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</si>
  <si>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</si>
  <si>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</si>
  <si>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</si>
  <si>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</si>
  <si>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</si>
  <si>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</si>
  <si>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</si>
  <si>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</si>
  <si>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</si>
  <si>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</si>
  <si>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</si>
  <si>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</si>
  <si>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</si>
  <si>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</si>
  <si>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</si>
  <si>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</si>
  <si>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</si>
  <si>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</si>
  <si>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</si>
  <si>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</si>
  <si>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</si>
  <si>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</si>
  <si>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</si>
  <si>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</si>
  <si>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</si>
  <si>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</si>
  <si>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</si>
  <si>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</si>
  <si>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</si>
  <si>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</si>
  <si>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</si>
  <si>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</si>
  <si>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</si>
  <si>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</si>
  <si>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</si>
  <si>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</si>
  <si>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</si>
  <si>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</si>
  <si>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</si>
  <si>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</si>
  <si>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</si>
  <si>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</si>
  <si>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</si>
  <si>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</si>
  <si>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</si>
  <si>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</si>
  <si>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</si>
  <si>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</si>
  <si>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</si>
  <si>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</si>
  <si>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</si>
  <si>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</si>
  <si>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</si>
  <si>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</si>
  <si>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</si>
  <si>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</si>
  <si>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</si>
  <si>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</si>
  <si>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</si>
  <si>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</si>
  <si>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</si>
  <si>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</si>
  <si>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</si>
  <si>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</si>
  <si>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</si>
  <si>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</si>
  <si>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</si>
  <si>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</si>
  <si>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</si>
  <si>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</si>
  <si>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</si>
  <si>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</si>
  <si>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</si>
  <si>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</si>
  <si>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</si>
  <si>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</si>
  <si>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</si>
  <si>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</si>
  <si>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</si>
  <si>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</si>
  <si>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</si>
  <si>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</si>
  <si>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</si>
  <si>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</si>
  <si>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</si>
  <si>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</si>
  <si>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</si>
  <si>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</si>
  <si>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</si>
  <si>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</si>
  <si>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</si>
  <si>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</si>
  <si>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</si>
  <si>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</si>
  <si>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</si>
  <si>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</si>
  <si>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</si>
  <si>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</si>
  <si>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</si>
  <si>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</si>
  <si>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</si>
  <si>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</si>
  <si>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</si>
  <si>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</si>
  <si>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</si>
  <si>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</si>
  <si>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</si>
  <si>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</si>
  <si>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</si>
  <si>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</si>
  <si>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</si>
  <si>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</si>
  <si>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</si>
  <si>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</si>
  <si>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</si>
  <si>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</si>
  <si>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</si>
  <si>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</si>
  <si>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</si>
  <si>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</si>
  <si>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</si>
  <si>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</si>
  <si>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</si>
  <si>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</si>
  <si>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</si>
  <si>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</si>
  <si>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</si>
  <si>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</si>
  <si>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</si>
  <si>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</si>
  <si>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</si>
  <si>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</si>
  <si>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</si>
  <si>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</si>
  <si>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</si>
  <si>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</si>
  <si>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</si>
  <si>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</si>
  <si>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</si>
  <si>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</si>
  <si>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</si>
  <si>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</si>
  <si>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</si>
  <si>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</si>
  <si>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</si>
  <si>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</si>
  <si>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</si>
  <si>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</si>
  <si>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</si>
  <si>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</si>
  <si>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</si>
  <si>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</si>
  <si>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</si>
  <si>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</si>
  <si>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</si>
  <si>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</si>
  <si>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</si>
  <si>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</si>
  <si>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</si>
  <si>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</si>
  <si>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</si>
  <si>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</si>
  <si>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</si>
  <si>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</si>
  <si>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</si>
  <si>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</si>
  <si>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</si>
  <si>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</si>
  <si>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</si>
  <si>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</si>
  <si>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</si>
  <si>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</si>
  <si>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</si>
  <si>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</si>
  <si>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</si>
  <si>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</si>
  <si>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</si>
  <si>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</si>
  <si>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</si>
  <si>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</si>
  <si>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</si>
  <si>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</si>
  <si>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</si>
  <si>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</si>
  <si>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</si>
  <si>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</si>
  <si>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</si>
  <si>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</si>
  <si>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</si>
  <si>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</si>
  <si>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</si>
  <si>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</si>
  <si>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</si>
  <si>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</si>
  <si>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</si>
  <si>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</si>
  <si>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</si>
  <si>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</si>
  <si>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</si>
  <si>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</si>
  <si>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</si>
  <si>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</si>
  <si>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</si>
  <si>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</si>
  <si>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</si>
  <si>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</si>
  <si>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</si>
  <si>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</si>
  <si>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</si>
  <si>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</si>
  <si>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</si>
  <si>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</si>
  <si>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</si>
  <si>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</si>
  <si>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</si>
  <si>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</si>
  <si>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</si>
  <si>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</si>
  <si>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</si>
  <si>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</si>
  <si>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</si>
  <si>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</si>
  <si>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</si>
  <si>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</si>
  <si>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</si>
  <si>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</si>
  <si>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</si>
  <si>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</si>
  <si>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</si>
  <si>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</si>
  <si>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</si>
  <si>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</si>
  <si>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</si>
  <si>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</si>
  <si>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</si>
  <si>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</si>
  <si>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</si>
  <si>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</si>
  <si>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</si>
  <si>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</si>
  <si>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</si>
  <si>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</si>
  <si>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</si>
  <si>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</si>
  <si>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</si>
  <si>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</si>
  <si>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</si>
  <si>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</si>
  <si>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</si>
  <si>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</si>
  <si>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</si>
  <si>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</si>
  <si>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</si>
  <si>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</si>
  <si>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</si>
  <si>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</si>
  <si>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</si>
  <si>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</si>
  <si>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</si>
  <si>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</si>
  <si>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</si>
  <si>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</si>
  <si>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</si>
  <si>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</si>
  <si>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</si>
  <si>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</si>
  <si>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</si>
  <si>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</si>
  <si>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</si>
  <si>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</si>
  <si>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</si>
  <si>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</si>
  <si>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</si>
  <si>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</si>
  <si>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</si>
  <si>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</si>
  <si>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</si>
  <si>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</si>
  <si>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</si>
  <si>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</si>
  <si>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</si>
  <si>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</si>
  <si>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</si>
  <si>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</si>
  <si>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</si>
  <si>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</si>
  <si>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</si>
  <si>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</si>
  <si>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</si>
  <si>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</si>
  <si>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</si>
  <si>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</si>
  <si>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</si>
  <si>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</si>
  <si>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</si>
  <si>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</si>
  <si>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</si>
  <si>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</si>
  <si>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</si>
  <si>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</si>
  <si>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</si>
  <si>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</si>
  <si>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</si>
  <si>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</si>
  <si>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</si>
  <si>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</si>
  <si>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</si>
  <si>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</si>
  <si>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</si>
  <si>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</si>
  <si>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</si>
  <si>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</si>
  <si>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</si>
  <si>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</si>
  <si>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</si>
  <si>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</si>
  <si>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</si>
  <si>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</si>
  <si>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</si>
  <si>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</si>
  <si>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</si>
  <si>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</si>
  <si>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</si>
  <si>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</si>
  <si>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</si>
  <si>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</si>
  <si>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</si>
  <si>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</si>
  <si>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</si>
  <si>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</si>
  <si>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</si>
  <si>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</si>
  <si>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</si>
  <si>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</si>
  <si>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</si>
  <si>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</si>
  <si>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</si>
  <si>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</si>
  <si>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</si>
  <si>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</si>
  <si>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</si>
  <si>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</si>
  <si>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</si>
  <si>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</si>
  <si>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</si>
  <si>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</si>
  <si>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</si>
  <si>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</si>
  <si>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</si>
  <si>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</si>
  <si>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</si>
  <si>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</si>
  <si>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</si>
  <si>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</si>
  <si>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</si>
  <si>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</si>
  <si>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</si>
  <si>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</si>
  <si>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</si>
  <si>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</si>
  <si>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</si>
  <si>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</si>
  <si>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</si>
  <si>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</si>
  <si>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</si>
  <si>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</si>
  <si>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</si>
  <si>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</si>
  <si>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</si>
  <si>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</si>
  <si>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</si>
  <si>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</si>
  <si>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</si>
  <si>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</si>
  <si>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</si>
  <si>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</si>
  <si>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</si>
  <si>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</si>
  <si>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</si>
  <si>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</si>
  <si>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</si>
  <si>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</si>
  <si>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</si>
  <si>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</si>
  <si>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</si>
  <si>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</si>
  <si>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</si>
  <si>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</si>
  <si>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</si>
  <si>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</si>
  <si>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</si>
  <si>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</si>
  <si>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</si>
  <si>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</si>
  <si>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</si>
  <si>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</si>
  <si>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</si>
  <si>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</si>
  <si>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</si>
  <si>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</si>
  <si>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</si>
  <si>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</si>
  <si>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</si>
  <si>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</si>
  <si>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</si>
  <si>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</si>
  <si>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</si>
  <si>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</si>
  <si>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</si>
  <si>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</si>
  <si>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</si>
  <si>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</si>
  <si>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</si>
  <si>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</si>
  <si>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</si>
  <si>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</si>
  <si>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</si>
  <si>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</si>
  <si>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</si>
  <si>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</si>
  <si>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</si>
  <si>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</si>
  <si>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</si>
  <si>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</si>
  <si>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</si>
  <si>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</si>
  <si>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</si>
  <si>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</si>
  <si>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</si>
  <si>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</si>
  <si>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</si>
  <si>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</si>
  <si>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</si>
  <si>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</si>
  <si>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</si>
  <si>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</si>
  <si>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</si>
  <si>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</si>
  <si>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</si>
  <si>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</si>
  <si>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</si>
  <si>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</si>
  <si>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</si>
  <si>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</si>
  <si>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</si>
  <si>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</si>
  <si>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</si>
  <si>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</si>
  <si>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</si>
  <si>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</si>
  <si>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</si>
  <si>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</si>
  <si>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</si>
  <si>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</si>
  <si>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</si>
  <si>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</si>
  <si>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</si>
  <si>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</si>
  <si>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</si>
  <si>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</si>
  <si>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</si>
  <si>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</si>
  <si>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</si>
  <si>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</si>
  <si>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</si>
  <si>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</si>
  <si>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</si>
  <si>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</si>
  <si>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</si>
  <si>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</si>
  <si>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</si>
  <si>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</si>
  <si>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</si>
  <si>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</si>
  <si>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</si>
  <si>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</si>
  <si>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</si>
  <si>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</si>
  <si>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</si>
  <si>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</si>
  <si>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</si>
  <si>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</si>
  <si>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</si>
  <si>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</si>
  <si>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</si>
  <si>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</si>
  <si>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</si>
  <si>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</si>
  <si>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</si>
  <si>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</si>
  <si>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</si>
  <si>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</si>
  <si>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</si>
  <si>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</si>
  <si>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</si>
  <si>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</si>
  <si>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</si>
  <si>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</si>
  <si>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</si>
  <si>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</si>
  <si>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</si>
  <si>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</si>
  <si>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</si>
  <si>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</si>
  <si>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</si>
  <si>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</si>
  <si>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</si>
  <si>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</si>
  <si>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</si>
  <si>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</si>
  <si>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</si>
  <si>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</si>
  <si>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</si>
  <si>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</si>
  <si>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</si>
  <si>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</si>
  <si>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</si>
  <si>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</si>
  <si>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</si>
  <si>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</si>
  <si>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</si>
  <si>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</si>
  <si>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</si>
  <si>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</si>
  <si>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</si>
  <si>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</si>
  <si>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</si>
  <si>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</si>
  <si>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</si>
  <si>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</si>
  <si>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</si>
  <si>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</si>
  <si>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</si>
  <si>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</si>
  <si>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</si>
  <si>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</si>
  <si>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</si>
  <si>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</si>
  <si>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</si>
  <si>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</si>
  <si>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</si>
  <si>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</si>
  <si>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</si>
  <si>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</si>
  <si>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</si>
  <si>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</si>
  <si>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</si>
  <si>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</si>
  <si>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</si>
  <si>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</si>
  <si>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</si>
  <si>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</si>
  <si>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</si>
  <si>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</si>
  <si>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</si>
  <si>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</si>
  <si>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</si>
  <si>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</si>
  <si>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</si>
  <si>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</si>
  <si>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</si>
  <si>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</si>
  <si>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</si>
  <si>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</si>
  <si>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</si>
  <si>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</si>
  <si>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</si>
  <si>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</si>
  <si>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</si>
  <si>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</si>
  <si>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</si>
  <si>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</si>
  <si>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</si>
  <si>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</si>
  <si>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</si>
  <si>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</si>
  <si>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</si>
  <si>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</si>
  <si>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</si>
  <si>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</si>
  <si>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</si>
  <si>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</si>
  <si>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</si>
  <si>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</si>
  <si>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</si>
  <si>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</si>
  <si>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</si>
  <si>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</si>
  <si>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</si>
  <si>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</si>
  <si>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</si>
  <si>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</si>
  <si>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</si>
  <si>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</si>
  <si>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</si>
  <si>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</si>
  <si>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</si>
  <si>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</si>
  <si>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</si>
  <si>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</si>
  <si>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</si>
  <si>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</si>
  <si>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</si>
  <si>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</si>
  <si>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</si>
  <si>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</si>
  <si>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</si>
  <si>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</si>
  <si>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</si>
  <si>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</si>
  <si>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</si>
  <si>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</si>
  <si>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</si>
  <si>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</si>
  <si>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</si>
  <si>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</si>
  <si>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</si>
  <si>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</si>
  <si>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</si>
  <si>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</si>
  <si>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</si>
  <si>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</si>
  <si>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</si>
  <si>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</si>
  <si>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</si>
  <si>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</si>
  <si>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</si>
  <si>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</si>
  <si>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</si>
  <si>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</si>
  <si>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</si>
  <si>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</si>
  <si>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</si>
  <si>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</si>
  <si>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</si>
  <si>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</si>
  <si>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</si>
  <si>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</si>
  <si>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</si>
  <si>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</si>
  <si>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</si>
  <si>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</si>
  <si>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</si>
  <si>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</si>
  <si>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</si>
  <si>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</si>
  <si>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</si>
  <si>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</si>
  <si>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</si>
  <si>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</si>
  <si>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</si>
  <si>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</si>
  <si>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</si>
  <si>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</si>
  <si>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</si>
  <si>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</si>
  <si>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</si>
  <si>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</si>
  <si>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</si>
  <si>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</si>
  <si>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</si>
  <si>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</si>
  <si>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</si>
  <si>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</si>
  <si>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</si>
  <si>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</si>
  <si>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</si>
  <si>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</si>
  <si>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</si>
  <si>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</si>
  <si>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</si>
  <si>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</si>
  <si>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</si>
  <si>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</si>
  <si>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</si>
  <si>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</si>
  <si>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</si>
  <si>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</si>
  <si>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</si>
  <si>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</si>
  <si>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</si>
  <si>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</si>
  <si>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</si>
  <si>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</si>
  <si>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</si>
  <si>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</si>
  <si>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</si>
  <si>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</si>
  <si>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</si>
  <si>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</si>
  <si>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</si>
  <si>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</si>
  <si>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</si>
  <si>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</si>
  <si>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</si>
  <si>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</si>
  <si>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</si>
  <si>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</si>
  <si>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</si>
  <si>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</si>
  <si>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</si>
  <si>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</si>
  <si>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</si>
  <si>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</si>
  <si>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</si>
  <si>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</si>
  <si>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</si>
  <si>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</si>
  <si>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</si>
  <si>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</si>
  <si>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</si>
  <si>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</si>
  <si>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</si>
  <si>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</si>
  <si>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</si>
  <si>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</si>
  <si>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</si>
  <si>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</si>
  <si>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</si>
  <si>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</si>
  <si>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</si>
  <si>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</si>
  <si>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</si>
  <si>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</si>
  <si>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</si>
  <si>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</si>
  <si>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</si>
  <si>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</si>
  <si>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</si>
  <si>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</si>
  <si>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</si>
  <si>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</si>
  <si>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</si>
  <si>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</si>
  <si>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</si>
  <si>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</si>
  <si>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</si>
  <si>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</si>
  <si>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</si>
  <si>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</si>
  <si>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</si>
  <si>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</si>
  <si>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</si>
  <si>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</si>
  <si>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</si>
  <si>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</si>
  <si>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</si>
  <si>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</si>
  <si>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</si>
  <si>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</si>
  <si>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</si>
  <si>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</si>
  <si>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</si>
  <si>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</si>
  <si>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</si>
  <si>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</si>
  <si>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</si>
  <si>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</si>
  <si>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</si>
  <si>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</si>
  <si>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</si>
  <si>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</si>
  <si>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</si>
  <si>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</si>
  <si>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</si>
  <si>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</si>
  <si>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</si>
  <si>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</si>
  <si>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</si>
  <si>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</si>
  <si>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</si>
  <si>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</si>
  <si>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</si>
  <si>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</si>
  <si>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</si>
  <si>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</si>
  <si>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</si>
  <si>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</si>
  <si>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</si>
  <si>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</si>
  <si>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</si>
  <si>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</si>
  <si>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</si>
  <si>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</si>
  <si>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</si>
  <si>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</si>
  <si>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</si>
  <si>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</si>
  <si>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</si>
  <si>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</si>
  <si>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</si>
  <si>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</si>
  <si>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</si>
  <si>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</si>
  <si>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</si>
  <si>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</si>
  <si>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</si>
  <si>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</si>
  <si>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</si>
  <si>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</si>
  <si>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</si>
  <si>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</si>
  <si>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</si>
  <si>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</si>
  <si>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</si>
  <si>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</si>
  <si>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</si>
  <si>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</si>
  <si>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</si>
  <si>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</si>
  <si>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</si>
  <si>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</si>
  <si>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</si>
  <si>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</si>
  <si>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</si>
  <si>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</si>
  <si>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</si>
  <si>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</si>
  <si>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</si>
  <si>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</si>
  <si>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</si>
  <si>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</si>
  <si>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</si>
  <si>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</si>
  <si>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</si>
  <si>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</si>
  <si>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</si>
  <si>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</si>
  <si>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</si>
  <si>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</si>
  <si>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</si>
  <si>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</si>
  <si>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</si>
  <si>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</si>
  <si>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</si>
  <si>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</si>
  <si>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</si>
  <si>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</si>
  <si>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</si>
  <si>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</si>
  <si>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</si>
  <si>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</si>
  <si>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</si>
  <si>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</si>
  <si>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</si>
  <si>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</si>
  <si>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</si>
  <si>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</si>
  <si>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</si>
  <si>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</si>
  <si>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</si>
  <si>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</si>
  <si>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</si>
  <si>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</si>
  <si>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</si>
  <si>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</si>
  <si>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</si>
  <si>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</si>
  <si>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</si>
  <si>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</si>
  <si>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</si>
  <si>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</si>
  <si>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</si>
  <si>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</si>
  <si>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</si>
  <si>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</si>
  <si>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</si>
  <si>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</si>
  <si>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</si>
  <si>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</si>
  <si>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</si>
  <si>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</si>
  <si>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</si>
  <si>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</si>
  <si>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</si>
  <si>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</si>
  <si>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</si>
  <si>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</si>
  <si>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</si>
  <si>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</si>
  <si>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</si>
  <si>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</si>
  <si>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</si>
  <si>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</si>
  <si>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</si>
  <si>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</si>
  <si>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</si>
  <si>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</si>
  <si>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</si>
  <si>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</si>
  <si>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</si>
  <si>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</si>
  <si>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</si>
  <si>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</si>
  <si>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</si>
  <si>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</si>
  <si>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</si>
  <si>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</si>
  <si>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</si>
  <si>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</si>
  <si>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</si>
  <si>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</si>
  <si>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</si>
  <si>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</si>
  <si>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</si>
  <si>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</si>
  <si>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</si>
  <si>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</si>
  <si>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</si>
  <si>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</si>
  <si>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</si>
  <si>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</si>
  <si>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</si>
  <si>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</si>
  <si>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</si>
  <si>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</si>
  <si>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</si>
  <si>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</si>
  <si>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</si>
  <si>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</si>
  <si>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</si>
  <si>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</si>
  <si>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</si>
  <si>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</si>
  <si>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</si>
  <si>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</si>
  <si>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</si>
  <si>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</si>
  <si>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</si>
  <si>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</si>
  <si>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</si>
  <si>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</si>
  <si>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</si>
  <si>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</si>
  <si>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</si>
  <si>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</si>
  <si>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</si>
  <si>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</si>
  <si>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</si>
  <si>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</si>
  <si>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</si>
  <si>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</si>
  <si>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</si>
  <si>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</si>
  <si>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</si>
  <si>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</si>
  <si>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</si>
  <si>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</si>
  <si>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</si>
  <si>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</si>
  <si>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</si>
  <si>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</si>
  <si>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</si>
  <si>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</si>
  <si>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</si>
  <si>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</si>
  <si>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</si>
  <si>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</si>
  <si>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</si>
  <si>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</si>
  <si>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</si>
  <si>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</si>
  <si>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</si>
  <si>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</si>
  <si>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</si>
  <si>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</si>
  <si>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</si>
  <si>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</si>
  <si>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</si>
  <si>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</si>
  <si>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</si>
  <si>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</si>
  <si>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</si>
  <si>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</si>
  <si>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</si>
  <si>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</si>
  <si>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</si>
  <si>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</si>
  <si>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</si>
  <si>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</si>
  <si>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</si>
  <si>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</si>
  <si>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</si>
  <si>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</si>
  <si>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</si>
  <si>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</si>
  <si>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</si>
  <si>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</si>
  <si>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</si>
  <si>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</si>
  <si>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</si>
  <si>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</si>
  <si>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</si>
  <si>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</si>
  <si>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</si>
  <si>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</si>
  <si>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</si>
  <si>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</si>
  <si>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</si>
  <si>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</si>
  <si>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</si>
  <si>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</si>
  <si>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</si>
  <si>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</si>
  <si>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</si>
  <si>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</si>
  <si>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</si>
  <si>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</si>
  <si>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</si>
  <si>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</si>
  <si>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</si>
  <si>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</si>
  <si>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</si>
  <si>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</si>
  <si>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</si>
  <si>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</si>
  <si>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</si>
  <si>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</si>
  <si>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</si>
  <si>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</si>
  <si>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</si>
  <si>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</si>
  <si>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</si>
  <si>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</si>
  <si>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</si>
  <si>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</si>
  <si>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</si>
  <si>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</si>
  <si>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</si>
  <si>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</si>
  <si>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</si>
  <si>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</si>
  <si>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</si>
  <si>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</si>
  <si>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</si>
  <si>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</si>
  <si>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</si>
  <si>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</si>
  <si>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</si>
  <si>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</si>
  <si>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</si>
  <si>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</si>
  <si>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</si>
  <si>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</si>
  <si>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</si>
  <si>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</si>
  <si>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</si>
  <si>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</si>
  <si>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</si>
  <si>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</si>
  <si>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</si>
  <si>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</si>
  <si>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</si>
  <si>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</si>
  <si>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</si>
  <si>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</si>
  <si>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</si>
  <si>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</si>
  <si>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</si>
  <si>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</si>
  <si>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</si>
  <si>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</si>
  <si>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</si>
  <si>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</si>
  <si>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</si>
  <si>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</si>
  <si>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</si>
  <si>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</si>
  <si>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</si>
  <si>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</si>
  <si>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</si>
  <si>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</si>
  <si>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</si>
  <si>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</si>
  <si>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</si>
  <si>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</si>
  <si>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</si>
  <si>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</si>
  <si>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</si>
  <si>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</si>
  <si>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</si>
  <si>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</si>
  <si>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</si>
  <si>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</si>
  <si>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</si>
  <si>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</si>
  <si>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</si>
  <si>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</si>
  <si>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</si>
  <si>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</si>
  <si>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</si>
  <si>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</si>
  <si>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</si>
  <si>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</si>
  <si>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</si>
  <si>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</si>
  <si>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</si>
  <si>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</si>
  <si>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</si>
  <si>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</si>
  <si>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</si>
  <si>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</si>
  <si>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</si>
  <si>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</si>
  <si>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</si>
  <si>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</si>
  <si>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</si>
  <si>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</si>
  <si>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</si>
  <si>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</si>
  <si>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</si>
  <si>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</si>
  <si>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</si>
  <si>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</si>
  <si>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</si>
  <si>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</si>
  <si>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</si>
  <si>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</si>
  <si>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</si>
  <si>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</si>
  <si>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</si>
  <si>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</si>
  <si>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</si>
  <si>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</si>
  <si>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</si>
  <si>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</si>
  <si>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</si>
  <si>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</si>
  <si>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</si>
  <si>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</si>
  <si>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</si>
  <si>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</si>
  <si>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</si>
  <si>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</si>
  <si>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</si>
  <si>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</si>
  <si>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</si>
  <si>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</si>
  <si>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</si>
  <si>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</si>
  <si>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</si>
  <si>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</si>
  <si>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</si>
  <si>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</si>
  <si>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</si>
  <si>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</si>
  <si>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</si>
  <si>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</si>
  <si>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</si>
  <si>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</si>
  <si>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</si>
  <si>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</si>
  <si>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</si>
  <si>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</si>
  <si>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</si>
  <si>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</si>
  <si>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</si>
  <si>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</si>
  <si>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</si>
  <si>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</si>
  <si>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</si>
  <si>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</si>
  <si>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</si>
  <si>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</si>
  <si>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</si>
  <si>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</si>
  <si>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</si>
  <si>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</si>
  <si>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</si>
  <si>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</si>
  <si>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</si>
  <si>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</si>
  <si>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</si>
  <si>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</si>
  <si>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</si>
  <si>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</si>
  <si>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</si>
  <si>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</si>
  <si>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</si>
  <si>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</si>
  <si>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</si>
  <si>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</si>
  <si>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</si>
  <si>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</si>
  <si>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</si>
  <si>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</si>
  <si>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</si>
  <si>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</si>
  <si>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</si>
  <si>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</si>
  <si>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</si>
  <si>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</si>
  <si>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</si>
  <si>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</si>
  <si>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</si>
  <si>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Hiler I LP</t>
  </si>
  <si>
    <t>Green Phase</t>
  </si>
  <si>
    <t>City of Eureka</t>
  </si>
  <si>
    <t>Miles Slattery</t>
  </si>
  <si>
    <t>531 K Street</t>
  </si>
  <si>
    <t>Eureka</t>
  </si>
  <si>
    <t>707-441-4184</t>
  </si>
  <si>
    <t>mslattery@ci.eureka.ca.gov</t>
  </si>
  <si>
    <t>3230 Hiler Street, Eureka, CA 95503</t>
  </si>
  <si>
    <t>40%/60%</t>
  </si>
  <si>
    <t>735 W Everding Street</t>
  </si>
  <si>
    <t>CA</t>
  </si>
  <si>
    <t>Cheryl Churchill</t>
  </si>
  <si>
    <t>707-443-4583</t>
  </si>
  <si>
    <t>cherylc@eurekahumboldtha.org</t>
  </si>
  <si>
    <t>Eureka Housing Development Corporation</t>
  </si>
  <si>
    <t>Hiler I MGP LLC</t>
  </si>
  <si>
    <t>Managing GP</t>
  </si>
  <si>
    <t>Hiler I AGP LLC</t>
  </si>
  <si>
    <t>1603 Orrington Avenue, Suite 450</t>
  </si>
  <si>
    <t>Evanston</t>
  </si>
  <si>
    <t>Karly Brinla</t>
  </si>
  <si>
    <t>847-363-5202</t>
  </si>
  <si>
    <t>kbrinla@brinshore.com</t>
  </si>
  <si>
    <t>Brinshore Development, L.L.C.</t>
  </si>
  <si>
    <t>IL</t>
  </si>
  <si>
    <t>Administrative GP</t>
  </si>
  <si>
    <t>Brinshore Development, L.L.C. &amp; Operative Office, Inc.</t>
  </si>
  <si>
    <t>1603 Orrington Avenue &amp; 4801 Frieda Drive</t>
  </si>
  <si>
    <t>Evanston &amp; Los Angeles</t>
  </si>
  <si>
    <t>Karly Brinla &amp; Emily Ware</t>
  </si>
  <si>
    <t>847-363-5202 &amp; 626-696-9924</t>
  </si>
  <si>
    <t>kbrinla@brinshore.com &amp; emily@operativeoffice.com</t>
  </si>
  <si>
    <t>Sole Member Administrative General Partner &amp; Consultant of Hiler I LP</t>
  </si>
  <si>
    <t>IL &amp; CA</t>
  </si>
  <si>
    <t>60201 &amp; 90065</t>
  </si>
  <si>
    <t>Eureka, CA 95503</t>
  </si>
  <si>
    <t>Operative Office, Inc.</t>
  </si>
  <si>
    <t>4801 Frieda Drive</t>
  </si>
  <si>
    <t>Los Angeles, CA 90065</t>
  </si>
  <si>
    <t>Michael den Hartog</t>
  </si>
  <si>
    <t>209-224-7412</t>
  </si>
  <si>
    <t>michael@operativeoffice.com</t>
  </si>
  <si>
    <t>Katten Muchin Rosenman LLP</t>
  </si>
  <si>
    <t>525 W. Monroe Street</t>
  </si>
  <si>
    <t>Chicago, IL 60661</t>
  </si>
  <si>
    <t>312-902-5284</t>
  </si>
  <si>
    <t>david.cohen@katten.com</t>
  </si>
  <si>
    <t>Pacific Builders</t>
  </si>
  <si>
    <t>880 L Street</t>
  </si>
  <si>
    <t>Arcata, CA 95521</t>
  </si>
  <si>
    <t>Nick Lucchesi</t>
  </si>
  <si>
    <t>707-822-7720</t>
  </si>
  <si>
    <t>nick@pacificbuilders-arcata.com</t>
  </si>
  <si>
    <t>Dauby O’Connor &amp; Zaleski, LLC</t>
  </si>
  <si>
    <t>501 Congressional Boulevard</t>
  </si>
  <si>
    <t>Carmel, IN 46032</t>
  </si>
  <si>
    <t>Matt Catlin</t>
  </si>
  <si>
    <t>765-427-4532</t>
  </si>
  <si>
    <t>mcatlin@dozllc.com</t>
  </si>
  <si>
    <t>Partner Engineering</t>
  </si>
  <si>
    <t>2154 Torrance Boulevard</t>
  </si>
  <si>
    <t>Torrance, CA 90501</t>
  </si>
  <si>
    <t>Lance Collins</t>
  </si>
  <si>
    <t>310-356-2193</t>
  </si>
  <si>
    <t>lcollins@ptrenergy,com</t>
  </si>
  <si>
    <t>R4 Capital</t>
  </si>
  <si>
    <t>895 Dove Street</t>
  </si>
  <si>
    <t>Newport Beach, CA</t>
  </si>
  <si>
    <t>Cory Bannister</t>
  </si>
  <si>
    <t>602-793-2256</t>
  </si>
  <si>
    <t>cbannister@r4cap.com</t>
  </si>
  <si>
    <t>Kinetic Valuation Group</t>
  </si>
  <si>
    <t>3901 S 147th Street, Suite 144</t>
  </si>
  <si>
    <t>Omaha, NE 68144</t>
  </si>
  <si>
    <t>Jay A. Wortmann</t>
  </si>
  <si>
    <t>402-202-0771</t>
  </si>
  <si>
    <t>jay@kvgteam.com</t>
  </si>
  <si>
    <t>Gill Group</t>
  </si>
  <si>
    <t>2100 Gill Plaza Drive, Suite B</t>
  </si>
  <si>
    <t>Dexter, MO 63841</t>
  </si>
  <si>
    <t>Amy Earnheart</t>
  </si>
  <si>
    <t>800-428-3320</t>
  </si>
  <si>
    <t>amy.earnheart@gillgroup.com</t>
  </si>
  <si>
    <t>Housing Authority of the City of Eureka</t>
  </si>
  <si>
    <t>512 N One Mile Road</t>
  </si>
  <si>
    <t>Patrick Crawford</t>
  </si>
  <si>
    <t>patrick.crawford@gillgroup.com</t>
  </si>
  <si>
    <t>Appraisal</t>
  </si>
  <si>
    <t>Executive Director</t>
  </si>
  <si>
    <t>735 W Everding Street, Eureka CA 95503</t>
  </si>
  <si>
    <t xml:space="preserve">Provided </t>
  </si>
  <si>
    <t>Provided</t>
  </si>
  <si>
    <t>Not Applicable</t>
  </si>
  <si>
    <t>Need to Provide</t>
  </si>
  <si>
    <t>Communication Feature Units</t>
  </si>
  <si>
    <t>R-2 MEDIUM DENSITY RESIDENTIAL</t>
  </si>
  <si>
    <t>Maximum 35 feet</t>
  </si>
  <si>
    <t>None required for 100% affordable housing projects</t>
  </si>
  <si>
    <t>Infill Infrastructure Grant ("IIG")</t>
  </si>
  <si>
    <t xml:space="preserve">Fixed </t>
  </si>
  <si>
    <t>R4 Capital  Federal LIHTC Equity</t>
  </si>
  <si>
    <t>HCD Infill Infrastructure Grant ("IIG")</t>
  </si>
  <si>
    <t>780 Third Avenue, 16th Floor</t>
  </si>
  <si>
    <t>New York, NY</t>
  </si>
  <si>
    <t>James D. Spound</t>
  </si>
  <si>
    <t>646-844-0935</t>
  </si>
  <si>
    <t>Newport Beach</t>
  </si>
  <si>
    <t>SOFR</t>
  </si>
  <si>
    <t>Federal LIHTC Equity</t>
  </si>
  <si>
    <t>2020 West El Camino Avenue</t>
  </si>
  <si>
    <t>Gustavo Velsquez</t>
  </si>
  <si>
    <t>800-952-8356</t>
  </si>
  <si>
    <t>R4 Capital Permanent Loan</t>
  </si>
  <si>
    <t>HCD Infill Insfrastructure Grant</t>
  </si>
  <si>
    <t>GP Equity - Hiler I AGP LLC</t>
  </si>
  <si>
    <t>Gustavo Velasquez</t>
  </si>
  <si>
    <t>Permanent Loan</t>
  </si>
  <si>
    <t>General Partner Equity</t>
  </si>
  <si>
    <t>Office Supplies, Internet/Telephone, Compliance Expense</t>
  </si>
  <si>
    <t>Employee Benefits, Payroll Taxes, Workers Comp</t>
  </si>
  <si>
    <t>Janitorial Supplies</t>
  </si>
  <si>
    <t>Business Tax &amp; License</t>
  </si>
  <si>
    <t>Below Market Ground Lease</t>
  </si>
  <si>
    <t>Housing Authority of the County of Humboldt</t>
  </si>
  <si>
    <t>Project-based vouchers (PBVs)</t>
  </si>
  <si>
    <t>1 bedroom</t>
  </si>
  <si>
    <t>2 bedroom</t>
  </si>
  <si>
    <t>3 bedroom</t>
  </si>
  <si>
    <t>Other: Legal (Transactional, Partnership, Sydication)</t>
  </si>
  <si>
    <t>R4 Capital Construction Loan - TE</t>
  </si>
  <si>
    <t>R4 Capital Construction Loan - Taxable</t>
  </si>
  <si>
    <t>Fixed</t>
  </si>
  <si>
    <t>Residual Receipts</t>
  </si>
  <si>
    <t>Housing Authority of the City of Eureka ("HACE")</t>
  </si>
  <si>
    <t>Secured by Leasehold Interest</t>
  </si>
  <si>
    <t>4 bedroom</t>
  </si>
  <si>
    <t>3, 1</t>
  </si>
  <si>
    <t>David Cohen</t>
  </si>
  <si>
    <t>73 years</t>
  </si>
  <si>
    <t>1/1/2025 &amp; 9/1/2025</t>
  </si>
  <si>
    <t>12/31/2026 &amp; 12/31/202</t>
  </si>
  <si>
    <t>Townhouse or Row House</t>
  </si>
  <si>
    <t>The new construction portion (44 units) will be Inner City Infill, but the rehab portion (98 units) will be Townhouse or Row House.</t>
  </si>
  <si>
    <t>9% Federal LIHTC Equity</t>
  </si>
  <si>
    <t>Seller Note</t>
  </si>
  <si>
    <t>Construction Loan - Tax Exempt Bonds</t>
  </si>
  <si>
    <t>Construction Loan - Taxable</t>
  </si>
  <si>
    <t>PBV &amp; IIG</t>
  </si>
  <si>
    <t>Other: Lender Inspection</t>
  </si>
  <si>
    <t>Other: Replacement, Operating, and Debt Service</t>
  </si>
  <si>
    <t>Other: Performance Deposit, Trustee Fees, Filing Fees</t>
  </si>
  <si>
    <t>Other: CASp Accessibility</t>
  </si>
  <si>
    <t>009-073-001; 009-074-001; 009-075-001; 009-072-001; 009-076-001; 009-083-001; 009-083-002; 009-083-003</t>
  </si>
  <si>
    <t>Other: Public Works Inspection</t>
  </si>
  <si>
    <t>Other: Physical Needs Assessment; Section 18 Application</t>
  </si>
  <si>
    <t>Deferred Costs</t>
  </si>
  <si>
    <t>HCD IIG - 9%</t>
  </si>
  <si>
    <t>HCD IIG - 4%</t>
  </si>
  <si>
    <t>CDBG - 9%</t>
  </si>
  <si>
    <t>Value of Land Leased by a Public Entity - 9%</t>
  </si>
  <si>
    <t>Value of Land Leased by a Public Entity - 4%</t>
  </si>
  <si>
    <t>PBV and HCD IIG</t>
  </si>
  <si>
    <t>Below residual receipts line for cash flow</t>
  </si>
  <si>
    <t>Other Revenue</t>
  </si>
  <si>
    <t>Sabelhaus &amp; Strain PC</t>
  </si>
  <si>
    <t>1724 10th Street, Ste. 110</t>
  </si>
  <si>
    <t>Sacramento, CA 95811</t>
  </si>
  <si>
    <t xml:space="preserve">Stephen A. Strain </t>
  </si>
  <si>
    <t>916-444-0286</t>
  </si>
  <si>
    <t>sstrain@sabelhauslaw.com</t>
  </si>
  <si>
    <t>California Municipal Finance Authority</t>
  </si>
  <si>
    <t>2111 Palomar Airport Rd, Ste 320</t>
  </si>
  <si>
    <t>Carlsbad, CA 92011</t>
  </si>
  <si>
    <t>Anthony Stubbs</t>
  </si>
  <si>
    <t>760-930-1333</t>
  </si>
  <si>
    <t>astubbs@cmfa-ca.com</t>
  </si>
  <si>
    <t>Hiler I LP Seller Note</t>
  </si>
  <si>
    <t>1603 Orrington Avenue</t>
  </si>
  <si>
    <t>Public housing owned by the Housing Authority of the City of Eureka (1-2 stories).</t>
  </si>
  <si>
    <t>Utilities are owner paid.</t>
  </si>
  <si>
    <t>Environmental Mitigation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</si>
</sst>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7174">
    <xf numFmtId="0" fontId="0" fillId="0" borderId="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36" borderId="18" applyNumberFormat="0" applyAlignment="0" applyProtection="0"/>
    <xf numFmtId="0" fontId="88" fillId="36" borderId="18" applyNumberFormat="0" applyAlignment="0" applyProtection="0"/>
    <xf numFmtId="0" fontId="89" fillId="37"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80"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1" fillId="0" borderId="0" applyFont="0" applyFill="0" applyBorder="0" applyAlignment="0" applyProtection="0"/>
    <xf numFmtId="44" fontId="26"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76" fillId="0" borderId="0" applyFont="0" applyFill="0" applyBorder="0" applyAlignment="0" applyProtection="0"/>
    <xf numFmtId="44" fontId="26" fillId="0" borderId="0" applyFont="0" applyFill="0" applyBorder="0" applyAlignment="0" applyProtection="0"/>
    <xf numFmtId="0" fontId="90" fillId="0" borderId="0" applyNumberFormat="0" applyFill="0" applyBorder="0" applyAlignment="0" applyProtection="0"/>
    <xf numFmtId="0" fontId="91" fillId="38"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96" fillId="0" borderId="23" applyNumberFormat="0" applyFill="0" applyAlignment="0" applyProtection="0"/>
    <xf numFmtId="0" fontId="97" fillId="40"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6" fillId="0" borderId="0"/>
    <xf numFmtId="0" fontId="26"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6" fillId="0" borderId="0"/>
    <xf numFmtId="0" fontId="85" fillId="0" borderId="0"/>
    <xf numFmtId="0" fontId="26"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61" fillId="0" borderId="0">
      <alignment vertical="top"/>
    </xf>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17" fillId="0" borderId="0" applyProtection="0">
      <protection locked="0"/>
    </xf>
    <xf numFmtId="0" fontId="26" fillId="0" borderId="0" applyProtection="0">
      <protection locked="0"/>
    </xf>
    <xf numFmtId="0" fontId="26" fillId="0" borderId="0" applyProtection="0">
      <protection locked="0"/>
    </xf>
    <xf numFmtId="0" fontId="62" fillId="0" borderId="0"/>
    <xf numFmtId="0" fontId="17" fillId="0" borderId="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100" fillId="36" borderId="25" applyNumberFormat="0" applyAlignment="0" applyProtection="0"/>
    <xf numFmtId="0" fontId="100" fillId="36" borderId="25" applyNumberFormat="0" applyAlignment="0" applyProtection="0"/>
    <xf numFmtId="0" fontId="22"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11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0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20" fillId="0" borderId="0" applyFont="0" applyFill="0" applyBorder="0" applyAlignment="0" applyProtection="0"/>
    <xf numFmtId="0" fontId="12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4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5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4">
    <xf numFmtId="0" fontId="0" fillId="0" borderId="0" xfId="0"/>
    <xf numFmtId="0" fontId="0" fillId="0" borderId="0" xfId="0" applyAlignment="1">
      <alignment horizontal="center"/>
    </xf>
    <xf numFmtId="0" fontId="24" fillId="0" borderId="0" xfId="0" applyFont="1"/>
    <xf numFmtId="0" fontId="17" fillId="0" borderId="0" xfId="0" applyFont="1"/>
    <xf numFmtId="0" fontId="26" fillId="0" borderId="0" xfId="0" applyFont="1"/>
    <xf numFmtId="0" fontId="0" fillId="0" borderId="4" xfId="0" applyBorder="1"/>
    <xf numFmtId="0" fontId="26" fillId="0" borderId="0" xfId="0" applyFont="1" applyAlignment="1">
      <alignment horizontal="center"/>
    </xf>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24" fillId="0" borderId="0" xfId="0" applyFont="1" applyAlignment="1">
      <alignment horizontal="center"/>
    </xf>
    <xf numFmtId="0" fontId="17" fillId="0" borderId="0" xfId="543"/>
    <xf numFmtId="0" fontId="26" fillId="0" borderId="0" xfId="0" applyFont="1" applyAlignment="1">
      <alignment horizontal="left" vertical="top" wrapText="1"/>
    </xf>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6" fillId="0" borderId="0" xfId="0" applyFont="1" applyAlignment="1">
      <alignment horizontal="left" indent="4"/>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0" fontId="37" fillId="0" borderId="0" xfId="543"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36" fillId="0" borderId="0" xfId="0" applyFont="1"/>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6" fillId="0" borderId="0" xfId="0" applyFont="1" applyAlignment="1">
      <alignment horizontal="right"/>
    </xf>
    <xf numFmtId="0" fontId="40" fillId="0" borderId="0" xfId="0" applyFont="1"/>
    <xf numFmtId="0" fontId="26" fillId="0" borderId="0" xfId="0" applyFont="1" applyAlignment="1">
      <alignment horizontal="left"/>
    </xf>
    <xf numFmtId="0" fontId="28" fillId="0" borderId="0" xfId="0" applyFont="1"/>
    <xf numFmtId="0" fontId="30" fillId="0" borderId="0" xfId="0" applyFont="1"/>
    <xf numFmtId="0" fontId="24"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4" fillId="0" borderId="1" xfId="0" applyFont="1" applyBorder="1" applyAlignment="1">
      <alignment horizontal="center" wrapText="1"/>
    </xf>
    <xf numFmtId="0" fontId="24"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4" fillId="0" borderId="4" xfId="0" applyFont="1" applyBorder="1" applyAlignment="1">
      <alignment horizontal="center"/>
    </xf>
    <xf numFmtId="0" fontId="33" fillId="0" borderId="3" xfId="0" applyFont="1" applyBorder="1" applyAlignment="1">
      <alignment horizontal="left"/>
    </xf>
    <xf numFmtId="0" fontId="33" fillId="0" borderId="9" xfId="0" applyFont="1" applyBorder="1" applyAlignment="1">
      <alignment horizontal="left"/>
    </xf>
    <xf numFmtId="0" fontId="24" fillId="0" borderId="4" xfId="0" applyFont="1" applyBorder="1" applyAlignment="1">
      <alignment horizontal="right"/>
    </xf>
    <xf numFmtId="0" fontId="24" fillId="0" borderId="5" xfId="0" applyFont="1" applyBorder="1" applyAlignment="1">
      <alignment horizontal="righ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11" xfId="0" applyFont="1" applyBorder="1" applyAlignment="1">
      <alignment horizontal="left"/>
    </xf>
    <xf numFmtId="0" fontId="24" fillId="0" borderId="9" xfId="0" applyFont="1" applyBorder="1"/>
    <xf numFmtId="164" fontId="0" fillId="0" borderId="0" xfId="0" applyNumberFormat="1" applyAlignment="1">
      <alignment horizontal="center"/>
    </xf>
    <xf numFmtId="0" fontId="0" fillId="0" borderId="12" xfId="0" applyBorder="1"/>
    <xf numFmtId="0" fontId="26" fillId="0" borderId="3" xfId="0" applyFont="1" applyBorder="1"/>
    <xf numFmtId="0" fontId="26" fillId="0" borderId="0" xfId="543" applyFont="1"/>
    <xf numFmtId="0" fontId="42" fillId="0" borderId="0" xfId="543" applyFont="1"/>
    <xf numFmtId="49" fontId="17" fillId="0" borderId="0" xfId="543" applyNumberFormat="1"/>
    <xf numFmtId="0" fontId="40" fillId="0" borderId="0" xfId="543" applyFont="1"/>
    <xf numFmtId="168" fontId="37" fillId="0" borderId="6" xfId="543" applyNumberFormat="1" applyFont="1" applyBorder="1" applyAlignment="1">
      <alignment horizontal="left"/>
    </xf>
    <xf numFmtId="168" fontId="37" fillId="0" borderId="6" xfId="543" applyNumberFormat="1" applyFont="1" applyBorder="1" applyAlignment="1">
      <alignment horizontal="center"/>
    </xf>
    <xf numFmtId="0" fontId="17" fillId="0" borderId="8" xfId="543" applyBorder="1"/>
    <xf numFmtId="0" fontId="37" fillId="0" borderId="0" xfId="543" applyFont="1" applyAlignment="1">
      <alignment horizontal="center"/>
    </xf>
    <xf numFmtId="0" fontId="36" fillId="0" borderId="9" xfId="543" applyFont="1" applyBorder="1" applyAlignment="1">
      <alignment horizontal="left" vertical="top" wrapText="1"/>
    </xf>
    <xf numFmtId="0" fontId="36" fillId="0" borderId="6" xfId="543" applyFont="1" applyBorder="1" applyAlignment="1">
      <alignment horizontal="center" vertical="top" wrapText="1"/>
    </xf>
    <xf numFmtId="0" fontId="17" fillId="0" borderId="9" xfId="543" applyBorder="1"/>
    <xf numFmtId="0" fontId="17" fillId="0" borderId="10" xfId="543" applyBorder="1"/>
    <xf numFmtId="0" fontId="17" fillId="0" borderId="1" xfId="543" applyBorder="1"/>
    <xf numFmtId="0" fontId="37" fillId="0" borderId="2" xfId="543" applyFont="1" applyBorder="1" applyAlignment="1">
      <alignment horizontal="center"/>
    </xf>
    <xf numFmtId="0" fontId="39" fillId="0" borderId="8" xfId="543" applyFont="1" applyBorder="1" applyAlignment="1">
      <alignment horizontal="left" vertical="top" wrapText="1"/>
    </xf>
    <xf numFmtId="0" fontId="36" fillId="0" borderId="0" xfId="543" applyFont="1" applyAlignment="1">
      <alignment horizontal="center" vertical="top" wrapText="1"/>
    </xf>
    <xf numFmtId="0" fontId="17" fillId="0" borderId="12" xfId="543" applyBorder="1"/>
    <xf numFmtId="0" fontId="39" fillId="0" borderId="0" xfId="543" applyFont="1" applyAlignment="1">
      <alignment horizontal="center" vertical="top" wrapText="1"/>
    </xf>
    <xf numFmtId="0" fontId="39" fillId="0" borderId="9" xfId="543" applyFont="1" applyBorder="1" applyAlignment="1">
      <alignment horizontal="left" vertical="top" wrapText="1"/>
    </xf>
    <xf numFmtId="0" fontId="17" fillId="0" borderId="2" xfId="543" applyBorder="1"/>
    <xf numFmtId="0" fontId="17" fillId="0" borderId="7" xfId="543" applyBorder="1"/>
    <xf numFmtId="0" fontId="36" fillId="0" borderId="0" xfId="543" applyFont="1"/>
    <xf numFmtId="0" fontId="17" fillId="0" borderId="0" xfId="543" applyAlignment="1">
      <alignment horizontal="center"/>
    </xf>
    <xf numFmtId="0" fontId="25" fillId="0" borderId="6" xfId="543" applyFont="1" applyBorder="1" applyAlignment="1">
      <alignment vertical="top" wrapText="1"/>
    </xf>
    <xf numFmtId="0" fontId="26" fillId="0" borderId="0" xfId="0" applyFont="1" applyAlignment="1">
      <alignment horizontal="left" vertical="top"/>
    </xf>
    <xf numFmtId="0" fontId="0" fillId="2" borderId="2" xfId="0" applyFill="1" applyBorder="1"/>
    <xf numFmtId="0" fontId="0" fillId="2" borderId="7" xfId="0" applyFill="1" applyBorder="1"/>
    <xf numFmtId="0" fontId="24" fillId="0" borderId="6" xfId="0" applyFont="1" applyBorder="1" applyAlignment="1">
      <alignment horizontal="right"/>
    </xf>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7"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9" fillId="0" borderId="4" xfId="543" applyFont="1" applyBorder="1" applyAlignment="1">
      <alignment horizontal="right" vertical="top" wrapText="1"/>
    </xf>
    <xf numFmtId="0" fontId="26" fillId="0" borderId="6" xfId="0" applyFont="1" applyBorder="1"/>
    <xf numFmtId="0" fontId="26" fillId="0" borderId="2" xfId="0" applyFont="1" applyBorder="1"/>
    <xf numFmtId="0" fontId="26" fillId="0" borderId="7" xfId="0" applyFont="1" applyBorder="1"/>
    <xf numFmtId="0" fontId="26" fillId="0" borderId="12" xfId="0" applyFont="1" applyBorder="1"/>
    <xf numFmtId="0" fontId="26" fillId="0" borderId="9" xfId="0" applyFont="1" applyBorder="1"/>
    <xf numFmtId="0" fontId="26" fillId="0" borderId="10" xfId="0" applyFont="1"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26" fillId="0" borderId="0" xfId="0" applyFont="1" applyAlignment="1">
      <alignment vertical="top"/>
    </xf>
    <xf numFmtId="0" fontId="26" fillId="0" borderId="0" xfId="0" applyFont="1" applyAlignment="1">
      <alignment vertical="top" wrapText="1"/>
    </xf>
    <xf numFmtId="0" fontId="17" fillId="0" borderId="0" xfId="0" applyFont="1" applyAlignment="1">
      <alignment horizontal="left"/>
    </xf>
    <xf numFmtId="0" fontId="17" fillId="0" borderId="0" xfId="0" applyFont="1" applyAlignment="1">
      <alignment vertical="top"/>
    </xf>
    <xf numFmtId="0" fontId="46" fillId="0" borderId="0" xfId="0" applyFont="1"/>
    <xf numFmtId="0" fontId="17" fillId="0" borderId="3" xfId="0" applyFont="1" applyBorder="1"/>
    <xf numFmtId="0" fontId="17"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9" fillId="0" borderId="0" xfId="0" applyFont="1"/>
    <xf numFmtId="0" fontId="26" fillId="0" borderId="4" xfId="0" applyFont="1" applyBorder="1"/>
    <xf numFmtId="0" fontId="24" fillId="0" borderId="2" xfId="0" applyFont="1" applyBorder="1" applyAlignment="1">
      <alignment horizontal="center"/>
    </xf>
    <xf numFmtId="0" fontId="24" fillId="0" borderId="0" xfId="0" applyFont="1" applyAlignment="1">
      <alignment horizontal="center" vertical="center" wrapText="1"/>
    </xf>
    <xf numFmtId="0" fontId="24" fillId="0" borderId="7" xfId="543" applyFont="1" applyBorder="1" applyAlignment="1">
      <alignment horizontal="right"/>
    </xf>
    <xf numFmtId="0" fontId="25" fillId="0" borderId="9" xfId="543" applyFont="1" applyBorder="1"/>
    <xf numFmtId="0" fontId="26" fillId="0" borderId="6" xfId="543" applyFont="1" applyBorder="1"/>
    <xf numFmtId="0" fontId="25" fillId="0" borderId="6" xfId="543" applyFont="1" applyBorder="1" applyAlignment="1">
      <alignment horizontal="right"/>
    </xf>
    <xf numFmtId="0" fontId="24" fillId="0" borderId="0" xfId="0" applyFont="1" applyAlignment="1">
      <alignment horizontal="center" vertical="center"/>
    </xf>
    <xf numFmtId="0" fontId="26" fillId="0" borderId="0" xfId="0" applyFont="1" applyAlignment="1">
      <alignment horizontal="left" vertical="center"/>
    </xf>
    <xf numFmtId="0" fontId="54" fillId="0" borderId="3" xfId="0" applyFont="1" applyBorder="1" applyAlignment="1">
      <alignment horizontal="left" vertical="top"/>
    </xf>
    <xf numFmtId="0" fontId="54" fillId="0" borderId="13" xfId="0" applyFont="1" applyBorder="1" applyAlignment="1">
      <alignment horizontal="center" wrapText="1"/>
    </xf>
    <xf numFmtId="0" fontId="54" fillId="0" borderId="13" xfId="0" applyFont="1" applyBorder="1" applyAlignment="1">
      <alignment horizontal="center" vertical="top" wrapText="1"/>
    </xf>
    <xf numFmtId="0" fontId="54" fillId="2" borderId="13" xfId="0" applyFont="1" applyFill="1" applyBorder="1" applyAlignment="1">
      <alignment horizontal="center" wrapText="1"/>
    </xf>
    <xf numFmtId="0" fontId="55" fillId="2" borderId="11" xfId="0" applyFont="1" applyFill="1" applyBorder="1" applyAlignment="1">
      <alignment horizontal="left" vertical="top" wrapText="1"/>
    </xf>
    <xf numFmtId="0" fontId="56" fillId="4" borderId="11" xfId="0"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lignment horizontal="center"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20" fillId="0" borderId="11" xfId="0" applyFont="1" applyBorder="1" applyAlignment="1">
      <alignment horizontal="right" vertical="top" wrapText="1"/>
    </xf>
    <xf numFmtId="0" fontId="56" fillId="0" borderId="11" xfId="0" applyFont="1" applyBorder="1" applyAlignment="1" applyProtection="1">
      <alignment horizontal="right" vertical="top" wrapText="1"/>
      <protection locked="0"/>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wrapText="1"/>
    </xf>
    <xf numFmtId="0" fontId="56" fillId="0" borderId="0" xfId="0" applyFont="1" applyAlignment="1">
      <alignment vertical="top"/>
    </xf>
    <xf numFmtId="0" fontId="54" fillId="0" borderId="0" xfId="0" applyFont="1" applyAlignment="1">
      <alignment horizontal="right" vertical="top"/>
    </xf>
    <xf numFmtId="0" fontId="56" fillId="2" borderId="0" xfId="0" applyFont="1" applyFill="1" applyAlignment="1">
      <alignment vertical="top" wrapText="1"/>
    </xf>
    <xf numFmtId="0" fontId="54" fillId="0" borderId="0" xfId="0" applyFont="1" applyAlignment="1">
      <alignment vertical="top"/>
    </xf>
    <xf numFmtId="166" fontId="26" fillId="0" borderId="0" xfId="0" applyNumberFormat="1" applyFont="1" applyAlignment="1">
      <alignment horizontal="left"/>
    </xf>
    <xf numFmtId="0" fontId="57" fillId="0" borderId="0" xfId="0" applyFont="1"/>
    <xf numFmtId="0" fontId="17" fillId="0" borderId="0" xfId="244" applyFont="1" applyFill="1" applyBorder="1" applyAlignment="1" applyProtection="1">
      <alignment horizontal="left"/>
    </xf>
    <xf numFmtId="0" fontId="48" fillId="0" borderId="0" xfId="0" applyFont="1"/>
    <xf numFmtId="0" fontId="48"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7" fillId="0" borderId="0" xfId="0" applyFont="1"/>
    <xf numFmtId="0" fontId="59" fillId="0" borderId="0" xfId="0" applyFont="1"/>
    <xf numFmtId="0" fontId="35" fillId="0" borderId="0" xfId="0" applyFont="1" applyAlignment="1">
      <alignment horizontal="center"/>
    </xf>
    <xf numFmtId="0" fontId="35" fillId="0" borderId="0" xfId="0" applyFont="1" applyAlignment="1">
      <alignment horizontal="left"/>
    </xf>
    <xf numFmtId="49" fontId="24" fillId="0" borderId="0" xfId="0" applyNumberFormat="1" applyFont="1" applyAlignment="1">
      <alignment horizontal="center"/>
    </xf>
    <xf numFmtId="0" fontId="51" fillId="0" borderId="0" xfId="0" applyFont="1" applyAlignment="1">
      <alignment horizontal="center"/>
    </xf>
    <xf numFmtId="168" fontId="26" fillId="0" borderId="0" xfId="0" applyNumberFormat="1" applyFont="1" applyAlignment="1">
      <alignment horizontal="center"/>
    </xf>
    <xf numFmtId="168" fontId="36" fillId="0" borderId="0" xfId="0" applyNumberFormat="1" applyFont="1" applyAlignment="1">
      <alignment horizontal="left" vertical="top" wrapText="1"/>
    </xf>
    <xf numFmtId="0" fontId="53" fillId="0" borderId="3" xfId="0" applyFont="1" applyBorder="1"/>
    <xf numFmtId="168" fontId="0" fillId="0" borderId="0" xfId="0" applyNumberFormat="1" applyAlignment="1">
      <alignment horizontal="center"/>
    </xf>
    <xf numFmtId="0" fontId="37" fillId="0" borderId="0" xfId="0" applyFont="1" applyAlignment="1">
      <alignment vertical="top" wrapText="1"/>
    </xf>
    <xf numFmtId="0" fontId="54" fillId="0" borderId="4" xfId="0" applyFont="1" applyBorder="1" applyAlignment="1">
      <alignment horizontal="right"/>
    </xf>
    <xf numFmtId="0" fontId="61" fillId="0" borderId="0" xfId="0" applyFont="1"/>
    <xf numFmtId="3" fontId="26" fillId="0" borderId="0" xfId="0" applyNumberFormat="1" applyFont="1" applyAlignment="1">
      <alignment horizontal="center"/>
    </xf>
    <xf numFmtId="168" fontId="17" fillId="0" borderId="0" xfId="0" applyNumberFormat="1" applyFont="1" applyAlignment="1">
      <alignment horizontal="left" vertical="top"/>
    </xf>
    <xf numFmtId="168" fontId="26" fillId="0" borderId="0" xfId="0" applyNumberFormat="1" applyFont="1" applyAlignment="1">
      <alignment horizontal="left" vertical="top"/>
    </xf>
    <xf numFmtId="0" fontId="56" fillId="0" borderId="11" xfId="0" applyFont="1" applyBorder="1" applyAlignment="1">
      <alignment horizontal="right" vertical="top"/>
    </xf>
    <xf numFmtId="0" fontId="56" fillId="0" borderId="0" xfId="0" applyFont="1" applyAlignment="1">
      <alignment horizontal="right" vertical="top" wrapText="1"/>
    </xf>
    <xf numFmtId="0" fontId="56" fillId="2" borderId="12" xfId="0" applyFont="1" applyFill="1" applyBorder="1" applyAlignment="1">
      <alignment vertical="top" wrapText="1"/>
    </xf>
    <xf numFmtId="0" fontId="56" fillId="0" borderId="14" xfId="0" applyFont="1" applyBorder="1" applyAlignment="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Border="1" applyAlignment="1">
      <alignment vertical="top"/>
    </xf>
    <xf numFmtId="168" fontId="56" fillId="6" borderId="11" xfId="0" applyNumberFormat="1" applyFont="1" applyFill="1" applyBorder="1" applyAlignment="1">
      <alignment horizontal="center" vertical="top"/>
    </xf>
    <xf numFmtId="0" fontId="24" fillId="0" borderId="0" xfId="542" applyFont="1" applyProtection="1">
      <protection locked="0"/>
    </xf>
    <xf numFmtId="0" fontId="17" fillId="0" borderId="0" xfId="539" applyProtection="1"/>
    <xf numFmtId="0" fontId="37" fillId="8" borderId="0" xfId="539" applyFont="1" applyFill="1" applyAlignment="1" applyProtection="1">
      <alignment horizontal="centerContinuous"/>
    </xf>
    <xf numFmtId="0" fontId="24" fillId="0" borderId="0" xfId="543" applyFont="1"/>
    <xf numFmtId="0" fontId="26" fillId="0" borderId="0" xfId="543" applyFont="1" applyAlignment="1">
      <alignment horizontal="left"/>
    </xf>
    <xf numFmtId="0" fontId="26" fillId="0" borderId="15" xfId="0" applyFont="1" applyBorder="1"/>
    <xf numFmtId="2" fontId="40" fillId="0" borderId="11" xfId="0" applyNumberFormat="1" applyFont="1" applyBorder="1"/>
    <xf numFmtId="0" fontId="17" fillId="0" borderId="0" xfId="0" applyFont="1" applyProtection="1">
      <protection locked="0"/>
    </xf>
    <xf numFmtId="0" fontId="64"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39" fillId="0" borderId="0" xfId="543" applyFont="1" applyAlignment="1">
      <alignment horizontal="right" vertical="top" wrapText="1"/>
    </xf>
    <xf numFmtId="0" fontId="37" fillId="0" borderId="2" xfId="543" applyFont="1" applyBorder="1" applyAlignment="1">
      <alignment horizontal="right" vertical="top" wrapText="1"/>
    </xf>
    <xf numFmtId="0" fontId="22" fillId="0" borderId="0" xfId="0" applyFont="1"/>
    <xf numFmtId="0" fontId="66" fillId="0" borderId="0" xfId="0" applyFont="1"/>
    <xf numFmtId="0" fontId="64" fillId="0" borderId="0" xfId="0" applyFont="1"/>
    <xf numFmtId="0" fontId="37"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65" fillId="0" borderId="0" xfId="0" applyFont="1"/>
    <xf numFmtId="168" fontId="22" fillId="0" borderId="0" xfId="0" applyNumberFormat="1" applyFont="1"/>
    <xf numFmtId="10" fontId="22" fillId="0" borderId="0" xfId="0" applyNumberFormat="1" applyFont="1" applyAlignment="1">
      <alignment horizontal="center"/>
    </xf>
    <xf numFmtId="3" fontId="68" fillId="0" borderId="0" xfId="0" applyNumberFormat="1" applyFont="1"/>
    <xf numFmtId="3" fontId="22" fillId="0" borderId="0" xfId="0" applyNumberFormat="1" applyFont="1"/>
    <xf numFmtId="168" fontId="65" fillId="0" borderId="0" xfId="0" applyNumberFormat="1" applyFont="1"/>
    <xf numFmtId="168" fontId="65"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10" fontId="26" fillId="0" borderId="0" xfId="0" applyNumberFormat="1" applyFont="1" applyAlignment="1">
      <alignment horizontal="center"/>
    </xf>
    <xf numFmtId="3" fontId="26" fillId="0" borderId="0" xfId="0" applyNumberFormat="1" applyFont="1" applyAlignment="1">
      <alignment vertical="top"/>
    </xf>
    <xf numFmtId="10" fontId="24" fillId="0" borderId="0" xfId="0" applyNumberFormat="1" applyFont="1" applyAlignment="1">
      <alignment horizontal="center"/>
    </xf>
    <xf numFmtId="0" fontId="64" fillId="0" borderId="6" xfId="0" applyFont="1" applyBorder="1" applyAlignment="1">
      <alignment horizontal="center"/>
    </xf>
    <xf numFmtId="172" fontId="26" fillId="0" borderId="0" xfId="0" applyNumberFormat="1" applyFont="1" applyAlignment="1">
      <alignment horizontal="center"/>
    </xf>
    <xf numFmtId="10" fontId="69" fillId="0" borderId="0" xfId="0" applyNumberFormat="1" applyFont="1" applyAlignment="1">
      <alignment horizontal="center"/>
    </xf>
    <xf numFmtId="0" fontId="26" fillId="9" borderId="6" xfId="0" applyFont="1" applyFill="1" applyBorder="1"/>
    <xf numFmtId="0" fontId="26" fillId="0" borderId="4" xfId="271" applyBorder="1"/>
    <xf numFmtId="0" fontId="26" fillId="0" borderId="6" xfId="271" applyBorder="1"/>
    <xf numFmtId="0" fontId="26" fillId="0" borderId="1" xfId="0" applyFont="1" applyBorder="1"/>
    <xf numFmtId="168" fontId="26" fillId="0" borderId="3" xfId="0" applyNumberFormat="1" applyFont="1" applyBorder="1" applyAlignment="1">
      <alignment vertical="top"/>
    </xf>
    <xf numFmtId="168" fontId="26" fillId="0" borderId="4" xfId="0" applyNumberFormat="1" applyFont="1" applyBorder="1" applyAlignment="1">
      <alignment vertical="top"/>
    </xf>
    <xf numFmtId="168" fontId="26" fillId="0" borderId="5" xfId="0" applyNumberFormat="1" applyFont="1" applyBorder="1" applyAlignment="1">
      <alignment vertical="top"/>
    </xf>
    <xf numFmtId="168" fontId="26" fillId="0" borderId="8" xfId="0" applyNumberFormat="1" applyFont="1" applyBorder="1" applyAlignment="1">
      <alignment vertical="top"/>
    </xf>
    <xf numFmtId="168" fontId="26" fillId="0" borderId="0" xfId="0" applyNumberFormat="1" applyFont="1" applyAlignment="1">
      <alignment vertical="top"/>
    </xf>
    <xf numFmtId="0" fontId="26" fillId="0" borderId="0" xfId="0" applyFont="1" applyAlignment="1">
      <alignment horizontal="right" vertical="top"/>
    </xf>
    <xf numFmtId="0" fontId="26"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6" fillId="5" borderId="4" xfId="0" applyFont="1" applyFill="1" applyBorder="1" applyAlignment="1" applyProtection="1">
      <alignment horizontal="left" vertical="top"/>
      <protection locked="0"/>
    </xf>
    <xf numFmtId="0" fontId="26" fillId="5" borderId="5" xfId="0" applyFont="1" applyFill="1" applyBorder="1" applyAlignment="1" applyProtection="1">
      <alignment horizontal="left" vertical="top"/>
      <protection locked="0"/>
    </xf>
    <xf numFmtId="4" fontId="51" fillId="0" borderId="0" xfId="0" applyNumberFormat="1" applyFont="1" applyAlignment="1">
      <alignment horizontal="center"/>
    </xf>
    <xf numFmtId="0" fontId="36" fillId="0" borderId="1" xfId="543" applyFont="1" applyBorder="1" applyAlignment="1">
      <alignment horizontal="left" vertical="top" wrapText="1"/>
    </xf>
    <xf numFmtId="0" fontId="36" fillId="0" borderId="12" xfId="543" applyFont="1" applyBorder="1" applyAlignment="1">
      <alignment horizontal="center" vertical="top" wrapText="1"/>
    </xf>
    <xf numFmtId="0" fontId="36" fillId="0" borderId="8" xfId="543" applyFont="1" applyBorder="1" applyAlignment="1">
      <alignment horizontal="left" vertical="top" wrapText="1"/>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9"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8"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8"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8"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9" fillId="2" borderId="11" xfId="271" applyFont="1" applyFill="1" applyBorder="1" applyAlignment="1" applyProtection="1">
      <alignment horizontal="left" vertical="top" wrapText="1"/>
      <protection locked="0"/>
    </xf>
    <xf numFmtId="0" fontId="53" fillId="0" borderId="11" xfId="0" applyFont="1" applyBorder="1" applyAlignment="1">
      <alignment horizontal="right" vertical="top" wrapText="1"/>
    </xf>
    <xf numFmtId="0" fontId="26" fillId="8" borderId="0" xfId="542" quotePrefix="1" applyFont="1" applyFill="1" applyAlignment="1">
      <alignment horizontal="left"/>
    </xf>
    <xf numFmtId="0" fontId="26" fillId="8" borderId="0" xfId="542" applyFont="1" applyFill="1"/>
    <xf numFmtId="0" fontId="34" fillId="8" borderId="0" xfId="542" applyFont="1" applyFill="1"/>
    <xf numFmtId="0" fontId="53" fillId="0" borderId="11" xfId="271" applyFont="1" applyBorder="1" applyAlignment="1">
      <alignment horizontal="right" vertical="top"/>
    </xf>
    <xf numFmtId="0" fontId="53"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5" fontId="26" fillId="0" borderId="0" xfId="542" applyNumberFormat="1" applyFont="1"/>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1" fontId="24" fillId="0" borderId="11" xfId="271" applyNumberFormat="1" applyFont="1" applyBorder="1"/>
    <xf numFmtId="165" fontId="24" fillId="0" borderId="11" xfId="271" applyNumberFormat="1" applyFont="1" applyBorder="1"/>
    <xf numFmtId="3" fontId="56" fillId="0" borderId="11" xfId="0" applyNumberFormat="1" applyFont="1" applyBorder="1" applyAlignment="1">
      <alignment vertical="top" wrapText="1"/>
    </xf>
    <xf numFmtId="166" fontId="26" fillId="0" borderId="0" xfId="0" applyNumberFormat="1" applyFont="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24" fillId="0" borderId="0" xfId="0" applyFont="1" applyAlignment="1">
      <alignment horizontal="left" vertical="top"/>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172" fontId="26" fillId="5" borderId="0" xfId="0" applyNumberFormat="1" applyFont="1" applyFill="1" applyAlignment="1">
      <alignment horizontal="center"/>
    </xf>
    <xf numFmtId="0" fontId="75" fillId="0" borderId="0" xfId="0" applyFont="1" applyAlignment="1">
      <alignment horizontal="left" vertical="center"/>
    </xf>
    <xf numFmtId="0" fontId="36" fillId="0" borderId="2" xfId="543" applyFont="1" applyBorder="1" applyAlignment="1">
      <alignment horizontal="center" vertical="top" wrapText="1"/>
    </xf>
    <xf numFmtId="49" fontId="47" fillId="0" borderId="0" xfId="0" applyNumberFormat="1" applyFont="1" applyAlignment="1">
      <alignment horizontal="center"/>
    </xf>
    <xf numFmtId="0" fontId="53" fillId="0" borderId="0" xfId="0" applyFont="1"/>
    <xf numFmtId="5" fontId="79" fillId="0" borderId="11" xfId="541" applyNumberFormat="1" applyFont="1" applyBorder="1" applyAlignment="1" applyProtection="1">
      <alignment horizontal="center"/>
    </xf>
    <xf numFmtId="5" fontId="79" fillId="42"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53" fillId="0" borderId="0" xfId="0" applyFont="1" applyAlignment="1">
      <alignment vertical="top" wrapText="1"/>
    </xf>
    <xf numFmtId="0" fontId="53" fillId="0" borderId="0" xfId="0" applyFont="1" applyAlignment="1">
      <alignment vertical="top"/>
    </xf>
    <xf numFmtId="0" fontId="53" fillId="2" borderId="0" xfId="0" applyFont="1" applyFill="1" applyAlignment="1">
      <alignment vertical="top" wrapText="1"/>
    </xf>
    <xf numFmtId="0" fontId="81" fillId="0" borderId="13" xfId="0" applyFont="1" applyBorder="1" applyAlignment="1">
      <alignment vertical="top" wrapText="1"/>
    </xf>
    <xf numFmtId="0" fontId="31" fillId="0" borderId="0" xfId="0" applyFont="1" applyAlignment="1">
      <alignment vertical="top" wrapText="1"/>
    </xf>
    <xf numFmtId="0" fontId="81" fillId="2" borderId="13" xfId="0" applyFont="1" applyFill="1" applyBorder="1" applyAlignment="1">
      <alignment vertical="top" wrapText="1"/>
    </xf>
    <xf numFmtId="0" fontId="81" fillId="0" borderId="0" xfId="0" applyFont="1" applyAlignment="1">
      <alignment vertical="top" wrapText="1"/>
    </xf>
    <xf numFmtId="0" fontId="81" fillId="2" borderId="0" xfId="0" applyFont="1" applyFill="1" applyAlignment="1">
      <alignment vertical="top" wrapText="1"/>
    </xf>
    <xf numFmtId="0" fontId="53" fillId="0" borderId="0" xfId="0" applyFont="1" applyAlignment="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lignment horizontal="right" vertical="top" wrapText="1"/>
    </xf>
    <xf numFmtId="0" fontId="24" fillId="0" borderId="0" xfId="0" applyFont="1" applyAlignment="1">
      <alignment horizontal="left" vertical="top" wrapText="1"/>
    </xf>
    <xf numFmtId="0" fontId="26" fillId="0" borderId="0" xfId="0" applyFont="1" applyAlignment="1">
      <alignment horizontal="right" vertical="top" wrapText="1"/>
    </xf>
    <xf numFmtId="10" fontId="26" fillId="5" borderId="6" xfId="0" applyNumberFormat="1" applyFont="1" applyFill="1" applyBorder="1" applyAlignment="1" applyProtection="1">
      <alignment horizontal="center" vertical="top" wrapText="1"/>
      <protection locked="0"/>
    </xf>
    <xf numFmtId="0" fontId="64"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0" fontId="18" fillId="0" borderId="0" xfId="244" quotePrefix="1" applyAlignment="1" applyProtection="1">
      <alignment horizontal="left"/>
    </xf>
    <xf numFmtId="168" fontId="53"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105" fillId="0" borderId="0" xfId="0" applyFont="1" applyAlignment="1">
      <alignment horizontal="left" vertical="top"/>
    </xf>
    <xf numFmtId="0" fontId="106" fillId="0" borderId="0" xfId="0" applyFont="1" applyAlignment="1">
      <alignment horizontal="left" vertical="top"/>
    </xf>
    <xf numFmtId="0" fontId="7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63" fillId="8" borderId="11" xfId="542" applyFont="1" applyFill="1" applyBorder="1" applyAlignment="1">
      <alignment horizontal="left"/>
    </xf>
    <xf numFmtId="0" fontId="63"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17" fillId="0" borderId="0" xfId="0" applyFont="1" applyAlignment="1">
      <alignment horizontal="center"/>
    </xf>
    <xf numFmtId="0" fontId="31" fillId="0" borderId="8" xfId="569" applyFont="1" applyBorder="1" applyAlignment="1">
      <alignment vertical="top" wrapText="1"/>
    </xf>
    <xf numFmtId="0" fontId="31" fillId="0" borderId="0" xfId="569" applyFont="1" applyAlignment="1">
      <alignment vertical="top" wrapText="1"/>
    </xf>
    <xf numFmtId="0" fontId="55" fillId="2" borderId="11" xfId="569" applyFont="1" applyFill="1" applyBorder="1" applyAlignment="1">
      <alignment horizontal="left" vertical="top" wrapText="1"/>
    </xf>
    <xf numFmtId="6" fontId="53" fillId="4" borderId="11" xfId="569" applyNumberFormat="1" applyFont="1" applyFill="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6" fontId="53" fillId="0" borderId="11" xfId="569" applyNumberFormat="1" applyFont="1" applyBorder="1" applyAlignment="1">
      <alignment vertical="top" wrapText="1"/>
    </xf>
    <xf numFmtId="6" fontId="53" fillId="5" borderId="11" xfId="569" applyNumberFormat="1" applyFont="1" applyFill="1" applyBorder="1" applyAlignment="1" applyProtection="1">
      <alignment vertical="top" wrapText="1"/>
      <protection locked="0"/>
    </xf>
    <xf numFmtId="6" fontId="53" fillId="6" borderId="11" xfId="569" applyNumberFormat="1" applyFont="1" applyFill="1" applyBorder="1" applyAlignment="1">
      <alignment horizontal="center" vertical="top" wrapText="1"/>
    </xf>
    <xf numFmtId="0" fontId="53" fillId="0" borderId="11" xfId="569" applyFont="1" applyBorder="1" applyAlignment="1">
      <alignment horizontal="right" vertical="top" wrapText="1"/>
    </xf>
    <xf numFmtId="0" fontId="54" fillId="0" borderId="11" xfId="569" applyFont="1" applyBorder="1" applyAlignment="1">
      <alignment horizontal="right" vertical="top" wrapText="1"/>
    </xf>
    <xf numFmtId="0" fontId="53" fillId="0" borderId="11" xfId="569" applyFont="1" applyBorder="1" applyAlignment="1">
      <alignment horizontal="right" vertical="top"/>
    </xf>
    <xf numFmtId="6" fontId="54" fillId="0" borderId="11" xfId="569" applyNumberFormat="1" applyFont="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0" fontId="20" fillId="0" borderId="11" xfId="569" applyFont="1" applyBorder="1" applyAlignment="1">
      <alignment horizontal="right" vertical="top" wrapText="1"/>
    </xf>
    <xf numFmtId="0" fontId="54" fillId="0" borderId="0" xfId="569" applyFont="1" applyAlignment="1">
      <alignment horizontal="left" vertical="top"/>
    </xf>
    <xf numFmtId="6" fontId="53" fillId="0" borderId="0" xfId="569" applyNumberFormat="1" applyFont="1" applyAlignment="1">
      <alignment horizontal="left" vertical="top"/>
    </xf>
    <xf numFmtId="0" fontId="106" fillId="0" borderId="0" xfId="569" applyFont="1" applyAlignment="1">
      <alignment horizontal="left" vertical="top"/>
    </xf>
    <xf numFmtId="6" fontId="53" fillId="0" borderId="0" xfId="569" applyNumberFormat="1" applyFont="1" applyAlignment="1">
      <alignment vertical="top" wrapText="1"/>
    </xf>
    <xf numFmtId="0" fontId="53" fillId="0" borderId="0" xfId="569" applyFont="1" applyAlignment="1">
      <alignment horizontal="left" vertical="top"/>
    </xf>
    <xf numFmtId="0" fontId="53" fillId="0" borderId="12" xfId="569" applyFont="1" applyBorder="1" applyAlignment="1">
      <alignment vertical="top" wrapText="1"/>
    </xf>
    <xf numFmtId="0" fontId="24" fillId="0" borderId="0" xfId="569" applyFont="1" applyAlignment="1">
      <alignment horizontal="left" vertical="top"/>
    </xf>
    <xf numFmtId="0" fontId="109" fillId="0" borderId="0" xfId="569" applyFont="1" applyAlignment="1">
      <alignment horizontal="left" vertical="top"/>
    </xf>
    <xf numFmtId="0" fontId="64"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53" fillId="0" borderId="0" xfId="569" applyFont="1" applyAlignment="1">
      <alignment vertical="top"/>
    </xf>
    <xf numFmtId="168" fontId="53" fillId="0" borderId="0" xfId="569" applyNumberFormat="1" applyFont="1" applyAlignment="1" applyProtection="1">
      <alignment horizontal="right" vertical="top" wrapText="1"/>
      <protection locked="0"/>
    </xf>
    <xf numFmtId="0" fontId="17" fillId="0" borderId="0" xfId="569" applyAlignment="1">
      <alignment vertical="top" wrapText="1"/>
    </xf>
    <xf numFmtId="0" fontId="17" fillId="0" borderId="0" xfId="569" applyAlignment="1">
      <alignment vertical="top"/>
    </xf>
    <xf numFmtId="0" fontId="53" fillId="0" borderId="0" xfId="569" applyFont="1" applyAlignment="1">
      <alignment horizontal="right" vertical="top" wrapText="1"/>
    </xf>
    <xf numFmtId="0" fontId="24" fillId="0" borderId="0" xfId="569" applyFont="1" applyAlignment="1">
      <alignment horizontal="left" vertical="top" wrapText="1"/>
    </xf>
    <xf numFmtId="168" fontId="53"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17" fillId="0" borderId="0" xfId="569" applyAlignment="1">
      <alignment horizontal="right" vertical="top" wrapText="1"/>
    </xf>
    <xf numFmtId="0" fontId="17" fillId="0" borderId="0" xfId="569" applyAlignment="1">
      <alignment horizontal="left" vertical="top"/>
    </xf>
    <xf numFmtId="0" fontId="81" fillId="0" borderId="0" xfId="569" applyFont="1" applyAlignment="1">
      <alignment vertical="top" wrapText="1"/>
    </xf>
    <xf numFmtId="0" fontId="81" fillId="0" borderId="12" xfId="569" applyFont="1" applyBorder="1" applyAlignment="1">
      <alignment vertical="top" wrapText="1"/>
    </xf>
    <xf numFmtId="0" fontId="81" fillId="0" borderId="8" xfId="569" applyFont="1" applyBorder="1" applyAlignment="1">
      <alignment vertical="top" wrapText="1"/>
    </xf>
    <xf numFmtId="0" fontId="31" fillId="0" borderId="0" xfId="569" applyFont="1" applyAlignment="1">
      <alignment horizontal="right" vertical="top" wrapText="1"/>
    </xf>
    <xf numFmtId="0" fontId="81" fillId="0" borderId="0" xfId="569" applyFont="1" applyAlignment="1">
      <alignment horizontal="right" vertical="top" wrapText="1"/>
    </xf>
    <xf numFmtId="0" fontId="54" fillId="0" borderId="3" xfId="569" applyFont="1" applyBorder="1" applyAlignment="1">
      <alignment horizontal="left"/>
    </xf>
    <xf numFmtId="0" fontId="54" fillId="0" borderId="13" xfId="569" applyFont="1" applyBorder="1" applyAlignment="1">
      <alignment horizontal="center" wrapText="1"/>
    </xf>
    <xf numFmtId="0" fontId="54" fillId="0" borderId="8" xfId="569" applyFont="1" applyBorder="1" applyAlignment="1">
      <alignment horizontal="center" wrapText="1"/>
    </xf>
    <xf numFmtId="0" fontId="54"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wrapText="1"/>
    </xf>
    <xf numFmtId="0" fontId="17" fillId="0" borderId="0" xfId="569" applyAlignment="1">
      <alignment vertical="center"/>
    </xf>
    <xf numFmtId="0" fontId="41"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107" fillId="0" borderId="0" xfId="569" applyFont="1" applyAlignment="1">
      <alignment horizontal="left" vertical="top" wrapText="1"/>
    </xf>
    <xf numFmtId="168"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65" fillId="0" borderId="0" xfId="271" applyFont="1" applyAlignment="1">
      <alignment horizontal="left"/>
    </xf>
    <xf numFmtId="0" fontId="65" fillId="0" borderId="0" xfId="271" applyFont="1" applyAlignment="1">
      <alignment horizontal="right"/>
    </xf>
    <xf numFmtId="168" fontId="22" fillId="0" borderId="11" xfId="271" applyNumberFormat="1" applyFont="1" applyBorder="1"/>
    <xf numFmtId="168" fontId="22" fillId="0" borderId="0" xfId="271" applyNumberFormat="1" applyFont="1"/>
    <xf numFmtId="0" fontId="53" fillId="0" borderId="0" xfId="569" applyFont="1" applyAlignment="1">
      <alignment horizontal="left"/>
    </xf>
    <xf numFmtId="0" fontId="17" fillId="0" borderId="3" xfId="569" applyBorder="1"/>
    <xf numFmtId="0" fontId="108" fillId="0" borderId="0" xfId="1834"/>
    <xf numFmtId="0" fontId="0" fillId="0" borderId="0" xfId="0" applyAlignment="1">
      <alignment horizontal="left" vertical="top"/>
    </xf>
    <xf numFmtId="0" fontId="107" fillId="0" borderId="0" xfId="0" applyFont="1" applyAlignment="1">
      <alignment vertical="top" wrapText="1"/>
    </xf>
    <xf numFmtId="0" fontId="53" fillId="0" borderId="0" xfId="271" applyFont="1" applyAlignment="1">
      <alignment vertical="top" wrapText="1"/>
    </xf>
    <xf numFmtId="4" fontId="17" fillId="0" borderId="0" xfId="1192" applyNumberFormat="1" applyAlignment="1">
      <alignment horizontal="left" vertical="top" wrapText="1"/>
    </xf>
    <xf numFmtId="0" fontId="17" fillId="0" borderId="0" xfId="0" applyFont="1" applyAlignment="1">
      <alignment horizontal="left" vertical="top" wrapText="1"/>
    </xf>
    <xf numFmtId="0" fontId="24" fillId="0" borderId="12" xfId="543" applyFont="1" applyBorder="1" applyAlignment="1">
      <alignment horizontal="right"/>
    </xf>
    <xf numFmtId="0" fontId="36" fillId="0" borderId="0" xfId="543" applyFont="1" applyAlignment="1">
      <alignment horizontal="center"/>
    </xf>
    <xf numFmtId="4" fontId="17" fillId="0" borderId="0" xfId="569" applyNumberFormat="1" applyAlignment="1">
      <alignment horizontal="left"/>
    </xf>
    <xf numFmtId="0" fontId="17" fillId="0" borderId="0" xfId="569" applyAlignment="1">
      <alignment horizontal="left" vertical="top" wrapText="1"/>
    </xf>
    <xf numFmtId="0" fontId="17" fillId="0" borderId="0" xfId="569" applyAlignment="1">
      <alignment horizontal="left"/>
    </xf>
    <xf numFmtId="0" fontId="17" fillId="0" borderId="0" xfId="1192" applyAlignment="1">
      <alignment horizontal="left"/>
    </xf>
    <xf numFmtId="0" fontId="24" fillId="0" borderId="0" xfId="569" applyFont="1" applyAlignment="1">
      <alignment horizontal="left"/>
    </xf>
    <xf numFmtId="0" fontId="46" fillId="0" borderId="0" xfId="1192" applyFont="1"/>
    <xf numFmtId="0" fontId="53" fillId="0" borderId="11" xfId="0" applyFont="1" applyBorder="1" applyAlignment="1">
      <alignment horizontal="right" vertical="center"/>
    </xf>
    <xf numFmtId="0" fontId="17" fillId="0" borderId="0" xfId="1192" applyAlignment="1">
      <alignment horizontal="left" vertical="top" wrapText="1"/>
    </xf>
    <xf numFmtId="0" fontId="46" fillId="0" borderId="0" xfId="0" applyFont="1" applyAlignment="1">
      <alignment vertical="top" wrapText="1"/>
    </xf>
    <xf numFmtId="0" fontId="46" fillId="0" borderId="0" xfId="0" applyFont="1" applyAlignment="1">
      <alignment horizontal="left" vertical="top" wrapText="1"/>
    </xf>
    <xf numFmtId="6" fontId="54" fillId="0" borderId="0" xfId="569" applyNumberFormat="1" applyFont="1" applyAlignment="1">
      <alignment horizontal="right" vertical="top"/>
    </xf>
    <xf numFmtId="0" fontId="17" fillId="0" borderId="0" xfId="0" applyFont="1" applyAlignment="1">
      <alignment vertical="top" wrapText="1"/>
    </xf>
    <xf numFmtId="168" fontId="26" fillId="0" borderId="0" xfId="0" applyNumberFormat="1" applyFont="1" applyAlignment="1">
      <alignment horizontal="right"/>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17" fillId="0" borderId="0" xfId="0" applyFont="1" applyAlignment="1">
      <alignment wrapText="1"/>
    </xf>
    <xf numFmtId="0" fontId="46" fillId="0" borderId="0" xfId="0" applyFont="1" applyAlignment="1">
      <alignment horizontal="left" vertical="top"/>
    </xf>
    <xf numFmtId="0" fontId="46" fillId="0" borderId="0" xfId="0" applyFont="1" applyAlignment="1">
      <alignment vertical="top"/>
    </xf>
    <xf numFmtId="0" fontId="17" fillId="0" borderId="0" xfId="569" applyAlignment="1">
      <alignment horizontal="center"/>
    </xf>
    <xf numFmtId="0" fontId="35" fillId="0" borderId="0" xfId="569" applyFont="1" applyAlignment="1">
      <alignment horizontal="left"/>
    </xf>
    <xf numFmtId="0" fontId="35" fillId="0" borderId="0" xfId="569" applyFont="1" applyAlignment="1">
      <alignment horizontal="center"/>
    </xf>
    <xf numFmtId="49" fontId="24" fillId="0" borderId="0" xfId="569" applyNumberFormat="1" applyFont="1" applyAlignment="1">
      <alignment horizontal="center"/>
    </xf>
    <xf numFmtId="0" fontId="51"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24" fillId="0" borderId="0" xfId="569" applyFont="1"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51"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9" fillId="0" borderId="0" xfId="569" applyFont="1" applyAlignment="1">
      <alignment horizontal="left"/>
    </xf>
    <xf numFmtId="4" fontId="51"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7" fillId="0" borderId="0" xfId="569" applyFont="1" applyAlignment="1">
      <alignment horizontal="left"/>
    </xf>
    <xf numFmtId="0" fontId="18" fillId="0" borderId="0" xfId="244" applyNumberFormat="1" applyFill="1" applyAlignment="1" applyProtection="1">
      <alignment horizontal="left"/>
      <protection locked="0"/>
    </xf>
    <xf numFmtId="0" fontId="53" fillId="0" borderId="11" xfId="0" applyFont="1" applyBorder="1" applyAlignment="1" applyProtection="1">
      <alignment horizontal="right" vertical="top" wrapText="1"/>
      <protection locked="0"/>
    </xf>
    <xf numFmtId="168" fontId="56" fillId="44" borderId="11" xfId="0" applyNumberFormat="1" applyFont="1" applyFill="1" applyBorder="1" applyAlignment="1">
      <alignment vertical="top" wrapText="1"/>
    </xf>
    <xf numFmtId="0" fontId="17" fillId="0" borderId="11" xfId="271" applyFont="1" applyBorder="1" applyAlignment="1">
      <alignment horizontal="right" vertical="top" wrapText="1"/>
    </xf>
    <xf numFmtId="0" fontId="25" fillId="0" borderId="0" xfId="569" applyFont="1" applyAlignment="1">
      <alignment horizontal="left"/>
    </xf>
    <xf numFmtId="0" fontId="105" fillId="0" borderId="0" xfId="0" applyFont="1"/>
    <xf numFmtId="0" fontId="116" fillId="0" borderId="0" xfId="0" applyFont="1" applyAlignment="1">
      <alignment horizontal="left" vertical="top"/>
    </xf>
    <xf numFmtId="0" fontId="117" fillId="0" borderId="0" xfId="0" applyFont="1" applyAlignment="1">
      <alignment horizontal="left" vertical="top"/>
    </xf>
    <xf numFmtId="168" fontId="25" fillId="0" borderId="0" xfId="0" applyNumberFormat="1" applyFont="1" applyAlignment="1">
      <alignment horizontal="left" vertical="top" wrapText="1"/>
    </xf>
    <xf numFmtId="168" fontId="53" fillId="5" borderId="11" xfId="0" applyNumberFormat="1" applyFont="1" applyFill="1" applyBorder="1" applyAlignment="1">
      <alignment vertical="top" wrapText="1"/>
    </xf>
    <xf numFmtId="0" fontId="17" fillId="0" borderId="0" xfId="271" applyFont="1" applyAlignment="1">
      <alignment horizontal="left" vertical="top"/>
    </xf>
    <xf numFmtId="0" fontId="53" fillId="0" borderId="0" xfId="569" applyFont="1"/>
    <xf numFmtId="0" fontId="17" fillId="0" borderId="0" xfId="0" applyFont="1" applyAlignment="1">
      <alignment horizontal="left" vertical="top"/>
    </xf>
    <xf numFmtId="4" fontId="17" fillId="0" borderId="0" xfId="1192" applyNumberFormat="1" applyAlignment="1">
      <alignment vertical="top" wrapText="1"/>
    </xf>
    <xf numFmtId="0" fontId="24" fillId="0" borderId="16" xfId="271" applyFont="1" applyBorder="1"/>
    <xf numFmtId="0" fontId="60" fillId="0" borderId="0" xfId="569" applyFont="1"/>
    <xf numFmtId="0" fontId="41" fillId="0" borderId="0" xfId="569" applyFont="1"/>
    <xf numFmtId="0" fontId="17" fillId="0" borderId="0" xfId="1192" applyAlignment="1">
      <alignment vertical="top" wrapText="1"/>
    </xf>
    <xf numFmtId="49" fontId="17" fillId="0" borderId="0" xfId="1192" applyNumberFormat="1" applyAlignment="1">
      <alignment vertical="top" wrapText="1"/>
    </xf>
    <xf numFmtId="0" fontId="55" fillId="0" borderId="9" xfId="543" applyFont="1" applyBorder="1" applyAlignment="1">
      <alignment vertical="top"/>
    </xf>
    <xf numFmtId="0" fontId="17" fillId="0" borderId="0" xfId="0" applyFont="1" applyAlignment="1">
      <alignment vertical="center"/>
    </xf>
    <xf numFmtId="0" fontId="118" fillId="0" borderId="0" xfId="0" applyFont="1"/>
    <xf numFmtId="3" fontId="105" fillId="0" borderId="0" xfId="0" applyNumberFormat="1" applyFont="1"/>
    <xf numFmtId="0" fontId="105" fillId="0" borderId="0" xfId="0" applyFont="1" applyAlignment="1">
      <alignment horizontal="left"/>
    </xf>
    <xf numFmtId="168" fontId="119" fillId="0" borderId="0" xfId="0" applyNumberFormat="1" applyFont="1" applyAlignment="1">
      <alignment horizontal="left" vertical="top"/>
    </xf>
    <xf numFmtId="0" fontId="105" fillId="0" borderId="0" xfId="0" applyFont="1" applyAlignment="1">
      <alignment horizontal="left" vertical="center"/>
    </xf>
    <xf numFmtId="0" fontId="121"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24" fillId="0" borderId="0" xfId="4495" applyFont="1" applyAlignment="1">
      <alignment horizontal="right"/>
    </xf>
    <xf numFmtId="0" fontId="35" fillId="0" borderId="0" xfId="4495" applyFont="1" applyAlignment="1">
      <alignment horizontal="left" vertical="center"/>
    </xf>
    <xf numFmtId="0" fontId="17" fillId="0" borderId="0" xfId="1192" quotePrefix="1" applyAlignment="1">
      <alignment horizontal="center"/>
    </xf>
    <xf numFmtId="0" fontId="47"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23" fillId="0" borderId="53" xfId="4496" applyFont="1" applyBorder="1" applyAlignment="1">
      <alignment horizontal="left" vertical="top"/>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7" fillId="0" borderId="0" xfId="4495" applyFont="1" applyAlignment="1">
      <alignment horizontal="left" vertical="center"/>
    </xf>
    <xf numFmtId="0" fontId="124" fillId="0" borderId="0" xfId="4496" applyFont="1" applyAlignment="1">
      <alignment vertical="center"/>
    </xf>
    <xf numFmtId="0" fontId="122" fillId="0" borderId="0" xfId="4496" applyFont="1"/>
    <xf numFmtId="0" fontId="122" fillId="0" borderId="0" xfId="4496" applyFont="1" applyAlignment="1">
      <alignment vertical="center"/>
    </xf>
    <xf numFmtId="0" fontId="12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2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2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22" fillId="0" borderId="53" xfId="4496" applyFont="1" applyBorder="1" applyAlignment="1">
      <alignment vertical="top" wrapText="1"/>
    </xf>
    <xf numFmtId="0" fontId="122" fillId="0" borderId="0" xfId="4496" applyFont="1" applyAlignment="1">
      <alignment vertical="top" wrapText="1"/>
    </xf>
    <xf numFmtId="10" fontId="122" fillId="0" borderId="0" xfId="4496" applyNumberFormat="1" applyFont="1" applyAlignment="1">
      <alignment vertical="top" wrapText="1"/>
    </xf>
    <xf numFmtId="0" fontId="122" fillId="0" borderId="54" xfId="4496" applyFont="1" applyBorder="1" applyAlignment="1">
      <alignment vertical="top" wrapText="1"/>
    </xf>
    <xf numFmtId="0" fontId="122" fillId="0" borderId="0" xfId="4496" applyFont="1" applyAlignment="1">
      <alignment vertical="top"/>
    </xf>
    <xf numFmtId="165" fontId="12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22" fillId="0" borderId="53" xfId="4496" applyFont="1" applyBorder="1" applyAlignment="1">
      <alignment horizontal="left" vertical="top" wrapText="1"/>
    </xf>
    <xf numFmtId="0" fontId="12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0" xfId="4495" applyFont="1" applyAlignment="1">
      <alignment horizontal="center"/>
    </xf>
    <xf numFmtId="0" fontId="24" fillId="0" borderId="8" xfId="4495" applyFont="1" applyBorder="1"/>
    <xf numFmtId="0" fontId="25" fillId="0" borderId="0" xfId="4495" applyFont="1" applyAlignment="1">
      <alignment horizontal="left"/>
    </xf>
    <xf numFmtId="0" fontId="24" fillId="0" borderId="0" xfId="4495" applyFont="1" applyAlignment="1">
      <alignment horizontal="center" vertical="top"/>
    </xf>
    <xf numFmtId="0" fontId="17" fillId="0" borderId="0" xfId="4495" applyFont="1" applyAlignment="1">
      <alignment horizontal="center"/>
    </xf>
    <xf numFmtId="0" fontId="33" fillId="0" borderId="0" xfId="4495" applyFont="1"/>
    <xf numFmtId="0" fontId="25" fillId="0" borderId="8" xfId="4495" applyFont="1" applyBorder="1"/>
    <xf numFmtId="0" fontId="53"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17" fillId="0" borderId="0" xfId="4495" applyFont="1" applyAlignment="1">
      <alignment horizontal="left"/>
    </xf>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53"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24" fillId="0" borderId="0" xfId="4495" applyFont="1" applyAlignment="1">
      <alignment horizontal="lef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0" fontId="24" fillId="0" borderId="0" xfId="4495" applyFont="1" applyAlignment="1">
      <alignment horizontal="left" vertical="top"/>
    </xf>
    <xf numFmtId="1" fontId="120" fillId="0" borderId="0" xfId="4495" applyNumberFormat="1"/>
    <xf numFmtId="0" fontId="17" fillId="0" borderId="0" xfId="4495" applyFont="1" applyAlignment="1">
      <alignment vertical="top" wrapText="1"/>
    </xf>
    <xf numFmtId="0" fontId="17" fillId="0" borderId="0" xfId="4495" applyFont="1" applyAlignment="1">
      <alignment horizontal="lef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20" fillId="0" borderId="0" xfId="4495" applyAlignment="1" applyProtection="1">
      <alignment horizontal="center"/>
      <protection locked="0"/>
    </xf>
    <xf numFmtId="0" fontId="17" fillId="0" borderId="53" xfId="4495" applyFont="1" applyBorder="1" applyAlignment="1">
      <alignment vertical="top"/>
    </xf>
    <xf numFmtId="0" fontId="17" fillId="0" borderId="54" xfId="4495" applyFont="1" applyBorder="1" applyAlignment="1">
      <alignment vertical="top" wrapText="1"/>
    </xf>
    <xf numFmtId="0" fontId="61"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61"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2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2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applyFont="1" applyAlignment="1">
      <alignment horizontal="center"/>
    </xf>
    <xf numFmtId="0" fontId="25" fillId="0" borderId="0" xfId="4495" quotePrefix="1" applyFont="1"/>
    <xf numFmtId="0" fontId="25" fillId="0" borderId="0" xfId="4495" applyFont="1" applyAlignment="1">
      <alignment horizontal="left" vertical="top" shrinkToFit="1"/>
    </xf>
    <xf numFmtId="0" fontId="47" fillId="0" borderId="0" xfId="4495" applyFont="1"/>
    <xf numFmtId="0" fontId="25" fillId="0" borderId="3" xfId="4495" applyFont="1" applyBorder="1" applyAlignment="1">
      <alignment horizontal="center"/>
    </xf>
    <xf numFmtId="0" fontId="120" fillId="0" borderId="8" xfId="4495" applyBorder="1"/>
    <xf numFmtId="0" fontId="24" fillId="0" borderId="8" xfId="4495" applyFont="1" applyBorder="1" applyAlignment="1">
      <alignment vertical="top"/>
    </xf>
    <xf numFmtId="0" fontId="120" fillId="0" borderId="0" xfId="4495" applyAlignment="1">
      <alignment vertical="top"/>
    </xf>
    <xf numFmtId="0" fontId="24"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5" fillId="0" borderId="6" xfId="4495" applyFont="1" applyBorder="1"/>
    <xf numFmtId="1" fontId="25" fillId="0" borderId="8" xfId="4495" applyNumberFormat="1" applyFont="1" applyBorder="1" applyAlignment="1">
      <alignment horizontal="center" vertical="top"/>
    </xf>
    <xf numFmtId="0" fontId="120" fillId="0" borderId="12" xfId="4495" applyBorder="1"/>
    <xf numFmtId="0" fontId="25" fillId="0" borderId="9" xfId="4495" applyFont="1" applyBorder="1"/>
    <xf numFmtId="0" fontId="120" fillId="0" borderId="10" xfId="4495" applyBorder="1"/>
    <xf numFmtId="0" fontId="33" fillId="0" borderId="3" xfId="4495" applyFont="1" applyBorder="1"/>
    <xf numFmtId="0" fontId="24" fillId="0" borderId="4" xfId="4495" applyFont="1" applyBorder="1"/>
    <xf numFmtId="0" fontId="120" fillId="0" borderId="12" xfId="4495" applyBorder="1" applyAlignment="1">
      <alignment vertical="top"/>
    </xf>
    <xf numFmtId="0" fontId="33"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3" fillId="0" borderId="9" xfId="4495" applyFont="1" applyBorder="1"/>
    <xf numFmtId="0" fontId="25" fillId="0" borderId="10" xfId="4495" applyFont="1" applyBorder="1"/>
    <xf numFmtId="0" fontId="13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24" fillId="0" borderId="54" xfId="4495" applyFont="1" applyBorder="1" applyAlignment="1">
      <alignment horizontal="center"/>
    </xf>
    <xf numFmtId="0" fontId="33" fillId="0" borderId="0" xfId="4495" applyFont="1" applyAlignment="1">
      <alignment vertical="top"/>
    </xf>
    <xf numFmtId="0" fontId="25" fillId="0" borderId="61" xfId="4495" applyFont="1" applyBorder="1"/>
    <xf numFmtId="0" fontId="12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20" fillId="0" borderId="61" xfId="4495" applyBorder="1"/>
    <xf numFmtId="0" fontId="120" fillId="0" borderId="0" xfId="4495" applyAlignment="1">
      <alignment horizontal="center"/>
    </xf>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2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0" fontId="24" fillId="0" borderId="54" xfId="4495" applyFont="1" applyBorder="1" applyAlignment="1">
      <alignment horizontal="center" vertical="top"/>
    </xf>
    <xf numFmtId="0" fontId="120" fillId="0" borderId="53" xfId="4495" applyBorder="1" applyAlignment="1">
      <alignment horizontal="center"/>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29" fillId="0" borderId="0" xfId="4495" applyFont="1"/>
    <xf numFmtId="0" fontId="12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2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53" fillId="0" borderId="0" xfId="4495" applyFont="1" applyAlignment="1">
      <alignment horizontal="left" vertical="top"/>
    </xf>
    <xf numFmtId="0" fontId="25" fillId="0" borderId="0" xfId="4495" quotePrefix="1" applyFont="1" applyAlignment="1">
      <alignment horizontal="center" vertical="top"/>
    </xf>
    <xf numFmtId="0" fontId="54" fillId="0" borderId="0" xfId="4495" applyFont="1" applyAlignment="1">
      <alignment horizontal="center"/>
    </xf>
    <xf numFmtId="0" fontId="54" fillId="0" borderId="0" xfId="4495" applyFont="1" applyAlignment="1">
      <alignment vertical="top"/>
    </xf>
    <xf numFmtId="0" fontId="107" fillId="0" borderId="0" xfId="4495" applyFont="1"/>
    <xf numFmtId="0" fontId="53"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53" fillId="0" borderId="51" xfId="4495" applyFont="1" applyBorder="1" applyAlignment="1">
      <alignment horizontal="left" vertical="top"/>
    </xf>
    <xf numFmtId="0" fontId="120" fillId="0" borderId="53" xfId="4495" applyBorder="1"/>
    <xf numFmtId="0" fontId="107"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25" fillId="0" borderId="51" xfId="4495" applyFont="1" applyBorder="1" applyAlignment="1">
      <alignment horizontal="lef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2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24" fillId="0" borderId="3" xfId="4495" applyFont="1" applyBorder="1" applyAlignment="1">
      <alignment horizontal="left"/>
    </xf>
    <xf numFmtId="0" fontId="24" fillId="0" borderId="4"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0" fontId="24" fillId="0" borderId="5" xfId="4495" applyFont="1" applyBorder="1" applyAlignment="1">
      <alignment horizontal="left"/>
    </xf>
    <xf numFmtId="180" fontId="64" fillId="0" borderId="0" xfId="4495" applyNumberFormat="1" applyFont="1" applyAlignment="1">
      <alignment horizontal="center" vertical="center"/>
    </xf>
    <xf numFmtId="0" fontId="17" fillId="0" borderId="12" xfId="4495" applyFont="1" applyBorder="1" applyAlignment="1">
      <alignment vertical="top"/>
    </xf>
    <xf numFmtId="0" fontId="47" fillId="0" borderId="0" xfId="4495" applyFont="1" applyAlignment="1">
      <alignment vertical="top" wrapText="1"/>
    </xf>
    <xf numFmtId="0" fontId="17" fillId="0" borderId="51" xfId="4495" applyFont="1" applyBorder="1" applyAlignment="1">
      <alignment horizontal="lef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left" vertical="top" wrapText="1"/>
    </xf>
    <xf numFmtId="0" fontId="17" fillId="0" borderId="58" xfId="4495" applyFont="1" applyBorder="1" applyAlignment="1">
      <alignment horizontal="right"/>
    </xf>
    <xf numFmtId="0" fontId="17" fillId="0" borderId="59" xfId="4495" applyFont="1" applyBorder="1" applyAlignment="1">
      <alignment horizontal="right"/>
    </xf>
    <xf numFmtId="0" fontId="47"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165" fontId="17" fillId="0" borderId="0" xfId="1192" applyNumberFormat="1" applyAlignment="1">
      <alignment horizontal="right"/>
    </xf>
    <xf numFmtId="2" fontId="17" fillId="0" borderId="0" xfId="1192" applyNumberFormat="1"/>
    <xf numFmtId="6" fontId="17" fillId="0" borderId="0" xfId="1192" applyNumberFormat="1"/>
    <xf numFmtId="0" fontId="24" fillId="0" borderId="0" xfId="1192" applyFont="1"/>
    <xf numFmtId="0" fontId="47" fillId="0" borderId="0" xfId="1192" applyFont="1"/>
    <xf numFmtId="168" fontId="17" fillId="0" borderId="0" xfId="4495" applyNumberFormat="1" applyFont="1"/>
    <xf numFmtId="0" fontId="24" fillId="0" borderId="0" xfId="1192" applyFont="1" applyAlignment="1">
      <alignment vertical="center"/>
    </xf>
    <xf numFmtId="0" fontId="118" fillId="0" borderId="0" xfId="1192" applyFont="1" applyAlignment="1">
      <alignment horizontal="left"/>
    </xf>
    <xf numFmtId="0" fontId="115" fillId="0" borderId="0" xfId="1192" applyFont="1" applyAlignment="1">
      <alignment horizontal="left"/>
    </xf>
    <xf numFmtId="0" fontId="115"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0" xfId="1192" applyAlignment="1">
      <alignment horizontal="right"/>
    </xf>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54" fillId="0" borderId="4" xfId="4495" applyFont="1" applyBorder="1"/>
    <xf numFmtId="0" fontId="37" fillId="0" borderId="0" xfId="543" applyFont="1" applyAlignment="1">
      <alignment vertical="center" wrapText="1"/>
    </xf>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5" fontId="122" fillId="0" borderId="0" xfId="4496" applyNumberFormat="1" applyFont="1" applyAlignment="1">
      <alignment horizontal="center" vertical="top" wrapText="1"/>
    </xf>
    <xf numFmtId="168" fontId="122" fillId="0" borderId="0" xfId="4496" applyNumberFormat="1" applyFont="1" applyAlignment="1">
      <alignment vertical="top" wrapText="1"/>
    </xf>
    <xf numFmtId="165" fontId="122" fillId="0" borderId="64" xfId="4496" applyNumberFormat="1" applyFont="1" applyBorder="1" applyAlignment="1">
      <alignment horizontal="center" vertical="top" wrapText="1"/>
    </xf>
    <xf numFmtId="165" fontId="122" fillId="0" borderId="53" xfId="4496" applyNumberFormat="1" applyFont="1" applyBorder="1" applyAlignment="1">
      <alignment horizontal="left" vertical="top"/>
    </xf>
    <xf numFmtId="165" fontId="122" fillId="0" borderId="53" xfId="4496" applyNumberFormat="1" applyFont="1" applyBorder="1" applyAlignment="1">
      <alignment horizontal="center" vertical="top" wrapText="1"/>
    </xf>
    <xf numFmtId="168" fontId="122" fillId="0" borderId="0" xfId="4496" applyNumberFormat="1" applyFont="1" applyAlignment="1">
      <alignment vertical="top"/>
    </xf>
    <xf numFmtId="1" fontId="122" fillId="0" borderId="0" xfId="4496" applyNumberFormat="1" applyFont="1" applyAlignment="1">
      <alignment vertical="top" wrapText="1"/>
    </xf>
    <xf numFmtId="164" fontId="25" fillId="0" borderId="0" xfId="4495" applyNumberFormat="1" applyFont="1"/>
    <xf numFmtId="0" fontId="24" fillId="0" borderId="8"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4" fillId="0" borderId="7" xfId="0" applyFont="1" applyBorder="1" applyAlignment="1">
      <alignment horizontal="right"/>
    </xf>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50" fillId="0" borderId="0" xfId="0" applyFont="1" applyAlignment="1">
      <alignment horizontal="center"/>
    </xf>
    <xf numFmtId="0" fontId="23" fillId="0" borderId="0" xfId="0" applyFont="1" applyAlignment="1">
      <alignment horizontal="center" vertical="center" wrapText="1"/>
    </xf>
    <xf numFmtId="0" fontId="32" fillId="0" borderId="0" xfId="0" applyFont="1" applyAlignment="1">
      <alignment horizontal="center"/>
    </xf>
    <xf numFmtId="0" fontId="25" fillId="0" borderId="0" xfId="0" applyFont="1" applyAlignment="1">
      <alignment horizontal="center"/>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17" fillId="0" borderId="58" xfId="4495" applyFont="1" applyBorder="1" applyAlignment="1">
      <alignment vertical="center" wrapText="1"/>
    </xf>
    <xf numFmtId="0" fontId="17" fillId="0" borderId="59" xfId="4495" applyFont="1" applyBorder="1" applyAlignment="1">
      <alignment vertical="center" wrapText="1"/>
    </xf>
    <xf numFmtId="0" fontId="17" fillId="0" borderId="0" xfId="4495" applyFont="1" applyAlignment="1">
      <alignment horizontal="left" vertical="center" wrapText="1"/>
    </xf>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171" fontId="17" fillId="0" borderId="11" xfId="543" applyNumberFormat="1" applyBorder="1"/>
    <xf numFmtId="1" fontId="17" fillId="0" borderId="11" xfId="543" applyNumberFormat="1" applyBorder="1" applyAlignment="1">
      <alignment horizontal="center"/>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37" fillId="0" borderId="12" xfId="543" applyFont="1" applyBorder="1" applyAlignment="1">
      <alignment horizontal="center" vertical="top"/>
    </xf>
    <xf numFmtId="0" fontId="38" fillId="0" borderId="7" xfId="543" applyFont="1" applyBorder="1"/>
    <xf numFmtId="0" fontId="17" fillId="0" borderId="12" xfId="543" quotePrefix="1" applyBorder="1"/>
    <xf numFmtId="0" fontId="53"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46"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0" xfId="4495" applyFont="1" applyAlignment="1">
      <alignment horizontal="left" vertical="top" wrapText="1" shrinkToFit="1"/>
    </xf>
    <xf numFmtId="0" fontId="17" fillId="0" borderId="6" xfId="4495" applyFont="1" applyBorder="1" applyAlignment="1">
      <alignment vertical="top" wrapText="1"/>
    </xf>
    <xf numFmtId="0" fontId="14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0" xfId="707" applyFont="1" applyFill="1" applyBorder="1" applyAlignment="1" applyProtection="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0" xfId="4495" applyFont="1" applyAlignment="1">
      <alignment horizontal="left" vertical="center" wrapText="1" shrinkToFit="1"/>
    </xf>
    <xf numFmtId="0" fontId="17" fillId="0" borderId="6" xfId="4495" applyFont="1" applyBorder="1" applyAlignment="1">
      <alignment horizontal="left" vertical="top" wrapText="1"/>
    </xf>
    <xf numFmtId="2" fontId="11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72" fontId="17" fillId="0" borderId="11" xfId="0" applyNumberFormat="1" applyFont="1" applyBorder="1" applyAlignment="1">
      <alignment horizontal="center"/>
    </xf>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9" fillId="0" borderId="0" xfId="4496" applyFont="1"/>
    <xf numFmtId="168" fontId="53" fillId="5" borderId="11" xfId="0" applyNumberFormat="1" applyFont="1" applyFill="1" applyBorder="1" applyAlignment="1" applyProtection="1">
      <alignment vertical="top" wrapText="1"/>
      <protection locked="0"/>
    </xf>
    <xf numFmtId="0" fontId="17" fillId="0" borderId="0" xfId="0" applyFont="1" applyAlignment="1">
      <alignment horizontal="left" wrapText="1"/>
    </xf>
    <xf numFmtId="4" fontId="35" fillId="0" borderId="0" xfId="0" applyNumberFormat="1" applyFont="1" applyAlignment="1">
      <alignment horizontal="left"/>
    </xf>
    <xf numFmtId="4" fontId="17" fillId="0" borderId="0" xfId="0" applyNumberFormat="1" applyFont="1" applyAlignment="1">
      <alignment horizontal="left" vertical="top" wrapText="1"/>
    </xf>
    <xf numFmtId="0" fontId="24" fillId="0" borderId="4" xfId="0" applyFont="1" applyBorder="1" applyAlignment="1">
      <alignment horizontal="left"/>
    </xf>
    <xf numFmtId="4" fontId="17" fillId="0" borderId="0" xfId="0" applyNumberFormat="1" applyFont="1" applyAlignment="1">
      <alignment horizontal="left"/>
    </xf>
    <xf numFmtId="43" fontId="51"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7" fillId="0" borderId="0" xfId="0" applyFont="1" applyAlignment="1">
      <alignment horizontal="left"/>
    </xf>
    <xf numFmtId="0" fontId="17" fillId="0" borderId="4" xfId="0" applyFont="1" applyBorder="1" applyAlignment="1">
      <alignment horizontal="left"/>
    </xf>
    <xf numFmtId="0" fontId="17" fillId="0" borderId="0" xfId="0" quotePrefix="1" applyFont="1" applyAlignment="1">
      <alignment horizontal="left"/>
    </xf>
    <xf numFmtId="0" fontId="17" fillId="0" borderId="0" xfId="0" quotePrefix="1" applyFont="1" applyAlignment="1">
      <alignment horizontal="left" vertical="top"/>
    </xf>
    <xf numFmtId="0" fontId="47" fillId="0" borderId="0" xfId="1192" applyFont="1" applyAlignment="1">
      <alignment horizontal="left"/>
    </xf>
    <xf numFmtId="0" fontId="51"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22" fillId="0" borderId="0" xfId="4496" applyNumberFormat="1" applyFont="1" applyAlignment="1">
      <alignment horizontal="center" vertical="top" wrapText="1"/>
    </xf>
    <xf numFmtId="10" fontId="122" fillId="0" borderId="64" xfId="4496" applyNumberFormat="1" applyFont="1" applyBorder="1" applyAlignment="1">
      <alignment horizontal="center" vertical="top" wrapText="1"/>
    </xf>
    <xf numFmtId="10" fontId="122"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7" fillId="0" borderId="0" xfId="1192" quotePrefix="1" applyNumberFormat="1" applyAlignment="1">
      <alignment horizontal="center"/>
    </xf>
    <xf numFmtId="0" fontId="122" fillId="0" borderId="0" xfId="4495" applyFont="1"/>
    <xf numFmtId="10" fontId="122" fillId="0" borderId="0" xfId="4495" applyNumberFormat="1" applyFont="1"/>
    <xf numFmtId="172" fontId="17" fillId="0" borderId="0" xfId="4495" applyNumberFormat="1" applyFont="1"/>
    <xf numFmtId="0" fontId="40" fillId="0" borderId="0" xfId="0" applyFont="1" applyAlignment="1">
      <alignment horizontal="center"/>
    </xf>
    <xf numFmtId="0" fontId="36" fillId="0" borderId="0" xfId="0" applyFont="1" applyAlignment="1">
      <alignment horizontal="left"/>
    </xf>
    <xf numFmtId="0" fontId="0" fillId="0" borderId="10" xfId="0" applyBorder="1" applyAlignment="1">
      <alignment horizontal="left"/>
    </xf>
    <xf numFmtId="1" fontId="17" fillId="0" borderId="0" xfId="1192" applyNumberFormat="1" applyAlignment="1">
      <alignment horizontal="center"/>
    </xf>
    <xf numFmtId="0" fontId="120" fillId="0" borderId="63" xfId="4495" applyBorder="1"/>
    <xf numFmtId="0" fontId="53"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9" fontId="26" fillId="0" borderId="0" xfId="0" applyNumberFormat="1" applyFont="1"/>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24" fillId="0" borderId="0" xfId="1192" applyFont="1" applyAlignment="1">
      <alignment horizontal="lef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4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0" fontId="18" fillId="0" borderId="0" xfId="244" applyAlignment="1"/>
    <xf numFmtId="0" fontId="24" fillId="0" borderId="0" xfId="0" applyFont="1" applyAlignment="1">
      <alignment vertical="top" wrapText="1"/>
    </xf>
    <xf numFmtId="49" fontId="24" fillId="0" borderId="0" xfId="0" applyNumberFormat="1" applyFont="1"/>
    <xf numFmtId="49" fontId="24" fillId="0" borderId="0" xfId="0" applyNumberFormat="1" applyFont="1" applyAlignment="1">
      <alignment vertical="top"/>
    </xf>
    <xf numFmtId="0" fontId="40" fillId="0" borderId="11" xfId="0" applyFont="1" applyBorder="1"/>
    <xf numFmtId="175" fontId="17" fillId="0" borderId="0" xfId="543" applyNumberFormat="1" applyAlignment="1">
      <alignment vertical="center"/>
    </xf>
    <xf numFmtId="0" fontId="98" fillId="43" borderId="6" xfId="4496" applyFont="1" applyFill="1" applyBorder="1" applyAlignment="1" applyProtection="1">
      <alignment horizontal="center"/>
      <protection locked="0"/>
    </xf>
    <xf numFmtId="0" fontId="98" fillId="0" borderId="0" xfId="4496" applyFont="1"/>
    <xf numFmtId="0" fontId="98"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8" fillId="0" borderId="0" xfId="4496" applyNumberFormat="1" applyFont="1" applyAlignment="1">
      <alignment horizontal="center"/>
    </xf>
    <xf numFmtId="182" fontId="98" fillId="0" borderId="6" xfId="4496" applyNumberFormat="1" applyFont="1" applyBorder="1"/>
    <xf numFmtId="0" fontId="98" fillId="0" borderId="0" xfId="4496" applyFont="1" applyAlignment="1">
      <alignment vertical="center"/>
    </xf>
    <xf numFmtId="182" fontId="98" fillId="0" borderId="0" xfId="4496" applyNumberFormat="1" applyFont="1" applyAlignment="1">
      <alignment vertical="center"/>
    </xf>
    <xf numFmtId="175" fontId="98" fillId="0" borderId="0" xfId="4499" applyNumberFormat="1" applyFont="1" applyFill="1" applyBorder="1" applyAlignment="1" applyProtection="1">
      <alignment horizontal="left" vertical="center"/>
    </xf>
    <xf numFmtId="9" fontId="98" fillId="0" borderId="0" xfId="4499" applyFont="1" applyFill="1" applyBorder="1" applyAlignment="1" applyProtection="1">
      <alignment vertical="center"/>
    </xf>
    <xf numFmtId="183" fontId="98" fillId="0" borderId="0" xfId="4496" applyNumberFormat="1" applyFont="1" applyAlignment="1">
      <alignment vertical="center" wrapText="1"/>
    </xf>
    <xf numFmtId="9" fontId="98" fillId="0" borderId="0" xfId="4499" applyFont="1" applyBorder="1" applyAlignment="1" applyProtection="1">
      <alignment vertical="center"/>
    </xf>
    <xf numFmtId="164" fontId="98" fillId="0" borderId="0" xfId="4496" applyNumberFormat="1" applyFont="1" applyAlignment="1">
      <alignment vertical="center" wrapText="1"/>
    </xf>
    <xf numFmtId="0" fontId="98" fillId="0" borderId="0" xfId="4496" applyFont="1" applyAlignment="1">
      <alignment horizontal="center" vertical="center"/>
    </xf>
    <xf numFmtId="182" fontId="98" fillId="0" borderId="11" xfId="8721" applyNumberFormat="1" applyFont="1" applyBorder="1" applyProtection="1"/>
    <xf numFmtId="182" fontId="98" fillId="0" borderId="11" xfId="4496" applyNumberFormat="1" applyFont="1" applyBorder="1"/>
    <xf numFmtId="164" fontId="98" fillId="0" borderId="0" xfId="4496" applyNumberFormat="1" applyFont="1" applyAlignment="1">
      <alignment wrapText="1"/>
    </xf>
    <xf numFmtId="49" fontId="98" fillId="0" borderId="0" xfId="4496" applyNumberFormat="1" applyFont="1" applyAlignment="1">
      <alignment horizontal="left"/>
    </xf>
    <xf numFmtId="0" fontId="140" fillId="0" borderId="0" xfId="4496" applyFont="1"/>
    <xf numFmtId="9" fontId="98" fillId="0" borderId="11" xfId="4494" applyFont="1" applyFill="1" applyBorder="1" applyAlignment="1" applyProtection="1">
      <alignment horizontal="right"/>
    </xf>
    <xf numFmtId="1" fontId="98" fillId="0" borderId="0" xfId="4496" applyNumberFormat="1" applyFont="1"/>
    <xf numFmtId="0" fontId="137" fillId="45" borderId="3" xfId="4496" applyFont="1" applyFill="1" applyBorder="1" applyAlignment="1">
      <alignment horizontal="left" indent="1"/>
    </xf>
    <xf numFmtId="0" fontId="98" fillId="45" borderId="4" xfId="4496" applyFont="1" applyFill="1" applyBorder="1"/>
    <xf numFmtId="2" fontId="98" fillId="45" borderId="5" xfId="4496" applyNumberFormat="1" applyFont="1" applyFill="1" applyBorder="1"/>
    <xf numFmtId="181" fontId="98" fillId="0" borderId="0" xfId="4496" applyNumberFormat="1" applyFont="1"/>
    <xf numFmtId="165" fontId="138" fillId="0" borderId="0" xfId="4499" applyNumberFormat="1" applyFont="1" applyFill="1" applyBorder="1" applyProtection="1"/>
    <xf numFmtId="9" fontId="98" fillId="0" borderId="0" xfId="4494" applyFont="1" applyFill="1" applyProtection="1"/>
    <xf numFmtId="0" fontId="98" fillId="0" borderId="11" xfId="4496" applyFont="1" applyBorder="1" applyAlignment="1">
      <alignment horizontal="center"/>
    </xf>
    <xf numFmtId="2" fontId="98" fillId="0" borderId="11" xfId="4496" applyNumberFormat="1" applyFont="1" applyBorder="1" applyAlignment="1">
      <alignment horizontal="center"/>
    </xf>
    <xf numFmtId="0" fontId="98" fillId="0" borderId="0" xfId="4496" applyFont="1" applyAlignment="1">
      <alignment vertical="top" wrapText="1"/>
    </xf>
    <xf numFmtId="0" fontId="98" fillId="0" borderId="11" xfId="4496" applyFont="1" applyBorder="1" applyAlignment="1">
      <alignment horizontal="center" vertical="top" wrapText="1"/>
    </xf>
    <xf numFmtId="182" fontId="98" fillId="0" borderId="0" xfId="8721" applyNumberFormat="1" applyFont="1" applyBorder="1" applyProtection="1"/>
    <xf numFmtId="0" fontId="98" fillId="0" borderId="0" xfId="4496" applyFont="1" applyAlignment="1">
      <alignment horizontal="left" indent="1"/>
    </xf>
    <xf numFmtId="182" fontId="98" fillId="0" borderId="0" xfId="4496" applyNumberFormat="1" applyFont="1"/>
    <xf numFmtId="184" fontId="98" fillId="0" borderId="0" xfId="4496" applyNumberFormat="1" applyFont="1"/>
    <xf numFmtId="0" fontId="98" fillId="0" borderId="0" xfId="4496" applyFont="1" applyAlignment="1">
      <alignment horizontal="left"/>
    </xf>
    <xf numFmtId="0" fontId="98" fillId="0" borderId="0" xfId="4496" applyFont="1" applyAlignment="1">
      <alignment horizontal="center"/>
    </xf>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98" fillId="0" borderId="0" xfId="4496" applyFont="1" applyAlignment="1">
      <alignment horizontal="right"/>
    </xf>
    <xf numFmtId="168" fontId="26" fillId="0" borderId="0" xfId="0" applyNumberFormat="1" applyFont="1"/>
    <xf numFmtId="0" fontId="98" fillId="0" borderId="15" xfId="4496" applyFont="1" applyBorder="1" applyAlignment="1">
      <alignment horizontal="center" vertical="top" wrapText="1"/>
    </xf>
    <xf numFmtId="2" fontId="98" fillId="0" borderId="15" xfId="4496" applyNumberFormat="1" applyFont="1" applyBorder="1" applyAlignment="1">
      <alignment horizontal="center"/>
    </xf>
    <xf numFmtId="0" fontId="98"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8" fillId="0" borderId="0" xfId="4499" applyNumberFormat="1" applyFont="1" applyFill="1" applyBorder="1" applyAlignment="1" applyProtection="1">
      <alignment horizontal="right" vertical="center"/>
    </xf>
    <xf numFmtId="5" fontId="98" fillId="0" borderId="6" xfId="4496" applyNumberFormat="1" applyFont="1" applyBorder="1" applyAlignment="1">
      <alignment vertical="center"/>
    </xf>
    <xf numFmtId="0" fontId="98" fillId="0" borderId="66" xfId="4496" applyFont="1" applyBorder="1" applyAlignment="1">
      <alignment vertical="center"/>
    </xf>
    <xf numFmtId="0" fontId="98" fillId="0" borderId="41" xfId="4496" applyFont="1" applyBorder="1" applyAlignment="1">
      <alignment vertical="center"/>
    </xf>
    <xf numFmtId="182" fontId="98" fillId="0" borderId="73" xfId="4496" applyNumberFormat="1" applyFont="1" applyBorder="1" applyAlignment="1">
      <alignment vertical="center"/>
    </xf>
    <xf numFmtId="175" fontId="98" fillId="0" borderId="42" xfId="4499" applyNumberFormat="1" applyFont="1" applyFill="1" applyBorder="1" applyAlignment="1" applyProtection="1">
      <alignment horizontal="left" vertical="center"/>
    </xf>
    <xf numFmtId="0" fontId="98" fillId="0" borderId="42" xfId="4496" applyFont="1" applyBorder="1" applyAlignment="1">
      <alignment vertical="center"/>
    </xf>
    <xf numFmtId="0" fontId="98" fillId="0" borderId="44" xfId="4496" applyFont="1" applyBorder="1" applyAlignment="1">
      <alignment vertical="center"/>
    </xf>
    <xf numFmtId="49" fontId="98" fillId="0" borderId="0" xfId="4496" applyNumberFormat="1" applyFont="1" applyAlignment="1">
      <alignment horizontal="center" vertical="center"/>
    </xf>
    <xf numFmtId="0" fontId="98" fillId="0" borderId="65" xfId="4496" applyFont="1" applyBorder="1" applyAlignment="1">
      <alignment vertical="center"/>
    </xf>
    <xf numFmtId="0" fontId="98" fillId="0" borderId="29" xfId="4496" applyFont="1" applyBorder="1" applyAlignment="1">
      <alignment vertical="center"/>
    </xf>
    <xf numFmtId="0" fontId="98" fillId="0" borderId="29" xfId="4496" applyFont="1" applyBorder="1" applyAlignment="1">
      <alignment horizontal="right" vertical="center"/>
    </xf>
    <xf numFmtId="5" fontId="98" fillId="0" borderId="29" xfId="4496" applyNumberFormat="1" applyFont="1" applyBorder="1" applyAlignment="1">
      <alignment vertical="center"/>
    </xf>
    <xf numFmtId="0" fontId="98"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8" fillId="0" borderId="0" xfId="4496" applyFont="1" applyAlignment="1">
      <alignment horizontal="right" vertical="top" wrapText="1" indent="1"/>
    </xf>
    <xf numFmtId="182" fontId="98" fillId="0" borderId="6" xfId="8721" applyNumberFormat="1" applyFont="1" applyBorder="1" applyAlignment="1" applyProtection="1">
      <alignment horizontal="center"/>
    </xf>
    <xf numFmtId="0" fontId="98" fillId="0" borderId="0" xfId="4496" applyFont="1" applyAlignment="1">
      <alignment horizontal="right" indent="1"/>
    </xf>
    <xf numFmtId="0" fontId="98"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8" fillId="0" borderId="0" xfId="4494" applyNumberFormat="1" applyFont="1" applyBorder="1" applyAlignment="1" applyProtection="1">
      <alignment horizontal="center"/>
    </xf>
    <xf numFmtId="184" fontId="98"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8" fillId="0" borderId="6" xfId="8721" applyNumberFormat="1" applyFont="1" applyBorder="1" applyProtection="1"/>
    <xf numFmtId="184" fontId="98" fillId="0" borderId="0" xfId="4496" applyNumberFormat="1" applyFont="1" applyAlignment="1">
      <alignment horizontal="center"/>
    </xf>
    <xf numFmtId="0" fontId="98" fillId="0" borderId="6" xfId="4496" applyFont="1" applyBorder="1" applyAlignment="1">
      <alignment horizontal="right" vertical="top" wrapText="1" indent="1"/>
    </xf>
    <xf numFmtId="0" fontId="98" fillId="0" borderId="67" xfId="4496" applyFont="1" applyBorder="1" applyAlignment="1">
      <alignment horizontal="right" indent="1"/>
    </xf>
    <xf numFmtId="0" fontId="98" fillId="0" borderId="72" xfId="4496" applyFont="1" applyBorder="1" applyAlignment="1">
      <alignment horizontal="right" indent="1"/>
    </xf>
    <xf numFmtId="0" fontId="98" fillId="0" borderId="72" xfId="4496" quotePrefix="1" applyFont="1" applyBorder="1" applyAlignment="1">
      <alignment horizontal="right" indent="1"/>
    </xf>
    <xf numFmtId="0" fontId="98" fillId="0" borderId="69" xfId="4496" applyFont="1" applyBorder="1" applyAlignment="1">
      <alignment horizontal="right" indent="1"/>
    </xf>
    <xf numFmtId="182" fontId="98" fillId="0" borderId="71" xfId="4496" applyNumberFormat="1" applyFont="1" applyBorder="1"/>
    <xf numFmtId="182" fontId="98" fillId="0" borderId="76" xfId="4496" applyNumberFormat="1" applyFont="1" applyBorder="1"/>
    <xf numFmtId="182" fontId="98" fillId="0" borderId="77" xfId="4496" applyNumberFormat="1" applyFont="1" applyBorder="1"/>
    <xf numFmtId="175" fontId="24" fillId="0" borderId="0" xfId="543" applyNumberFormat="1" applyFont="1" applyAlignment="1">
      <alignment vertical="center"/>
    </xf>
    <xf numFmtId="10" fontId="137" fillId="0" borderId="0" xfId="4494" applyNumberFormat="1" applyFont="1" applyProtection="1"/>
    <xf numFmtId="0" fontId="24" fillId="0" borderId="0" xfId="1192" applyFont="1" applyAlignment="1">
      <alignment horizontal="left" indent="1"/>
    </xf>
    <xf numFmtId="168" fontId="98"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8" fillId="0" borderId="13" xfId="4496" applyNumberFormat="1" applyFont="1" applyBorder="1"/>
    <xf numFmtId="182" fontId="98" fillId="0" borderId="70" xfId="4496" applyNumberFormat="1" applyFont="1" applyBorder="1"/>
    <xf numFmtId="0" fontId="35" fillId="0" borderId="0" xfId="4495" applyFont="1" applyAlignment="1">
      <alignment vertical="center"/>
    </xf>
    <xf numFmtId="0" fontId="122" fillId="0" borderId="0" xfId="4496" applyFont="1" applyAlignment="1">
      <alignment vertical="center" wrapText="1"/>
    </xf>
    <xf numFmtId="0" fontId="22" fillId="43" borderId="0" xfId="1192" applyFont="1" applyFill="1"/>
    <xf numFmtId="3" fontId="68" fillId="43" borderId="6" xfId="1192" applyNumberFormat="1" applyFont="1" applyFill="1" applyBorder="1"/>
    <xf numFmtId="0" fontId="153" fillId="0" borderId="0" xfId="0" applyFont="1"/>
    <xf numFmtId="0" fontId="22"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3" fillId="5" borderId="11" xfId="0" applyFont="1" applyFill="1" applyBorder="1" applyAlignment="1" applyProtection="1">
      <alignment horizontal="right" vertical="top" wrapText="1"/>
      <protection locked="0"/>
    </xf>
    <xf numFmtId="0" fontId="17" fillId="43" borderId="3" xfId="569" applyFill="1" applyBorder="1"/>
    <xf numFmtId="0" fontId="15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98" fillId="0" borderId="6" xfId="4496" applyFont="1" applyBorder="1" applyAlignment="1">
      <alignment horizontal="left" vertical="top"/>
    </xf>
    <xf numFmtId="0" fontId="17" fillId="0" borderId="0" xfId="0" applyFont="1" applyAlignment="1">
      <alignment vertical="center" wrapText="1"/>
    </xf>
    <xf numFmtId="3" fontId="22" fillId="43" borderId="11" xfId="271" applyNumberFormat="1" applyFont="1" applyFill="1" applyBorder="1" applyAlignment="1" applyProtection="1">
      <alignment horizontal="left"/>
      <protection locked="0"/>
    </xf>
    <xf numFmtId="0" fontId="98" fillId="43" borderId="6" xfId="4496" applyFont="1" applyFill="1" applyBorder="1" applyProtection="1">
      <protection locked="0"/>
    </xf>
    <xf numFmtId="1" fontId="98" fillId="0" borderId="0" xfId="4496" applyNumberFormat="1" applyFont="1" applyProtection="1">
      <protection locked="0"/>
    </xf>
    <xf numFmtId="182" fontId="163" fillId="0" borderId="11" xfId="4496" applyNumberFormat="1" applyFont="1" applyBorder="1"/>
    <xf numFmtId="44" fontId="98" fillId="0" borderId="0" xfId="4496" applyNumberFormat="1" applyFont="1"/>
    <xf numFmtId="182" fontId="22" fillId="0" borderId="11" xfId="4496" applyNumberFormat="1" applyFont="1" applyBorder="1"/>
    <xf numFmtId="9" fontId="98" fillId="0" borderId="0" xfId="4494" applyFont="1"/>
    <xf numFmtId="182" fontId="98" fillId="43" borderId="6" xfId="8721" applyNumberFormat="1" applyFont="1" applyFill="1" applyBorder="1" applyProtection="1">
      <protection locked="0"/>
    </xf>
    <xf numFmtId="0" fontId="17" fillId="0" borderId="0" xfId="4495" applyFont="1" applyAlignment="1">
      <alignment wrapText="1"/>
    </xf>
    <xf numFmtId="168" fontId="175" fillId="48" borderId="79" xfId="700" applyNumberFormat="1" applyFont="1" applyFill="1" applyBorder="1" applyAlignment="1" applyProtection="1">
      <protection locked="0"/>
    </xf>
    <xf numFmtId="3" fontId="45"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2" fillId="0" borderId="0" xfId="8733"/>
    <xf numFmtId="0" fontId="103" fillId="0" borderId="0" xfId="8733" applyFont="1"/>
    <xf numFmtId="0" fontId="2" fillId="47" borderId="66" xfId="8733" applyFill="1" applyBorder="1"/>
    <xf numFmtId="0" fontId="2" fillId="47" borderId="0" xfId="8733" applyFill="1"/>
    <xf numFmtId="0" fontId="102" fillId="47" borderId="41" xfId="8733" applyFont="1" applyFill="1" applyBorder="1" applyAlignment="1">
      <alignment horizontal="center"/>
    </xf>
    <xf numFmtId="0" fontId="102" fillId="47" borderId="0" xfId="8733" applyFont="1" applyFill="1"/>
    <xf numFmtId="182" fontId="174" fillId="47" borderId="0" xfId="8734" applyNumberFormat="1" applyFont="1" applyFill="1" applyBorder="1" applyAlignment="1"/>
    <xf numFmtId="0" fontId="2" fillId="47" borderId="41" xfId="8733" applyFill="1" applyBorder="1"/>
    <xf numFmtId="0" fontId="103" fillId="47" borderId="0" xfId="8733" applyFont="1" applyFill="1"/>
    <xf numFmtId="0" fontId="178" fillId="47" borderId="0" xfId="8733" applyFont="1" applyFill="1"/>
    <xf numFmtId="0" fontId="102" fillId="47" borderId="41" xfId="8733" applyFont="1" applyFill="1" applyBorder="1"/>
    <xf numFmtId="0" fontId="102" fillId="0" borderId="0" xfId="8733" applyFont="1"/>
    <xf numFmtId="0" fontId="102" fillId="54" borderId="100" xfId="8733" applyFont="1" applyFill="1" applyBorder="1"/>
    <xf numFmtId="0" fontId="2" fillId="53" borderId="99" xfId="8733" applyFill="1" applyBorder="1"/>
    <xf numFmtId="0" fontId="2" fillId="52" borderId="99" xfId="8733" applyFill="1" applyBorder="1"/>
    <xf numFmtId="0" fontId="10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102" fillId="45" borderId="0" xfId="8733" applyFont="1" applyFill="1"/>
    <xf numFmtId="0" fontId="102" fillId="45" borderId="12" xfId="8733" applyFont="1" applyFill="1" applyBorder="1"/>
    <xf numFmtId="0" fontId="102" fillId="45" borderId="29" xfId="8733" applyFont="1" applyFill="1" applyBorder="1"/>
    <xf numFmtId="0" fontId="102" fillId="45" borderId="80" xfId="8733" applyFont="1" applyFill="1" applyBorder="1"/>
    <xf numFmtId="0" fontId="102" fillId="45" borderId="79" xfId="8733" applyFont="1" applyFill="1" applyBorder="1"/>
    <xf numFmtId="0" fontId="102" fillId="45" borderId="78" xfId="8733" applyFont="1" applyFill="1" applyBorder="1"/>
    <xf numFmtId="0" fontId="102" fillId="45" borderId="93" xfId="8733" applyFont="1" applyFill="1" applyBorder="1"/>
    <xf numFmtId="0" fontId="102" fillId="45" borderId="6" xfId="8733" applyFont="1" applyFill="1" applyBorder="1"/>
    <xf numFmtId="0" fontId="102" fillId="45" borderId="10" xfId="8733" applyFont="1" applyFill="1" applyBorder="1"/>
    <xf numFmtId="0" fontId="2" fillId="45" borderId="29" xfId="8733" applyFill="1" applyBorder="1"/>
    <xf numFmtId="0" fontId="2" fillId="45" borderId="31" xfId="8733" applyFill="1" applyBorder="1"/>
    <xf numFmtId="0" fontId="102" fillId="45" borderId="92" xfId="8733" applyFont="1" applyFill="1" applyBorder="1"/>
    <xf numFmtId="0" fontId="102" fillId="45" borderId="74" xfId="8733" applyFont="1" applyFill="1" applyBorder="1"/>
    <xf numFmtId="0" fontId="17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80" fillId="47" borderId="0" xfId="8733" applyFont="1" applyFill="1"/>
    <xf numFmtId="0" fontId="102" fillId="45" borderId="31" xfId="8733" applyFont="1" applyFill="1" applyBorder="1"/>
    <xf numFmtId="0" fontId="2" fillId="47" borderId="0" xfId="8733" applyFill="1" applyAlignment="1">
      <alignment horizontal="left"/>
    </xf>
    <xf numFmtId="0" fontId="172" fillId="51" borderId="11" xfId="8733" applyFont="1" applyFill="1" applyBorder="1"/>
    <xf numFmtId="0" fontId="172" fillId="51" borderId="76" xfId="8733" applyFont="1" applyFill="1" applyBorder="1"/>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2" fillId="48" borderId="66" xfId="8733" applyFill="1" applyBorder="1"/>
    <xf numFmtId="0" fontId="2" fillId="48" borderId="0" xfId="8733" applyFill="1"/>
    <xf numFmtId="0" fontId="2" fillId="48" borderId="78" xfId="8733" applyFill="1" applyBorder="1"/>
    <xf numFmtId="0" fontId="102" fillId="47" borderId="66" xfId="8733" applyFont="1" applyFill="1" applyBorder="1"/>
    <xf numFmtId="49" fontId="10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64" fillId="0" borderId="0" xfId="8733" applyFont="1"/>
    <xf numFmtId="168" fontId="0" fillId="0" borderId="0" xfId="0" applyNumberFormat="1"/>
    <xf numFmtId="0" fontId="122" fillId="52" borderId="113" xfId="0" applyFont="1" applyFill="1" applyBorder="1"/>
    <xf numFmtId="0" fontId="12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8" fillId="0" borderId="0" xfId="244" applyAlignment="1">
      <alignment horizontal="left" vertical="top"/>
    </xf>
    <xf numFmtId="9" fontId="17" fillId="0" borderId="0" xfId="0" applyNumberFormat="1" applyFont="1"/>
    <xf numFmtId="0" fontId="169" fillId="0" borderId="0" xfId="8733" applyFont="1"/>
    <xf numFmtId="0" fontId="166" fillId="0" borderId="0" xfId="8733" applyFont="1"/>
    <xf numFmtId="185" fontId="169" fillId="0" borderId="0" xfId="698" applyNumberFormat="1" applyFont="1"/>
    <xf numFmtId="10" fontId="169" fillId="0" borderId="0" xfId="1022" applyNumberFormat="1" applyFont="1"/>
    <xf numFmtId="0" fontId="17" fillId="0" borderId="0" xfId="0" applyFont="1" applyAlignment="1">
      <alignment horizontal="left" vertical="top" wrapText="1"/>
    </xf>
    <xf numFmtId="0" fontId="18" fillId="0" borderId="0" xfId="244"/>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46" fillId="0" borderId="0" xfId="0" applyFont="1" applyAlignment="1">
      <alignment horizontal="left" vertical="top" wrapText="1"/>
    </xf>
    <xf numFmtId="0" fontId="17" fillId="0" borderId="0" xfId="0" applyFont="1" applyAlignment="1">
      <alignment horizontal="left" wrapText="1"/>
    </xf>
    <xf numFmtId="0" fontId="18" fillId="0" borderId="0" xfId="244" applyAlignment="1" applyProtection="1">
      <alignment horizontal="left"/>
    </xf>
    <xf numFmtId="0" fontId="113" fillId="0" borderId="0" xfId="0" applyFont="1" applyAlignment="1">
      <alignment horizontal="left" wrapText="1"/>
    </xf>
    <xf numFmtId="0" fontId="26" fillId="0" borderId="0" xfId="0" applyFont="1" applyAlignment="1">
      <alignment horizontal="left" wrapText="1"/>
    </xf>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105" fillId="0" borderId="0" xfId="0" applyFont="1" applyAlignment="1">
      <alignment horizontal="left" vertical="top" wrapText="1"/>
    </xf>
    <xf numFmtId="0" fontId="18" fillId="0" borderId="0" xfId="244" applyAlignment="1">
      <alignment horizontal="left" vertical="top"/>
    </xf>
    <xf numFmtId="0" fontId="114" fillId="0" borderId="0" xfId="569" applyFont="1" applyAlignment="1">
      <alignment horizontal="center"/>
    </xf>
    <xf numFmtId="0" fontId="115"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0" fontId="35" fillId="0" borderId="0" xfId="569" applyFont="1" applyAlignment="1">
      <alignment horizontal="center"/>
    </xf>
    <xf numFmtId="0" fontId="24" fillId="0" borderId="0" xfId="569" applyFont="1" applyAlignment="1">
      <alignment horizontal="center"/>
    </xf>
    <xf numFmtId="0" fontId="17" fillId="0" borderId="0" xfId="569" applyAlignment="1">
      <alignment horizontal="left" vertical="top" wrapText="1"/>
    </xf>
    <xf numFmtId="0" fontId="17" fillId="0" borderId="0" xfId="569" applyAlignment="1">
      <alignment horizontal="left"/>
    </xf>
    <xf numFmtId="0" fontId="35" fillId="0" borderId="0" xfId="569" applyFont="1" applyAlignment="1">
      <alignment horizontal="left" vertical="top" wrapText="1"/>
    </xf>
    <xf numFmtId="0" fontId="24" fillId="0" borderId="4" xfId="569" applyFont="1" applyBorder="1" applyAlignment="1">
      <alignment horizontal="left"/>
    </xf>
    <xf numFmtId="4" fontId="17" fillId="0" borderId="0" xfId="1192" applyNumberFormat="1" applyAlignment="1">
      <alignment horizontal="left" vertical="top" wrapText="1"/>
    </xf>
    <xf numFmtId="49" fontId="17" fillId="0" borderId="0" xfId="0" applyNumberFormat="1" applyFont="1" applyAlignment="1">
      <alignment horizontal="left" vertical="top" wrapText="1"/>
    </xf>
    <xf numFmtId="0" fontId="17" fillId="0" borderId="0" xfId="569" applyAlignment="1">
      <alignment horizontal="left" vertical="top"/>
    </xf>
    <xf numFmtId="0" fontId="24" fillId="0" borderId="4" xfId="569" applyFont="1" applyBorder="1" applyAlignment="1">
      <alignment horizontal="left" vertical="top"/>
    </xf>
    <xf numFmtId="0" fontId="35" fillId="0" borderId="0" xfId="569" applyFont="1" applyAlignment="1">
      <alignment horizontal="left"/>
    </xf>
    <xf numFmtId="4" fontId="17" fillId="0" borderId="0" xfId="569" applyNumberFormat="1" applyAlignment="1">
      <alignment horizontal="left"/>
    </xf>
    <xf numFmtId="0" fontId="17" fillId="0" borderId="0" xfId="1192" applyAlignment="1" applyProtection="1">
      <alignment horizontal="left" vertical="top" wrapText="1"/>
      <protection locked="0"/>
    </xf>
    <xf numFmtId="0" fontId="17" fillId="0" borderId="27" xfId="569" applyBorder="1" applyAlignment="1">
      <alignment horizontal="left"/>
    </xf>
    <xf numFmtId="0" fontId="17" fillId="0" borderId="0" xfId="1192"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24" fillId="0" borderId="0" xfId="569" applyFont="1" applyAlignment="1">
      <alignment horizontal="left"/>
    </xf>
    <xf numFmtId="0" fontId="35" fillId="0" borderId="0" xfId="1192" applyFont="1" applyAlignment="1">
      <alignment horizontal="left"/>
    </xf>
    <xf numFmtId="0" fontId="17" fillId="0" borderId="0" xfId="0" applyFont="1" applyAlignment="1">
      <alignment horizontal="left"/>
    </xf>
    <xf numFmtId="0" fontId="17" fillId="0" borderId="0" xfId="0" applyFont="1" applyAlignment="1">
      <alignment horizontal="left" vertical="top"/>
    </xf>
    <xf numFmtId="0" fontId="24" fillId="0" borderId="0" xfId="0" applyFont="1" applyAlignment="1">
      <alignment horizontal="left" vertical="top"/>
    </xf>
    <xf numFmtId="49" fontId="17" fillId="0" borderId="0" xfId="1192" applyNumberFormat="1" applyAlignment="1">
      <alignment horizontal="left" vertical="top" wrapText="1"/>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0" fontId="17" fillId="0" borderId="0" xfId="569" applyAlignment="1">
      <alignment horizontal="left" vertical="center" wrapText="1"/>
    </xf>
    <xf numFmtId="4" fontId="17" fillId="0" borderId="0" xfId="569" applyNumberFormat="1" applyAlignment="1">
      <alignment horizontal="left" vertical="top" wrapText="1"/>
    </xf>
    <xf numFmtId="0" fontId="24" fillId="0" borderId="4" xfId="0" applyFont="1" applyBorder="1" applyAlignment="1">
      <alignment horizontal="left"/>
    </xf>
    <xf numFmtId="0" fontId="0" fillId="0" borderId="0" xfId="0" applyAlignment="1">
      <alignment horizontal="left" vertical="top" wrapText="1"/>
    </xf>
    <xf numFmtId="0" fontId="35" fillId="0" borderId="0" xfId="1192" applyFont="1" applyAlignment="1">
      <alignment horizontal="left" vertical="top" wrapText="1"/>
    </xf>
    <xf numFmtId="0" fontId="17" fillId="0" borderId="0" xfId="569" applyAlignment="1">
      <alignment vertical="top" wrapText="1"/>
    </xf>
    <xf numFmtId="0" fontId="35" fillId="0" borderId="0" xfId="0" applyFont="1" applyAlignment="1">
      <alignment horizontal="lef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4" fontId="17" fillId="0" borderId="0" xfId="0" applyNumberFormat="1" applyFont="1" applyAlignment="1">
      <alignment horizontal="left" vertical="top" wrapText="1"/>
    </xf>
    <xf numFmtId="0" fontId="17" fillId="0" borderId="0" xfId="0" quotePrefix="1" applyFont="1" applyAlignment="1">
      <alignment horizontal="left" vertical="top"/>
    </xf>
    <xf numFmtId="0" fontId="17" fillId="0" borderId="0" xfId="0" quotePrefix="1" applyFont="1" applyAlignment="1">
      <alignment horizontal="lef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8" fillId="0" borderId="0" xfId="244" quotePrefix="1" applyAlignment="1" applyProtection="1">
      <alignment horizontal="left"/>
    </xf>
    <xf numFmtId="0" fontId="35" fillId="0" borderId="0" xfId="0" applyFont="1" applyAlignment="1">
      <alignment horizontal="left"/>
    </xf>
    <xf numFmtId="4" fontId="17" fillId="0" borderId="0" xfId="0" applyNumberFormat="1" applyFont="1" applyAlignment="1">
      <alignment horizontal="left"/>
    </xf>
    <xf numFmtId="0" fontId="24" fillId="0" borderId="0" xfId="0" applyFont="1" applyAlignment="1">
      <alignment vertical="top" wrapText="1"/>
    </xf>
    <xf numFmtId="4" fontId="35" fillId="0" borderId="0" xfId="0" applyNumberFormat="1" applyFont="1" applyAlignment="1">
      <alignment horizontal="left"/>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0" fontId="35" fillId="0" borderId="0" xfId="569" applyFont="1" applyAlignment="1">
      <alignment horizontal="left" vertical="top"/>
    </xf>
    <xf numFmtId="0" fontId="35" fillId="0" borderId="0" xfId="0" applyFont="1" applyAlignment="1">
      <alignment horizontal="left" vertical="top"/>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6" fontId="17" fillId="5" borderId="6" xfId="0" applyNumberFormat="1" applyFont="1" applyFill="1" applyBorder="1" applyAlignment="1" applyProtection="1">
      <alignment horizontal="left"/>
      <protection locked="0"/>
    </xf>
    <xf numFmtId="0" fontId="26" fillId="45" borderId="3" xfId="0" applyFont="1" applyFill="1" applyBorder="1" applyAlignment="1">
      <alignment horizontal="center"/>
    </xf>
    <xf numFmtId="0" fontId="26" fillId="45" borderId="4" xfId="0" applyFont="1" applyFill="1" applyBorder="1" applyAlignment="1">
      <alignment horizontal="center"/>
    </xf>
    <xf numFmtId="0" fontId="26" fillId="45" borderId="5" xfId="0" applyFont="1" applyFill="1" applyBorder="1" applyAlignment="1">
      <alignment horizontal="center"/>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40" fillId="0" borderId="3" xfId="0" applyFont="1" applyBorder="1" applyAlignment="1">
      <alignment horizontal="center"/>
    </xf>
    <xf numFmtId="0" fontId="40" fillId="0" borderId="4" xfId="0" applyFont="1" applyBorder="1" applyAlignment="1">
      <alignment horizontal="center"/>
    </xf>
    <xf numFmtId="0" fontId="40" fillId="0" borderId="5" xfId="0" applyFont="1" applyBorder="1" applyAlignment="1">
      <alignment horizontal="center"/>
    </xf>
    <xf numFmtId="0" fontId="26" fillId="45" borderId="11" xfId="0" applyFont="1" applyFill="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7" fillId="0" borderId="3" xfId="0" applyFont="1" applyBorder="1" applyAlignment="1">
      <alignment horizontal="center"/>
    </xf>
    <xf numFmtId="0" fontId="17" fillId="0" borderId="4" xfId="0" applyFont="1" applyBorder="1" applyAlignment="1">
      <alignment horizontal="center"/>
    </xf>
    <xf numFmtId="0" fontId="1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6" fillId="5" borderId="6" xfId="271" applyFill="1" applyBorder="1" applyProtection="1">
      <protection locked="0"/>
    </xf>
    <xf numFmtId="0" fontId="17" fillId="0" borderId="11" xfId="0" applyFont="1" applyBorder="1" applyAlignment="1">
      <alignment horizontal="center"/>
    </xf>
    <xf numFmtId="0" fontId="26" fillId="2" borderId="11" xfId="0" applyFont="1" applyFill="1" applyBorder="1" applyAlignment="1">
      <alignment horizontal="center"/>
    </xf>
    <xf numFmtId="0" fontId="0" fillId="0" borderId="11" xfId="0" applyBorder="1" applyAlignment="1">
      <alignment horizontal="center"/>
    </xf>
    <xf numFmtId="168" fontId="17" fillId="0" borderId="3" xfId="0" applyNumberFormat="1" applyFont="1" applyBorder="1" applyAlignment="1">
      <alignment horizontal="left" vertical="top"/>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1" fontId="26" fillId="5" borderId="3" xfId="0" applyNumberFormat="1" applyFont="1" applyFill="1" applyBorder="1" applyAlignment="1" applyProtection="1">
      <alignment horizontal="right" vertical="top"/>
      <protection locked="0"/>
    </xf>
    <xf numFmtId="1" fontId="26" fillId="5" borderId="4" xfId="0" applyNumberFormat="1" applyFont="1" applyFill="1" applyBorder="1" applyAlignment="1" applyProtection="1">
      <alignment horizontal="right" vertical="top"/>
      <protection locked="0"/>
    </xf>
    <xf numFmtId="1" fontId="26" fillId="5" borderId="5" xfId="0" applyNumberFormat="1" applyFont="1" applyFill="1" applyBorder="1" applyAlignment="1" applyProtection="1">
      <alignment horizontal="right" vertical="top"/>
      <protection locked="0"/>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168" fontId="26" fillId="5" borderId="3" xfId="0" applyNumberFormat="1" applyFont="1" applyFill="1" applyBorder="1" applyAlignment="1" applyProtection="1">
      <alignment horizontal="center"/>
      <protection locked="0"/>
    </xf>
    <xf numFmtId="168" fontId="26" fillId="5" borderId="4" xfId="0" applyNumberFormat="1" applyFont="1" applyFill="1" applyBorder="1" applyAlignment="1" applyProtection="1">
      <alignment horizontal="center"/>
      <protection locked="0"/>
    </xf>
    <xf numFmtId="168" fontId="26" fillId="5" borderId="5" xfId="0" applyNumberFormat="1" applyFont="1" applyFill="1" applyBorder="1" applyAlignment="1" applyProtection="1">
      <alignment horizontal="center"/>
      <protection locked="0"/>
    </xf>
    <xf numFmtId="168" fontId="26" fillId="0" borderId="3" xfId="0" applyNumberFormat="1" applyFont="1" applyBorder="1" applyAlignment="1">
      <alignment horizontal="center"/>
    </xf>
    <xf numFmtId="168" fontId="26" fillId="0" borderId="4" xfId="0" applyNumberFormat="1" applyFont="1" applyBorder="1" applyAlignment="1">
      <alignment horizontal="center"/>
    </xf>
    <xf numFmtId="168" fontId="26" fillId="0" borderId="5" xfId="0" applyNumberFormat="1" applyFont="1"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6" fillId="0" borderId="11" xfId="0" applyNumberFormat="1" applyFont="1" applyBorder="1" applyAlignment="1">
      <alignment horizontal="center"/>
    </xf>
    <xf numFmtId="168" fontId="156" fillId="0" borderId="0" xfId="0" applyNumberFormat="1" applyFont="1" applyAlignment="1">
      <alignment horizontal="center" vertical="center" wrapText="1"/>
    </xf>
    <xf numFmtId="168" fontId="26" fillId="0" borderId="3" xfId="0" applyNumberFormat="1" applyFont="1" applyBorder="1" applyAlignment="1">
      <alignment horizontal="left" vertical="top"/>
    </xf>
    <xf numFmtId="168" fontId="26" fillId="0" borderId="4" xfId="0" applyNumberFormat="1" applyFont="1" applyBorder="1" applyAlignment="1">
      <alignment horizontal="left" vertical="top"/>
    </xf>
    <xf numFmtId="168" fontId="2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6" fillId="5" borderId="11" xfId="0" applyFont="1" applyFill="1" applyBorder="1" applyAlignment="1" applyProtection="1">
      <alignment horizontal="center"/>
      <protection locked="0"/>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26" fillId="5" borderId="9" xfId="0" applyFont="1" applyFill="1" applyBorder="1" applyAlignment="1" applyProtection="1">
      <alignment horizontal="center"/>
      <protection locked="0"/>
    </xf>
    <xf numFmtId="0" fontId="26" fillId="5" borderId="6" xfId="0"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5" fontId="26" fillId="0" borderId="1" xfId="0" applyNumberFormat="1" applyFont="1" applyBorder="1" applyAlignment="1">
      <alignment horizontal="right"/>
    </xf>
    <xf numFmtId="165" fontId="26" fillId="0" borderId="2" xfId="0" applyNumberFormat="1" applyFont="1" applyBorder="1" applyAlignment="1">
      <alignment horizontal="right"/>
    </xf>
    <xf numFmtId="165" fontId="26" fillId="0" borderId="7" xfId="0" applyNumberFormat="1"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0" fontId="17"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17" fillId="5" borderId="11" xfId="0" applyFont="1" applyFill="1" applyBorder="1" applyAlignment="1" applyProtection="1">
      <alignment horizontal="left" vertical="center" wrapText="1"/>
      <protection locked="0"/>
    </xf>
    <xf numFmtId="3" fontId="26" fillId="5" borderId="11" xfId="0" applyNumberFormat="1" applyFont="1" applyFill="1" applyBorder="1" applyAlignment="1" applyProtection="1">
      <alignment horizontal="center"/>
      <protection locked="0"/>
    </xf>
    <xf numFmtId="10" fontId="26" fillId="0" borderId="11" xfId="0" applyNumberFormat="1" applyFont="1" applyBorder="1" applyAlignment="1">
      <alignment horizontal="center"/>
    </xf>
    <xf numFmtId="0" fontId="17" fillId="0" borderId="3" xfId="0" applyFont="1" applyBorder="1" applyAlignment="1">
      <alignment horizontal="left"/>
    </xf>
    <xf numFmtId="0" fontId="17" fillId="0" borderId="4" xfId="0" applyFont="1" applyBorder="1" applyAlignment="1">
      <alignment horizontal="left"/>
    </xf>
    <xf numFmtId="0" fontId="17" fillId="0" borderId="5" xfId="0" applyFont="1" applyBorder="1" applyAlignment="1">
      <alignment horizontal="left"/>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3" fontId="26" fillId="0" borderId="11" xfId="0" applyNumberFormat="1" applyFont="1" applyBorder="1" applyAlignment="1">
      <alignment horizontal="center"/>
    </xf>
    <xf numFmtId="0" fontId="0" fillId="5" borderId="6" xfId="0"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7"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6" fillId="5" borderId="4" xfId="0" applyFont="1" applyFill="1" applyBorder="1" applyAlignment="1" applyProtection="1">
      <alignment horizontal="right"/>
      <protection locked="0"/>
    </xf>
    <xf numFmtId="168" fontId="26" fillId="5" borderId="6" xfId="0" applyNumberFormat="1" applyFont="1" applyFill="1" applyBorder="1" applyAlignment="1" applyProtection="1">
      <alignment horizontal="right"/>
      <protection locked="0"/>
    </xf>
    <xf numFmtId="168" fontId="26" fillId="5" borderId="4" xfId="0" applyNumberFormat="1" applyFont="1" applyFill="1" applyBorder="1" applyAlignment="1" applyProtection="1">
      <alignment horizontal="right"/>
      <protection locked="0"/>
    </xf>
    <xf numFmtId="16" fontId="26" fillId="5" borderId="6" xfId="0" applyNumberFormat="1" applyFont="1" applyFill="1" applyBorder="1" applyAlignment="1" applyProtection="1">
      <alignment horizontal="center"/>
      <protection locked="0"/>
    </xf>
    <xf numFmtId="165" fontId="26" fillId="5" borderId="3" xfId="0" applyNumberFormat="1" applyFont="1" applyFill="1" applyBorder="1" applyAlignment="1" applyProtection="1">
      <alignment horizontal="center"/>
      <protection locked="0"/>
    </xf>
    <xf numFmtId="165" fontId="26" fillId="5" borderId="4" xfId="0" applyNumberFormat="1" applyFont="1" applyFill="1" applyBorder="1" applyAlignment="1" applyProtection="1">
      <alignment horizontal="center"/>
      <protection locked="0"/>
    </xf>
    <xf numFmtId="165" fontId="2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0" fillId="43" borderId="6" xfId="0" applyNumberFormat="1" applyFill="1" applyBorder="1" applyAlignment="1" applyProtection="1">
      <alignment horizontal="right"/>
      <protection locked="0"/>
    </xf>
    <xf numFmtId="0" fontId="24" fillId="0" borderId="6" xfId="0" applyFont="1" applyBorder="1" applyAlignment="1">
      <alignment horizontal="center"/>
    </xf>
    <xf numFmtId="0" fontId="24" fillId="0" borderId="10" xfId="0" applyFont="1" applyBorder="1" applyAlignment="1">
      <alignment horizontal="center"/>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0" fontId="24" fillId="0" borderId="3" xfId="0" applyFont="1" applyBorder="1" applyAlignment="1">
      <alignment horizontal="right"/>
    </xf>
    <xf numFmtId="0" fontId="24" fillId="0" borderId="4" xfId="0" applyFont="1" applyBorder="1" applyAlignment="1">
      <alignment horizontal="right"/>
    </xf>
    <xf numFmtId="0" fontId="24" fillId="0" borderId="6" xfId="0" applyFont="1" applyBorder="1" applyAlignment="1">
      <alignment horizontal="right"/>
    </xf>
    <xf numFmtId="0" fontId="24" fillId="0" borderId="5" xfId="0" applyFont="1" applyBorder="1" applyAlignment="1">
      <alignment horizontal="right"/>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6" fillId="5" borderId="4" xfId="0" applyFont="1" applyFill="1" applyBorder="1" applyAlignment="1" applyProtection="1">
      <alignment wrapText="1"/>
      <protection locked="0"/>
    </xf>
    <xf numFmtId="0" fontId="17" fillId="5" borderId="11" xfId="0" applyFont="1" applyFill="1" applyBorder="1" applyAlignment="1" applyProtection="1">
      <alignment horizontal="left" wrapText="1"/>
      <protection locked="0"/>
    </xf>
    <xf numFmtId="166" fontId="26" fillId="5" borderId="4" xfId="0" applyNumberFormat="1" applyFont="1" applyFill="1" applyBorder="1" applyAlignment="1" applyProtection="1">
      <alignment horizontal="left"/>
      <protection locked="0"/>
    </xf>
    <xf numFmtId="0" fontId="17"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6" fillId="0" borderId="1" xfId="0" applyFont="1" applyBorder="1" applyAlignment="1">
      <alignment horizontal="center" vertical="top" wrapText="1"/>
    </xf>
    <xf numFmtId="0" fontId="26" fillId="0" borderId="2" xfId="0" applyFont="1" applyBorder="1" applyAlignment="1">
      <alignment horizontal="center" vertical="top" wrapText="1"/>
    </xf>
    <xf numFmtId="0" fontId="26" fillId="0" borderId="7" xfId="0" applyFont="1" applyBorder="1" applyAlignment="1">
      <alignment horizontal="center" vertical="top" wrapText="1"/>
    </xf>
    <xf numFmtId="0" fontId="26" fillId="0" borderId="8" xfId="0" applyFont="1" applyBorder="1" applyAlignment="1">
      <alignment horizontal="center" vertical="top" wrapText="1"/>
    </xf>
    <xf numFmtId="0" fontId="26" fillId="0" borderId="0" xfId="0" applyFont="1" applyAlignment="1">
      <alignment horizontal="center" vertical="top" wrapText="1"/>
    </xf>
    <xf numFmtId="0" fontId="26" fillId="0" borderId="12" xfId="0" applyFont="1" applyBorder="1" applyAlignment="1">
      <alignment horizontal="center" vertical="top" wrapText="1"/>
    </xf>
    <xf numFmtId="0" fontId="26" fillId="0" borderId="9" xfId="0" applyFont="1" applyBorder="1" applyAlignment="1">
      <alignment horizontal="center" vertical="top" wrapText="1"/>
    </xf>
    <xf numFmtId="0" fontId="26" fillId="0" borderId="6" xfId="0" applyFont="1" applyBorder="1" applyAlignment="1">
      <alignment horizontal="center" vertical="top" wrapText="1"/>
    </xf>
    <xf numFmtId="0" fontId="26" fillId="0" borderId="10" xfId="0" applyFont="1" applyBorder="1" applyAlignment="1">
      <alignment horizontal="center" vertical="top"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5" borderId="6" xfId="0" applyFont="1" applyFill="1" applyBorder="1" applyAlignment="1" applyProtection="1">
      <alignment horizontal="left"/>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6" xfId="0" applyBorder="1" applyAlignment="1" applyProtection="1">
      <alignment horizontal="center"/>
      <protection locked="0"/>
    </xf>
    <xf numFmtId="178" fontId="26" fillId="5" borderId="4" xfId="0" applyNumberFormat="1" applyFont="1" applyFill="1" applyBorder="1" applyAlignment="1" applyProtection="1">
      <alignment horizontal="right"/>
      <protection locked="0"/>
    </xf>
    <xf numFmtId="0" fontId="25" fillId="43"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7" fillId="5" borderId="6" xfId="0" applyFont="1" applyFill="1" applyBorder="1" applyAlignment="1" applyProtection="1">
      <alignment horizontal="left"/>
      <protection locked="0"/>
    </xf>
    <xf numFmtId="1" fontId="26" fillId="5" borderId="6" xfId="0" applyNumberFormat="1" applyFont="1" applyFill="1" applyBorder="1" applyAlignment="1" applyProtection="1">
      <alignment horizontal="right"/>
      <protection locked="0"/>
    </xf>
    <xf numFmtId="0" fontId="24" fillId="0" borderId="9" xfId="0" applyFont="1" applyBorder="1" applyAlignment="1">
      <alignment horizontal="center"/>
    </xf>
    <xf numFmtId="168" fontId="0" fillId="5" borderId="6" xfId="0" applyNumberFormat="1" applyFill="1" applyBorder="1" applyAlignment="1" applyProtection="1">
      <alignment horizontal="right"/>
      <protection locked="0"/>
    </xf>
    <xf numFmtId="0" fontId="26" fillId="5" borderId="6" xfId="0" applyFont="1" applyFill="1" applyBorder="1" applyAlignment="1" applyProtection="1">
      <alignment horizontal="left"/>
      <protection locked="0"/>
    </xf>
    <xf numFmtId="0" fontId="17" fillId="5" borderId="0" xfId="0" applyFont="1" applyFill="1" applyAlignment="1" applyProtection="1">
      <alignment horizontal="left" vertical="top" wrapText="1"/>
      <protection locked="0"/>
    </xf>
    <xf numFmtId="0" fontId="26" fillId="5" borderId="0" xfId="0" applyFont="1" applyFill="1" applyAlignment="1" applyProtection="1">
      <alignment horizontal="left" vertical="top" wrapText="1"/>
      <protection locked="0"/>
    </xf>
    <xf numFmtId="0" fontId="2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7" fillId="5" borderId="4" xfId="0" applyNumberFormat="1" applyFont="1" applyFill="1" applyBorder="1" applyAlignment="1" applyProtection="1">
      <alignment horizontal="left"/>
      <protection locked="0"/>
    </xf>
    <xf numFmtId="166" fontId="26" fillId="5" borderId="6" xfId="0" applyNumberFormat="1" applyFont="1" applyFill="1" applyBorder="1" applyAlignment="1" applyProtection="1">
      <alignment horizontal="left"/>
      <protection locked="0"/>
    </xf>
    <xf numFmtId="0" fontId="0" fillId="5" borderId="6" xfId="0" applyFill="1" applyBorder="1" applyProtection="1">
      <protection locked="0"/>
    </xf>
    <xf numFmtId="0" fontId="26" fillId="0" borderId="4" xfId="0" applyFont="1" applyBorder="1" applyAlignment="1" applyProtection="1">
      <alignment horizontal="left"/>
      <protection locked="0"/>
    </xf>
    <xf numFmtId="0" fontId="17" fillId="43" borderId="6" xfId="0" applyFont="1" applyFill="1" applyBorder="1" applyAlignment="1" applyProtection="1">
      <alignment vertical="center"/>
      <protection locked="0"/>
    </xf>
    <xf numFmtId="0" fontId="23" fillId="3" borderId="0" xfId="0" applyFont="1" applyFill="1" applyAlignment="1">
      <alignment horizontal="center" vertical="center"/>
    </xf>
    <xf numFmtId="0" fontId="17" fillId="0" borderId="0" xfId="0" applyFont="1" applyAlignment="1">
      <alignment wrapText="1"/>
    </xf>
    <xf numFmtId="0" fontId="26" fillId="43" borderId="6" xfId="0" applyFont="1" applyFill="1" applyBorder="1" applyAlignment="1" applyProtection="1">
      <alignment horizontal="left"/>
      <protection locked="0"/>
    </xf>
    <xf numFmtId="0" fontId="17" fillId="0" borderId="6" xfId="0" applyFont="1" applyBorder="1" applyAlignment="1">
      <alignment horizontal="left"/>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7" fillId="5" borderId="6" xfId="244" applyFont="1" applyFill="1" applyBorder="1" applyAlignment="1" applyProtection="1">
      <alignment horizontal="left"/>
      <protection locked="0"/>
    </xf>
    <xf numFmtId="0" fontId="17" fillId="5" borderId="0" xfId="244" applyFont="1" applyFill="1" applyBorder="1" applyAlignment="1" applyProtection="1">
      <alignment horizontal="left"/>
      <protection locked="0"/>
    </xf>
    <xf numFmtId="0" fontId="26" fillId="5" borderId="6" xfId="0" applyFont="1" applyFill="1" applyBorder="1" applyAlignment="1" applyProtection="1">
      <alignment horizontal="left" wrapText="1"/>
      <protection locked="0"/>
    </xf>
    <xf numFmtId="0" fontId="0" fillId="0" borderId="0" xfId="0" applyAlignment="1">
      <alignment wrapText="1"/>
    </xf>
    <xf numFmtId="0" fontId="26" fillId="0" borderId="0" xfId="0" applyFont="1" applyAlignment="1">
      <alignment horizontal="left" vertical="top" wrapText="1"/>
    </xf>
    <xf numFmtId="0" fontId="153" fillId="0" borderId="0" xfId="0" applyFont="1" applyAlignment="1" applyProtection="1">
      <alignment horizontal="left" vertical="top" wrapText="1"/>
      <protection locked="0"/>
    </xf>
    <xf numFmtId="14" fontId="25" fillId="43" borderId="6" xfId="0" applyNumberFormat="1" applyFont="1" applyFill="1" applyBorder="1" applyAlignment="1" applyProtection="1">
      <alignment horizontal="left"/>
      <protection locked="0"/>
    </xf>
    <xf numFmtId="0" fontId="17" fillId="0" borderId="6" xfId="0" applyFont="1" applyBorder="1" applyAlignment="1" applyProtection="1">
      <alignment horizontal="center"/>
      <protection locked="0"/>
    </xf>
    <xf numFmtId="0" fontId="17" fillId="0" borderId="6" xfId="0" applyFont="1" applyBorder="1" applyAlignment="1" applyProtection="1">
      <alignment horizontal="left"/>
      <protection locked="0"/>
    </xf>
    <xf numFmtId="0" fontId="18" fillId="0" borderId="0" xfId="244" applyFill="1" applyAlignment="1" applyProtection="1">
      <alignment horizontal="left"/>
      <protection locked="0"/>
    </xf>
    <xf numFmtId="168" fontId="17"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7"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6" fillId="5" borderId="6" xfId="271" applyNumberFormat="1" applyFill="1" applyBorder="1" applyAlignment="1" applyProtection="1">
      <alignment horizontal="left"/>
      <protection locked="0"/>
    </xf>
    <xf numFmtId="0" fontId="17" fillId="0" borderId="0" xfId="0" applyFont="1" applyAlignment="1" applyProtection="1">
      <alignment horizontal="left"/>
      <protection locked="0"/>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6" fillId="0" borderId="6" xfId="0" applyFont="1" applyBorder="1" applyAlignment="1">
      <alignment horizontal="left"/>
    </xf>
    <xf numFmtId="0" fontId="17" fillId="5" borderId="4" xfId="0"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6" fillId="5" borderId="4" xfId="271" applyNumberFormat="1" applyFill="1" applyBorder="1" applyAlignment="1" applyProtection="1">
      <alignment horizontal="left"/>
      <protection locked="0"/>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0" fontId="17" fillId="5" borderId="6" xfId="0" applyFont="1" applyFill="1" applyBorder="1" applyAlignment="1" applyProtection="1">
      <alignment horizontal="center"/>
      <protection locked="0"/>
    </xf>
    <xf numFmtId="10" fontId="26" fillId="5" borderId="4"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 fontId="26" fillId="5" borderId="11" xfId="0" quotePrefix="1" applyNumberFormat="1" applyFont="1" applyFill="1" applyBorder="1" applyAlignment="1" applyProtection="1">
      <alignment horizontal="center"/>
      <protection locked="0"/>
    </xf>
    <xf numFmtId="1" fontId="26" fillId="5" borderId="11" xfId="0" applyNumberFormat="1" applyFont="1" applyFill="1" applyBorder="1" applyAlignment="1" applyProtection="1">
      <alignment horizontal="center"/>
      <protection locked="0"/>
    </xf>
    <xf numFmtId="168" fontId="53" fillId="0" borderId="2" xfId="0" applyNumberFormat="1" applyFont="1" applyBorder="1" applyAlignment="1">
      <alignment horizontal="left" vertical="top" wrapText="1"/>
    </xf>
    <xf numFmtId="168" fontId="53"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7" fillId="5" borderId="4" xfId="0" applyNumberFormat="1" applyFont="1" applyFill="1" applyBorder="1" applyAlignment="1" applyProtection="1">
      <alignment horizontal="right"/>
      <protection locked="0"/>
    </xf>
    <xf numFmtId="14" fontId="26" fillId="5" borderId="4"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6" fillId="0" borderId="11" xfId="0" applyFont="1" applyBorder="1" applyAlignment="1">
      <alignment horizontal="center" vertical="top" wrapText="1"/>
    </xf>
    <xf numFmtId="0" fontId="0" fillId="0" borderId="9" xfId="0" applyBorder="1" applyAlignment="1">
      <alignment horizontal="left"/>
    </xf>
    <xf numFmtId="0" fontId="17" fillId="0" borderId="1" xfId="0" applyFont="1"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6" fillId="5" borderId="3" xfId="0" applyNumberFormat="1" applyFont="1" applyFill="1" applyBorder="1" applyAlignment="1" applyProtection="1">
      <alignment horizontal="center"/>
      <protection locked="0"/>
    </xf>
    <xf numFmtId="9" fontId="26" fillId="5" borderId="4" xfId="0" applyNumberFormat="1" applyFont="1" applyFill="1" applyBorder="1" applyAlignment="1" applyProtection="1">
      <alignment horizontal="center"/>
      <protection locked="0"/>
    </xf>
    <xf numFmtId="9" fontId="26" fillId="5" borderId="5" xfId="0" applyNumberFormat="1" applyFont="1" applyFill="1" applyBorder="1" applyAlignment="1" applyProtection="1">
      <alignment horizontal="center"/>
      <protection locked="0"/>
    </xf>
    <xf numFmtId="0" fontId="24" fillId="0" borderId="2" xfId="0" applyFont="1" applyBorder="1" applyAlignment="1">
      <alignment horizontal="center" wrapText="1"/>
    </xf>
    <xf numFmtId="0" fontId="24" fillId="0" borderId="7" xfId="0" applyFont="1" applyBorder="1" applyAlignment="1">
      <alignment horizontal="center" wrapText="1"/>
    </xf>
    <xf numFmtId="0" fontId="24" fillId="0" borderId="6" xfId="0" applyFont="1" applyBorder="1" applyAlignment="1">
      <alignment horizontal="center" wrapText="1"/>
    </xf>
    <xf numFmtId="0" fontId="24" fillId="0" borderId="10" xfId="0" applyFont="1" applyBorder="1" applyAlignment="1">
      <alignment horizontal="center" wrapText="1"/>
    </xf>
    <xf numFmtId="0" fontId="24" fillId="5" borderId="11" xfId="0" applyFont="1" applyFill="1" applyBorder="1" applyAlignment="1" applyProtection="1">
      <alignment horizontal="center"/>
      <protection locked="0"/>
    </xf>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9" fontId="17" fillId="0" borderId="0" xfId="543" applyNumberFormat="1" applyAlignment="1">
      <alignment horizontal="center" vertical="center"/>
    </xf>
    <xf numFmtId="0" fontId="24"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6" fillId="0" borderId="11" xfId="0" applyFont="1" applyBorder="1" applyAlignment="1">
      <alignment horizontal="center"/>
    </xf>
    <xf numFmtId="0" fontId="17" fillId="0" borderId="3" xfId="0" applyFont="1" applyBorder="1"/>
    <xf numFmtId="0" fontId="17" fillId="0" borderId="4" xfId="0" applyFont="1" applyBorder="1"/>
    <xf numFmtId="0" fontId="17" fillId="0" borderId="5" xfId="0" applyFont="1" applyBorder="1"/>
    <xf numFmtId="0" fontId="0" fillId="5" borderId="3" xfId="0" applyFill="1" applyBorder="1" applyAlignment="1" applyProtection="1">
      <alignment horizontal="center"/>
      <protection locked="0"/>
    </xf>
    <xf numFmtId="0" fontId="0" fillId="0" borderId="3" xfId="0" applyBorder="1"/>
    <xf numFmtId="0" fontId="0" fillId="0" borderId="4" xfId="0" applyBorder="1"/>
    <xf numFmtId="0" fontId="0" fillId="0" borderId="5" xfId="0"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7" fillId="0" borderId="0" xfId="543" applyAlignment="1">
      <alignment horizontal="center"/>
    </xf>
    <xf numFmtId="2" fontId="17"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171" fontId="17" fillId="0" borderId="0" xfId="543" applyNumberFormat="1" applyAlignment="1">
      <alignment horizontal="center"/>
    </xf>
    <xf numFmtId="171" fontId="17" fillId="0" borderId="0" xfId="543" applyNumberFormat="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7" fillId="5" borderId="3" xfId="0" applyFont="1" applyFill="1" applyBorder="1" applyProtection="1">
      <protection locked="0"/>
    </xf>
    <xf numFmtId="0" fontId="26" fillId="0" borderId="4" xfId="0" applyFont="1" applyBorder="1" applyProtection="1">
      <protection locked="0"/>
    </xf>
    <xf numFmtId="0" fontId="26" fillId="0" borderId="5" xfId="0" applyFont="1" applyBorder="1" applyProtection="1">
      <protection locked="0"/>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168" fontId="17" fillId="5" borderId="3"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0" fontId="17" fillId="5" borderId="3"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168" fontId="0" fillId="0" borderId="11" xfId="0" applyNumberFormat="1" applyBorder="1" applyAlignment="1">
      <alignment horizontal="center"/>
    </xf>
    <xf numFmtId="14" fontId="0" fillId="5" borderId="4" xfId="0" applyNumberFormat="1" applyFill="1" applyBorder="1" applyAlignment="1" applyProtection="1">
      <alignment horizontal="center"/>
      <protection locked="0"/>
    </xf>
    <xf numFmtId="0" fontId="17" fillId="43" borderId="11" xfId="0" applyFont="1" applyFill="1" applyBorder="1" applyAlignment="1" applyProtection="1">
      <alignment horizontal="center"/>
      <protection locked="0"/>
    </xf>
    <xf numFmtId="168" fontId="26" fillId="5" borderId="3" xfId="0" applyNumberFormat="1" applyFont="1" applyFill="1" applyBorder="1" applyAlignment="1" applyProtection="1">
      <alignment horizontal="left" vertical="top"/>
      <protection locked="0"/>
    </xf>
    <xf numFmtId="168" fontId="26" fillId="5" borderId="4" xfId="0" applyNumberFormat="1" applyFont="1" applyFill="1" applyBorder="1" applyAlignment="1" applyProtection="1">
      <alignment horizontal="left" vertical="top"/>
      <protection locked="0"/>
    </xf>
    <xf numFmtId="168" fontId="26" fillId="5" borderId="5" xfId="0" applyNumberFormat="1" applyFont="1" applyFill="1" applyBorder="1" applyAlignment="1" applyProtection="1">
      <alignment horizontal="left" vertical="top"/>
      <protection locked="0"/>
    </xf>
    <xf numFmtId="2" fontId="0" fillId="5" borderId="6" xfId="0" applyNumberFormat="1" applyFill="1" applyBorder="1" applyAlignment="1" applyProtection="1">
      <alignment horizontal="center"/>
      <protection locked="0"/>
    </xf>
    <xf numFmtId="0" fontId="24" fillId="0" borderId="11" xfId="0" applyFont="1" applyBorder="1" applyAlignment="1">
      <alignment horizontal="center" vertical="center"/>
    </xf>
    <xf numFmtId="172" fontId="24" fillId="0" borderId="11" xfId="0" applyNumberFormat="1" applyFont="1" applyBorder="1" applyAlignment="1">
      <alignment horizontal="center" vertical="center" wrapText="1"/>
    </xf>
    <xf numFmtId="0" fontId="24" fillId="0" borderId="11" xfId="0" applyFont="1" applyBorder="1" applyAlignment="1">
      <alignment horizontal="center" vertic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0" fontId="17" fillId="0" borderId="11" xfId="543" applyBorder="1" applyAlignment="1">
      <alignment horizontal="center"/>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0" xfId="0" applyFont="1" applyAlignment="1">
      <alignment horizontal="center"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10" xfId="0" applyFont="1" applyBorder="1" applyAlignment="1">
      <alignment horizontal="center" vertical="center" wrapText="1"/>
    </xf>
    <xf numFmtId="0" fontId="36" fillId="5" borderId="3" xfId="543" applyFont="1" applyFill="1" applyBorder="1" applyAlignment="1">
      <alignment horizontal="center"/>
    </xf>
    <xf numFmtId="0" fontId="36" fillId="5" borderId="4" xfId="543" applyFont="1" applyFill="1" applyBorder="1" applyAlignment="1">
      <alignment horizontal="center"/>
    </xf>
    <xf numFmtId="0" fontId="36"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164" fontId="36" fillId="5" borderId="4" xfId="0" applyNumberFormat="1" applyFont="1" applyFill="1" applyBorder="1" applyAlignment="1" applyProtection="1">
      <alignment horizontal="left"/>
      <protection locked="0"/>
    </xf>
    <xf numFmtId="164" fontId="36" fillId="5" borderId="5" xfId="0" applyNumberFormat="1" applyFont="1" applyFill="1" applyBorder="1" applyAlignment="1" applyProtection="1">
      <alignment horizontal="left"/>
      <protection locked="0"/>
    </xf>
    <xf numFmtId="0" fontId="26"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7"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0" fontId="24" fillId="0" borderId="2" xfId="0" applyFont="1" applyBorder="1" applyAlignment="1">
      <alignment horizontal="right"/>
    </xf>
    <xf numFmtId="0" fontId="24" fillId="0" borderId="7" xfId="0" applyFont="1" applyBorder="1" applyAlignment="1">
      <alignment horizontal="right"/>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0" fontId="53" fillId="5" borderId="3" xfId="0" applyFont="1" applyFill="1" applyBorder="1" applyAlignment="1" applyProtection="1">
      <alignment horizontal="right"/>
      <protection locked="0"/>
    </xf>
    <xf numFmtId="0" fontId="53" fillId="5" borderId="4" xfId="0" applyFont="1" applyFill="1" applyBorder="1" applyAlignment="1" applyProtection="1">
      <alignment horizontal="right"/>
      <protection locked="0"/>
    </xf>
    <xf numFmtId="0" fontId="53" fillId="5" borderId="5" xfId="0" applyFont="1" applyFill="1" applyBorder="1" applyAlignment="1" applyProtection="1">
      <alignment horizontal="right"/>
      <protection locked="0"/>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3" fontId="0" fillId="5" borderId="3" xfId="0" applyNumberFormat="1" applyFill="1" applyBorder="1" applyAlignment="1" applyProtection="1">
      <alignment horizontal="right"/>
      <protection locked="0"/>
    </xf>
    <xf numFmtId="0" fontId="24" fillId="0" borderId="0" xfId="0" applyFont="1" applyAlignment="1">
      <alignment horizontal="center" vertical="center"/>
    </xf>
    <xf numFmtId="1" fontId="17" fillId="0" borderId="3" xfId="0" applyNumberFormat="1" applyFont="1" applyBorder="1" applyAlignment="1">
      <alignment horizontal="center"/>
    </xf>
    <xf numFmtId="1" fontId="26" fillId="0" borderId="4" xfId="0" applyNumberFormat="1" applyFont="1" applyBorder="1" applyAlignment="1">
      <alignment horizontal="center"/>
    </xf>
    <xf numFmtId="1" fontId="26" fillId="0" borderId="5" xfId="0" applyNumberFormat="1" applyFont="1" applyBorder="1" applyAlignment="1">
      <alignment horizontal="center"/>
    </xf>
    <xf numFmtId="0" fontId="24" fillId="0" borderId="9" xfId="0" applyFont="1" applyBorder="1" applyAlignment="1">
      <alignment horizontal="right"/>
    </xf>
    <xf numFmtId="0" fontId="24" fillId="0" borderId="10" xfId="0" applyFont="1" applyBorder="1" applyAlignment="1">
      <alignment horizontal="right"/>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17" fillId="5" borderId="3" xfId="543"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36" fillId="0" borderId="3" xfId="543" applyFont="1" applyBorder="1" applyAlignment="1">
      <alignment horizontal="center"/>
    </xf>
    <xf numFmtId="0" fontId="36" fillId="0" borderId="5" xfId="543" applyFont="1" applyBorder="1" applyAlignment="1">
      <alignment horizontal="center"/>
    </xf>
    <xf numFmtId="0" fontId="36" fillId="5" borderId="3" xfId="543" applyFont="1" applyFill="1" applyBorder="1" applyAlignment="1" applyProtection="1">
      <alignment horizontal="center"/>
      <protection locked="0"/>
    </xf>
    <xf numFmtId="0" fontId="36" fillId="5" borderId="5" xfId="543" applyFont="1" applyFill="1" applyBorder="1" applyAlignment="1" applyProtection="1">
      <alignment horizontal="center"/>
      <protection locked="0"/>
    </xf>
    <xf numFmtId="0" fontId="36" fillId="5" borderId="9" xfId="543" applyFont="1" applyFill="1" applyBorder="1" applyAlignment="1" applyProtection="1">
      <alignment horizontal="center"/>
      <protection locked="0"/>
    </xf>
    <xf numFmtId="0" fontId="36" fillId="5" borderId="10" xfId="543" applyFont="1" applyFill="1" applyBorder="1" applyAlignment="1" applyProtection="1">
      <alignment horizontal="center"/>
      <protection locked="0"/>
    </xf>
    <xf numFmtId="0" fontId="24" fillId="0" borderId="1"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9" xfId="0" applyFont="1" applyBorder="1" applyAlignment="1">
      <alignment horizontal="center" wrapText="1"/>
    </xf>
    <xf numFmtId="168" fontId="1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182" fontId="25"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4" fillId="0" borderId="12" xfId="0" applyFont="1" applyBorder="1" applyAlignment="1">
      <alignment horizontal="center" wrapText="1"/>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168" fontId="17" fillId="0" borderId="11" xfId="543" applyNumberFormat="1" applyBorder="1" applyAlignment="1">
      <alignment horizontal="center"/>
    </xf>
    <xf numFmtId="0" fontId="37" fillId="0" borderId="4" xfId="543" applyFont="1" applyBorder="1" applyAlignment="1">
      <alignment horizontal="right" vertical="top" wrapText="1"/>
    </xf>
    <xf numFmtId="0" fontId="37" fillId="0" borderId="5" xfId="543" applyFont="1" applyBorder="1" applyAlignment="1">
      <alignment horizontal="right" vertical="top" wrapText="1"/>
    </xf>
    <xf numFmtId="0" fontId="25" fillId="0" borderId="3" xfId="543" applyFont="1" applyBorder="1" applyAlignment="1">
      <alignment horizontal="center"/>
    </xf>
    <xf numFmtId="0" fontId="25" fillId="0" borderId="5" xfId="543" applyFont="1" applyBorder="1" applyAlignment="1">
      <alignment horizontal="center"/>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8" fillId="0" borderId="3" xfId="543" applyFont="1" applyBorder="1" applyAlignment="1">
      <alignment horizontal="center"/>
    </xf>
    <xf numFmtId="0" fontId="38" fillId="0" borderId="4" xfId="543" applyFont="1" applyBorder="1" applyAlignment="1">
      <alignment horizontal="center"/>
    </xf>
    <xf numFmtId="0" fontId="38" fillId="0" borderId="5" xfId="543" applyFont="1" applyBorder="1" applyAlignment="1">
      <alignment horizontal="center"/>
    </xf>
    <xf numFmtId="0" fontId="37" fillId="0" borderId="1" xfId="543" applyFont="1" applyBorder="1" applyAlignment="1">
      <alignment horizontal="right"/>
    </xf>
    <xf numFmtId="0" fontId="37" fillId="0" borderId="2" xfId="543" applyFont="1" applyBorder="1" applyAlignment="1">
      <alignment horizontal="right"/>
    </xf>
    <xf numFmtId="0" fontId="37" fillId="0" borderId="7" xfId="543" applyFont="1" applyBorder="1" applyAlignment="1">
      <alignment horizontal="right"/>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6" xfId="0" applyFont="1" applyBorder="1" applyAlignment="1">
      <alignment horizontal="left" wrapText="1"/>
    </xf>
    <xf numFmtId="0" fontId="17" fillId="0" borderId="10" xfId="0" applyFont="1" applyBorder="1" applyAlignment="1">
      <alignment horizontal="left" wrapText="1"/>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36" fillId="5" borderId="3" xfId="543" applyFont="1" applyFill="1" applyBorder="1" applyAlignment="1" applyProtection="1">
      <alignment horizontal="center" vertical="top"/>
      <protection locked="0"/>
    </xf>
    <xf numFmtId="0" fontId="36" fillId="5" borderId="5" xfId="543" applyFont="1" applyFill="1" applyBorder="1" applyAlignment="1" applyProtection="1">
      <alignment horizontal="center" vertical="top"/>
      <protection locked="0"/>
    </xf>
    <xf numFmtId="0" fontId="44" fillId="0" borderId="8" xfId="543" applyFont="1" applyBorder="1" applyAlignment="1">
      <alignment horizontal="center" vertical="center" wrapText="1"/>
    </xf>
    <xf numFmtId="0" fontId="44" fillId="0" borderId="0" xfId="543" applyFont="1" applyAlignment="1">
      <alignment horizontal="center" vertical="center" wrapText="1"/>
    </xf>
    <xf numFmtId="0" fontId="44" fillId="0" borderId="12" xfId="543" applyFont="1" applyBorder="1" applyAlignment="1">
      <alignment horizontal="center" vertical="center" wrapText="1"/>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64" fontId="36" fillId="5" borderId="3" xfId="0" applyNumberFormat="1" applyFont="1" applyFill="1" applyBorder="1" applyAlignment="1" applyProtection="1">
      <alignment horizontal="left"/>
      <protection locked="0"/>
    </xf>
    <xf numFmtId="180" fontId="0" fillId="0" borderId="6" xfId="0" applyNumberFormat="1" applyBorder="1" applyAlignment="1">
      <alignment horizontal="center"/>
    </xf>
    <xf numFmtId="0" fontId="50" fillId="0" borderId="0" xfId="0" applyFont="1" applyAlignment="1">
      <alignment horizontal="center"/>
    </xf>
    <xf numFmtId="0" fontId="24"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horizontal="center" vertical="top"/>
    </xf>
    <xf numFmtId="168" fontId="26" fillId="0" borderId="6" xfId="0" applyNumberFormat="1" applyFont="1" applyBorder="1" applyAlignment="1">
      <alignment horizontal="center"/>
    </xf>
    <xf numFmtId="0" fontId="17" fillId="5" borderId="6" xfId="0" applyFont="1" applyFill="1" applyBorder="1" applyAlignment="1" applyProtection="1">
      <alignment horizontal="left" wrapText="1"/>
      <protection locked="0"/>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0" fontId="0" fillId="5" borderId="4" xfId="0" applyNumberFormat="1" applyFill="1" applyBorder="1" applyAlignment="1" applyProtection="1">
      <alignment horizontal="center"/>
      <protection locked="0"/>
    </xf>
    <xf numFmtId="0" fontId="26" fillId="0" borderId="0" xfId="543" applyFont="1" applyAlignment="1">
      <alignment horizontal="center"/>
    </xf>
    <xf numFmtId="0" fontId="17" fillId="0" borderId="0" xfId="0" applyFont="1" applyAlignment="1">
      <alignment vertical="center" wrapText="1"/>
    </xf>
    <xf numFmtId="0" fontId="17" fillId="0" borderId="0" xfId="543" applyAlignment="1">
      <alignment wrapText="1"/>
    </xf>
    <xf numFmtId="0" fontId="26" fillId="0" borderId="2" xfId="0" applyFont="1" applyBorder="1" applyAlignment="1">
      <alignment horizontal="left" vertical="top" wrapText="1"/>
    </xf>
    <xf numFmtId="177" fontId="26" fillId="5" borderId="6" xfId="0" applyNumberFormat="1" applyFont="1" applyFill="1" applyBorder="1" applyAlignment="1" applyProtection="1">
      <alignment horizontal="left" vertical="top" wrapText="1"/>
      <protection locked="0"/>
    </xf>
    <xf numFmtId="0" fontId="54" fillId="0" borderId="0" xfId="0" applyFont="1" applyAlignment="1">
      <alignment vertical="top" wrapText="1"/>
    </xf>
    <xf numFmtId="0" fontId="26" fillId="0" borderId="0" xfId="0" applyFont="1" applyAlignment="1">
      <alignment vertical="top" wrapText="1"/>
    </xf>
    <xf numFmtId="0" fontId="26" fillId="0" borderId="6" xfId="0" applyFont="1" applyBorder="1" applyAlignment="1">
      <alignment horizontal="right" vertical="top" wrapText="1"/>
    </xf>
    <xf numFmtId="0" fontId="26" fillId="0" borderId="6" xfId="0" applyFont="1" applyBorder="1" applyAlignment="1">
      <alignment vertical="top" wrapText="1"/>
    </xf>
    <xf numFmtId="0" fontId="58" fillId="2" borderId="3" xfId="0" applyFont="1" applyFill="1" applyBorder="1" applyAlignment="1">
      <alignment horizontal="center" vertical="top"/>
    </xf>
    <xf numFmtId="0" fontId="58" fillId="2" borderId="4" xfId="0" applyFont="1" applyFill="1" applyBorder="1" applyAlignment="1">
      <alignment horizontal="center" vertical="top"/>
    </xf>
    <xf numFmtId="0" fontId="58" fillId="2" borderId="5" xfId="0" applyFont="1" applyFill="1" applyBorder="1" applyAlignment="1">
      <alignment horizontal="center" vertical="top"/>
    </xf>
    <xf numFmtId="0" fontId="26" fillId="0" borderId="2" xfId="0" applyFont="1" applyBorder="1" applyAlignment="1">
      <alignment vertical="top" wrapText="1"/>
    </xf>
    <xf numFmtId="0" fontId="53" fillId="0" borderId="0" xfId="0" applyFont="1" applyAlignment="1">
      <alignment vertical="top" wrapText="1"/>
    </xf>
    <xf numFmtId="0" fontId="54"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169" fillId="44" borderId="80" xfId="8733" applyFont="1" applyFill="1" applyBorder="1" applyAlignment="1">
      <alignment horizontal="left"/>
    </xf>
    <xf numFmtId="0" fontId="169" fillId="44" borderId="79" xfId="8733" applyFont="1" applyFill="1" applyBorder="1" applyAlignment="1">
      <alignment horizontal="left"/>
    </xf>
    <xf numFmtId="0" fontId="169" fillId="44" borderId="78" xfId="8733" applyFont="1" applyFill="1" applyBorder="1" applyAlignment="1">
      <alignment horizontal="left"/>
    </xf>
    <xf numFmtId="0" fontId="170" fillId="45" borderId="11" xfId="8733" applyFont="1" applyFill="1" applyBorder="1" applyAlignment="1">
      <alignment horizontal="right"/>
    </xf>
    <xf numFmtId="1" fontId="169"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81" fillId="51" borderId="65" xfId="8733" applyFont="1" applyFill="1" applyBorder="1" applyAlignment="1">
      <alignment horizontal="center"/>
    </xf>
    <xf numFmtId="0" fontId="181" fillId="51" borderId="29" xfId="8733" applyFont="1" applyFill="1" applyBorder="1" applyAlignment="1">
      <alignment horizontal="center"/>
    </xf>
    <xf numFmtId="0" fontId="181" fillId="51" borderId="31" xfId="8733" applyFont="1" applyFill="1" applyBorder="1" applyAlignment="1">
      <alignment horizontal="center"/>
    </xf>
    <xf numFmtId="0" fontId="166" fillId="48" borderId="66" xfId="8733" applyFont="1" applyFill="1" applyBorder="1" applyAlignment="1">
      <alignment horizontal="center"/>
    </xf>
    <xf numFmtId="0" fontId="166" fillId="48" borderId="0" xfId="8733" applyFont="1" applyFill="1" applyAlignment="1">
      <alignment horizontal="center"/>
    </xf>
    <xf numFmtId="0" fontId="166" fillId="48" borderId="41" xfId="8733" applyFont="1" applyFill="1" applyBorder="1" applyAlignment="1">
      <alignment horizontal="center"/>
    </xf>
    <xf numFmtId="0" fontId="176" fillId="45" borderId="11" xfId="8733" applyFont="1" applyFill="1" applyBorder="1" applyAlignment="1">
      <alignment horizontal="right"/>
    </xf>
    <xf numFmtId="14" fontId="169" fillId="48" borderId="11" xfId="8733" applyNumberFormat="1" applyFont="1" applyFill="1" applyBorder="1" applyAlignment="1" applyProtection="1">
      <alignment horizontal="center"/>
      <protection locked="0"/>
    </xf>
    <xf numFmtId="0" fontId="169" fillId="48" borderId="11" xfId="8733" applyFont="1" applyFill="1" applyBorder="1" applyAlignment="1" applyProtection="1">
      <alignment horizontal="center"/>
      <protection locked="0"/>
    </xf>
    <xf numFmtId="0" fontId="102" fillId="45" borderId="80" xfId="8733" applyFont="1" applyFill="1" applyBorder="1" applyAlignment="1">
      <alignment horizontal="center"/>
    </xf>
    <xf numFmtId="0" fontId="102" fillId="45" borderId="79" xfId="8733" applyFont="1" applyFill="1" applyBorder="1" applyAlignment="1">
      <alignment horizontal="center"/>
    </xf>
    <xf numFmtId="0" fontId="102" fillId="45" borderId="78" xfId="8733" applyFont="1" applyFill="1" applyBorder="1" applyAlignment="1">
      <alignment horizontal="center"/>
    </xf>
    <xf numFmtId="0" fontId="169" fillId="48" borderId="80" xfId="8733" applyFont="1" applyFill="1" applyBorder="1" applyAlignment="1" applyProtection="1">
      <alignment horizontal="center"/>
      <protection locked="0"/>
    </xf>
    <xf numFmtId="0" fontId="169" fillId="48" borderId="79" xfId="8733" applyFont="1" applyFill="1" applyBorder="1" applyAlignment="1" applyProtection="1">
      <alignment horizontal="center"/>
      <protection locked="0"/>
    </xf>
    <xf numFmtId="0" fontId="169" fillId="48" borderId="78" xfId="8733" applyFont="1" applyFill="1" applyBorder="1" applyAlignment="1" applyProtection="1">
      <alignment horizontal="center"/>
      <protection locked="0"/>
    </xf>
    <xf numFmtId="0" fontId="173" fillId="45" borderId="11" xfId="8733" applyFont="1" applyFill="1" applyBorder="1" applyAlignment="1">
      <alignment horizontal="right"/>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70" fillId="45" borderId="11" xfId="8733" applyFont="1" applyFill="1" applyBorder="1" applyAlignment="1">
      <alignment horizontal="right" wrapText="1"/>
    </xf>
    <xf numFmtId="14" fontId="169" fillId="48" borderId="11" xfId="8733" applyNumberFormat="1" applyFont="1" applyFill="1" applyBorder="1" applyAlignment="1" applyProtection="1">
      <alignment horizontal="center" vertical="center"/>
      <protection locked="0"/>
    </xf>
    <xf numFmtId="0" fontId="169" fillId="48" borderId="11" xfId="8733" applyFont="1" applyFill="1" applyBorder="1" applyAlignment="1" applyProtection="1">
      <alignment horizontal="center" vertical="center"/>
      <protection locked="0"/>
    </xf>
    <xf numFmtId="168" fontId="174" fillId="44" borderId="11" xfId="8734" applyNumberFormat="1" applyFont="1" applyFill="1" applyBorder="1" applyAlignment="1" applyProtection="1">
      <alignment horizontal="left"/>
    </xf>
    <xf numFmtId="0" fontId="102" fillId="45" borderId="80" xfId="8733" applyFont="1" applyFill="1" applyBorder="1" applyAlignment="1">
      <alignment horizontal="right"/>
    </xf>
    <xf numFmtId="0" fontId="102" fillId="45" borderId="79" xfId="8733" applyFont="1" applyFill="1" applyBorder="1" applyAlignment="1">
      <alignment horizontal="right"/>
    </xf>
    <xf numFmtId="0" fontId="10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66" fillId="45" borderId="93" xfId="8733" applyFont="1" applyFill="1" applyBorder="1" applyAlignment="1">
      <alignment horizontal="center"/>
    </xf>
    <xf numFmtId="0" fontId="166" fillId="45" borderId="92" xfId="8733" applyFont="1" applyFill="1" applyBorder="1" applyAlignment="1">
      <alignment horizontal="center"/>
    </xf>
    <xf numFmtId="0" fontId="166" fillId="45" borderId="91" xfId="8733" applyFont="1" applyFill="1" applyBorder="1" applyAlignment="1">
      <alignment horizontal="center"/>
    </xf>
    <xf numFmtId="0" fontId="173" fillId="45" borderId="97" xfId="8733" applyFont="1" applyFill="1" applyBorder="1" applyAlignment="1">
      <alignment horizontal="center"/>
    </xf>
    <xf numFmtId="0" fontId="173" fillId="45" borderId="2" xfId="8733" applyFont="1" applyFill="1" applyBorder="1" applyAlignment="1">
      <alignment horizontal="center"/>
    </xf>
    <xf numFmtId="0" fontId="173" fillId="45" borderId="7" xfId="8733" applyFont="1" applyFill="1" applyBorder="1" applyAlignment="1">
      <alignment horizontal="center"/>
    </xf>
    <xf numFmtId="0" fontId="173" fillId="45" borderId="3" xfId="8733" applyFont="1" applyFill="1" applyBorder="1" applyAlignment="1">
      <alignment horizontal="center"/>
    </xf>
    <xf numFmtId="0" fontId="173" fillId="45" borderId="4" xfId="8733" applyFont="1" applyFill="1" applyBorder="1" applyAlignment="1">
      <alignment horizontal="center"/>
    </xf>
    <xf numFmtId="0" fontId="173" fillId="45" borderId="5" xfId="8733" applyFont="1" applyFill="1" applyBorder="1" applyAlignment="1">
      <alignment horizontal="center"/>
    </xf>
    <xf numFmtId="0" fontId="173" fillId="45" borderId="81" xfId="8733" applyFont="1" applyFill="1" applyBorder="1" applyAlignment="1">
      <alignment horizontal="center"/>
    </xf>
    <xf numFmtId="9" fontId="172" fillId="48" borderId="90" xfId="8733" applyNumberFormat="1" applyFont="1" applyFill="1" applyBorder="1" applyAlignment="1" applyProtection="1">
      <alignment horizontal="center"/>
      <protection locked="0"/>
    </xf>
    <xf numFmtId="9" fontId="172" fillId="48" borderId="4" xfId="8733" applyNumberFormat="1" applyFont="1" applyFill="1" applyBorder="1" applyAlignment="1" applyProtection="1">
      <alignment horizontal="center"/>
      <protection locked="0"/>
    </xf>
    <xf numFmtId="9" fontId="172" fillId="48" borderId="5" xfId="8733" applyNumberFormat="1" applyFont="1" applyFill="1" applyBorder="1" applyAlignment="1" applyProtection="1">
      <alignment horizontal="center"/>
      <protection locked="0"/>
    </xf>
    <xf numFmtId="0" fontId="172" fillId="44" borderId="3" xfId="8733" applyFont="1" applyFill="1" applyBorder="1" applyAlignment="1">
      <alignment horizontal="center"/>
    </xf>
    <xf numFmtId="0" fontId="172" fillId="44" borderId="4" xfId="8733" applyFont="1" applyFill="1" applyBorder="1" applyAlignment="1">
      <alignment horizontal="center"/>
    </xf>
    <xf numFmtId="0" fontId="172" fillId="44" borderId="5" xfId="8733" applyFont="1" applyFill="1" applyBorder="1" applyAlignment="1">
      <alignment horizontal="center"/>
    </xf>
    <xf numFmtId="9" fontId="173" fillId="44" borderId="3" xfId="8733" applyNumberFormat="1" applyFont="1" applyFill="1" applyBorder="1" applyAlignment="1">
      <alignment horizontal="center"/>
    </xf>
    <xf numFmtId="9" fontId="173" fillId="44" borderId="4" xfId="8733" applyNumberFormat="1" applyFont="1" applyFill="1" applyBorder="1" applyAlignment="1">
      <alignment horizontal="center"/>
    </xf>
    <xf numFmtId="9" fontId="173" fillId="44" borderId="81" xfId="8733" applyNumberFormat="1" applyFont="1" applyFill="1" applyBorder="1" applyAlignment="1">
      <alignment horizontal="center"/>
    </xf>
    <xf numFmtId="0" fontId="172" fillId="48" borderId="3" xfId="8733" applyFont="1" applyFill="1" applyBorder="1" applyAlignment="1" applyProtection="1">
      <alignment horizontal="center"/>
      <protection locked="0"/>
    </xf>
    <xf numFmtId="0" fontId="172" fillId="48" borderId="4" xfId="8733" applyFont="1" applyFill="1" applyBorder="1" applyAlignment="1" applyProtection="1">
      <alignment horizontal="center"/>
      <protection locked="0"/>
    </xf>
    <xf numFmtId="0" fontId="172" fillId="48" borderId="5" xfId="8733" applyFont="1" applyFill="1" applyBorder="1" applyAlignment="1" applyProtection="1">
      <alignment horizontal="center"/>
      <protection locked="0"/>
    </xf>
    <xf numFmtId="0" fontId="173" fillId="44" borderId="87"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0" fontId="172" fillId="44" borderId="94"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9" fontId="173" fillId="44" borderId="94" xfId="8733" applyNumberFormat="1" applyFont="1" applyFill="1" applyBorder="1" applyAlignment="1">
      <alignment horizontal="center"/>
    </xf>
    <xf numFmtId="9" fontId="173" fillId="44" borderId="86" xfId="8733" applyNumberFormat="1" applyFont="1" applyFill="1" applyBorder="1" applyAlignment="1">
      <alignment horizontal="center"/>
    </xf>
    <xf numFmtId="9" fontId="173" fillId="44" borderId="85" xfId="8733" applyNumberFormat="1" applyFont="1" applyFill="1" applyBorder="1" applyAlignment="1">
      <alignment horizontal="center"/>
    </xf>
    <xf numFmtId="0" fontId="173" fillId="44" borderId="101" xfId="8733" applyFont="1" applyFill="1" applyBorder="1" applyAlignment="1">
      <alignment horizontal="center"/>
    </xf>
    <xf numFmtId="0" fontId="173" fillId="44" borderId="42" xfId="8733" applyFont="1" applyFill="1" applyBorder="1" applyAlignment="1">
      <alignment horizontal="center"/>
    </xf>
    <xf numFmtId="0" fontId="173" fillId="44" borderId="96" xfId="8733"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5" fillId="45" borderId="98" xfId="8733" applyFont="1" applyFill="1" applyBorder="1" applyAlignment="1">
      <alignment horizontal="center" vertical="center" wrapText="1"/>
    </xf>
    <xf numFmtId="0" fontId="165" fillId="45" borderId="13" xfId="8733" applyFont="1" applyFill="1" applyBorder="1" applyAlignment="1">
      <alignment horizontal="center" vertical="center"/>
    </xf>
    <xf numFmtId="0" fontId="165" fillId="45" borderId="72" xfId="8733" applyFont="1" applyFill="1" applyBorder="1" applyAlignment="1">
      <alignment horizontal="center" vertical="center"/>
    </xf>
    <xf numFmtId="0" fontId="165" fillId="45" borderId="11" xfId="8733" applyFont="1" applyFill="1" applyBorder="1" applyAlignment="1">
      <alignment horizontal="center" vertical="center"/>
    </xf>
    <xf numFmtId="0" fontId="173" fillId="45" borderId="13" xfId="8733" applyFont="1" applyFill="1" applyBorder="1" applyAlignment="1">
      <alignment horizontal="center" vertical="center" wrapText="1"/>
    </xf>
    <xf numFmtId="0" fontId="173" fillId="45" borderId="13" xfId="8733" applyFont="1" applyFill="1" applyBorder="1" applyAlignment="1">
      <alignment horizontal="center" vertical="center"/>
    </xf>
    <xf numFmtId="0" fontId="173" fillId="45" borderId="11" xfId="8733" applyFont="1" applyFill="1" applyBorder="1" applyAlignment="1">
      <alignment horizontal="center" vertical="center"/>
    </xf>
    <xf numFmtId="0" fontId="173" fillId="45" borderId="9" xfId="8733" applyFont="1" applyFill="1" applyBorder="1" applyAlignment="1">
      <alignment horizontal="center" vertical="center"/>
    </xf>
    <xf numFmtId="0" fontId="173" fillId="45" borderId="3" xfId="8733" applyFont="1" applyFill="1" applyBorder="1" applyAlignment="1">
      <alignment horizontal="center" vertic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5" fillId="45" borderId="65" xfId="8733" applyFont="1" applyFill="1" applyBorder="1" applyAlignment="1">
      <alignment horizontal="center" vertical="center" wrapText="1"/>
    </xf>
    <xf numFmtId="0" fontId="165" fillId="45" borderId="29" xfId="8733" applyFont="1" applyFill="1" applyBorder="1" applyAlignment="1">
      <alignment horizontal="center" vertical="center" wrapText="1"/>
    </xf>
    <xf numFmtId="0" fontId="165" fillId="45" borderId="31" xfId="8733" applyFont="1" applyFill="1" applyBorder="1" applyAlignment="1">
      <alignment horizontal="center" vertical="center" wrapText="1"/>
    </xf>
    <xf numFmtId="0" fontId="165" fillId="45" borderId="73" xfId="8733" applyFont="1" applyFill="1" applyBorder="1" applyAlignment="1">
      <alignment horizontal="center" vertical="center" wrapText="1"/>
    </xf>
    <xf numFmtId="0" fontId="165" fillId="45" borderId="42" xfId="8733" applyFont="1" applyFill="1" applyBorder="1" applyAlignment="1">
      <alignment horizontal="center" vertical="center" wrapText="1"/>
    </xf>
    <xf numFmtId="0" fontId="165" fillId="45" borderId="44" xfId="8733" applyFont="1" applyFill="1" applyBorder="1" applyAlignment="1">
      <alignment horizontal="center" vertical="center" wrapText="1"/>
    </xf>
    <xf numFmtId="9" fontId="173" fillId="48" borderId="13" xfId="8733" applyNumberFormat="1" applyFont="1" applyFill="1" applyBorder="1" applyAlignment="1" applyProtection="1">
      <alignment horizontal="center"/>
      <protection locked="0"/>
    </xf>
    <xf numFmtId="0" fontId="173" fillId="44" borderId="73" xfId="8733" applyFont="1" applyFill="1" applyBorder="1" applyAlignment="1">
      <alignment horizontal="center"/>
    </xf>
    <xf numFmtId="0" fontId="165" fillId="44" borderId="9" xfId="8733" applyFont="1" applyFill="1" applyBorder="1" applyAlignment="1">
      <alignment horizontal="center"/>
    </xf>
    <xf numFmtId="0" fontId="165" fillId="44" borderId="6" xfId="8733" applyFont="1" applyFill="1" applyBorder="1" applyAlignment="1">
      <alignment horizontal="center"/>
    </xf>
    <xf numFmtId="0" fontId="165" fillId="44" borderId="82" xfId="8733" applyFont="1" applyFill="1" applyBorder="1" applyAlignment="1">
      <alignment horizontal="center"/>
    </xf>
    <xf numFmtId="9" fontId="173" fillId="48" borderId="9" xfId="8733" applyNumberFormat="1" applyFont="1" applyFill="1" applyBorder="1" applyAlignment="1" applyProtection="1">
      <alignment horizontal="center"/>
      <protection locked="0"/>
    </xf>
    <xf numFmtId="9" fontId="173" fillId="48" borderId="6" xfId="8733" applyNumberFormat="1" applyFont="1" applyFill="1" applyBorder="1" applyAlignment="1" applyProtection="1">
      <alignment horizontal="center"/>
      <protection locked="0"/>
    </xf>
    <xf numFmtId="9" fontId="173" fillId="48" borderId="10" xfId="8733" applyNumberFormat="1" applyFont="1" applyFill="1" applyBorder="1" applyAlignment="1" applyProtection="1">
      <alignment horizontal="center"/>
      <protection locked="0"/>
    </xf>
    <xf numFmtId="9" fontId="165" fillId="48" borderId="9" xfId="8733" applyNumberFormat="1" applyFont="1" applyFill="1" applyBorder="1" applyAlignment="1" applyProtection="1">
      <alignment horizontal="center"/>
      <protection locked="0"/>
    </xf>
    <xf numFmtId="9" fontId="165" fillId="48" borderId="6" xfId="8733" applyNumberFormat="1" applyFont="1" applyFill="1" applyBorder="1" applyAlignment="1" applyProtection="1">
      <alignment horizontal="center"/>
      <protection locked="0"/>
    </xf>
    <xf numFmtId="9" fontId="165" fillId="48" borderId="10" xfId="8733" applyNumberFormat="1" applyFont="1" applyFill="1" applyBorder="1" applyAlignment="1" applyProtection="1">
      <alignment horizontal="center"/>
      <protection locked="0"/>
    </xf>
    <xf numFmtId="0" fontId="165" fillId="44" borderId="10" xfId="8733" applyFont="1" applyFill="1" applyBorder="1" applyAlignment="1">
      <alignment horizontal="center"/>
    </xf>
    <xf numFmtId="1" fontId="177" fillId="48" borderId="3" xfId="8733" applyNumberFormat="1" applyFont="1" applyFill="1" applyBorder="1" applyAlignment="1" applyProtection="1">
      <alignment horizontal="center"/>
      <protection locked="0"/>
    </xf>
    <xf numFmtId="1" fontId="177" fillId="48" borderId="4" xfId="8733" applyNumberFormat="1" applyFont="1" applyFill="1" applyBorder="1" applyAlignment="1" applyProtection="1">
      <alignment horizontal="center"/>
      <protection locked="0"/>
    </xf>
    <xf numFmtId="1" fontId="177" fillId="48" borderId="5" xfId="8733" applyNumberFormat="1" applyFont="1" applyFill="1" applyBorder="1" applyAlignment="1" applyProtection="1">
      <alignment horizontal="center"/>
      <protection locked="0"/>
    </xf>
    <xf numFmtId="1" fontId="165" fillId="44" borderId="3" xfId="8733" applyNumberFormat="1" applyFont="1" applyFill="1" applyBorder="1" applyAlignment="1">
      <alignment horizontal="center"/>
    </xf>
    <xf numFmtId="1" fontId="165" fillId="44" borderId="4" xfId="8733" applyNumberFormat="1" applyFont="1" applyFill="1" applyBorder="1" applyAlignment="1">
      <alignment horizontal="center"/>
    </xf>
    <xf numFmtId="1" fontId="165" fillId="44" borderId="5" xfId="8733" applyNumberFormat="1" applyFont="1" applyFill="1" applyBorder="1" applyAlignment="1">
      <alignment horizontal="center"/>
    </xf>
    <xf numFmtId="9" fontId="165" fillId="44" borderId="3" xfId="8735" applyFont="1" applyFill="1" applyBorder="1" applyAlignment="1">
      <alignment horizontal="center"/>
    </xf>
    <xf numFmtId="9" fontId="165" fillId="44" borderId="4" xfId="8735" applyFont="1" applyFill="1" applyBorder="1" applyAlignment="1">
      <alignment horizontal="center"/>
    </xf>
    <xf numFmtId="9" fontId="165" fillId="44" borderId="81" xfId="8735" applyFont="1" applyFill="1" applyBorder="1" applyAlignment="1">
      <alignment horizontal="center"/>
    </xf>
    <xf numFmtId="0" fontId="174" fillId="48" borderId="72" xfId="8733" applyFont="1" applyFill="1" applyBorder="1" applyAlignment="1" applyProtection="1">
      <alignment horizontal="right"/>
      <protection locked="0"/>
    </xf>
    <xf numFmtId="0" fontId="174" fillId="48" borderId="11" xfId="8733" applyFont="1" applyFill="1" applyBorder="1" applyAlignment="1" applyProtection="1">
      <alignment horizontal="right"/>
      <protection locked="0"/>
    </xf>
    <xf numFmtId="0" fontId="177" fillId="48" borderId="11" xfId="8733" applyFont="1" applyFill="1" applyBorder="1" applyAlignment="1" applyProtection="1">
      <alignment horizontal="center"/>
      <protection locked="0"/>
    </xf>
    <xf numFmtId="1" fontId="177" fillId="48" borderId="11" xfId="8733" applyNumberFormat="1" applyFont="1" applyFill="1" applyBorder="1" applyAlignment="1" applyProtection="1">
      <alignment horizontal="center"/>
      <protection locked="0"/>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0" fontId="172" fillId="48" borderId="69" xfId="8733" applyFont="1" applyFill="1" applyBorder="1" applyAlignment="1" applyProtection="1">
      <alignment horizontal="right"/>
      <protection locked="0"/>
    </xf>
    <xf numFmtId="0" fontId="172" fillId="48" borderId="70" xfId="8733" applyFont="1" applyFill="1" applyBorder="1" applyAlignment="1" applyProtection="1">
      <alignment horizontal="right"/>
      <protection locked="0"/>
    </xf>
    <xf numFmtId="0" fontId="177" fillId="48" borderId="70" xfId="8733" applyFont="1" applyFill="1" applyBorder="1" applyAlignment="1" applyProtection="1">
      <alignment horizontal="center"/>
      <protection locked="0"/>
    </xf>
    <xf numFmtId="1" fontId="177" fillId="48" borderId="70" xfId="8733" applyNumberFormat="1" applyFont="1" applyFill="1" applyBorder="1" applyAlignment="1" applyProtection="1">
      <alignment horizontal="center"/>
      <protection locked="0"/>
    </xf>
    <xf numFmtId="9" fontId="165" fillId="44" borderId="94" xfId="8735" applyFont="1" applyFill="1" applyBorder="1" applyAlignment="1">
      <alignment horizontal="center"/>
    </xf>
    <xf numFmtId="9" fontId="165" fillId="44" borderId="86" xfId="8735" applyFont="1" applyFill="1" applyBorder="1" applyAlignment="1">
      <alignment horizontal="center"/>
    </xf>
    <xf numFmtId="9" fontId="165" fillId="44" borderId="85" xfId="8735" applyFont="1" applyFill="1" applyBorder="1" applyAlignment="1">
      <alignment horizontal="center"/>
    </xf>
    <xf numFmtId="1" fontId="177" fillId="48" borderId="94" xfId="8733" applyNumberFormat="1" applyFont="1" applyFill="1" applyBorder="1" applyAlignment="1" applyProtection="1">
      <alignment horizontal="center"/>
      <protection locked="0"/>
    </xf>
    <xf numFmtId="1" fontId="177" fillId="48" borderId="86" xfId="8733" applyNumberFormat="1" applyFont="1" applyFill="1" applyBorder="1" applyAlignment="1" applyProtection="1">
      <alignment horizontal="center"/>
      <protection locked="0"/>
    </xf>
    <xf numFmtId="1" fontId="177" fillId="48" borderId="95" xfId="8733" applyNumberFormat="1" applyFont="1" applyFill="1" applyBorder="1" applyAlignment="1" applyProtection="1">
      <alignment horizontal="center"/>
      <protection locked="0"/>
    </xf>
    <xf numFmtId="0" fontId="166" fillId="45" borderId="67" xfId="8733" applyFont="1" applyFill="1" applyBorder="1" applyAlignment="1">
      <alignment horizontal="center"/>
    </xf>
    <xf numFmtId="0" fontId="166" fillId="45" borderId="68" xfId="8733" applyFont="1" applyFill="1" applyBorder="1" applyAlignment="1">
      <alignment horizontal="center"/>
    </xf>
    <xf numFmtId="0" fontId="166" fillId="45" borderId="71" xfId="8733" applyFont="1" applyFill="1" applyBorder="1" applyAlignment="1">
      <alignment horizontal="center"/>
    </xf>
    <xf numFmtId="0" fontId="173" fillId="45" borderId="72" xfId="8733" applyFont="1" applyFill="1" applyBorder="1" applyAlignment="1">
      <alignment horizontal="center"/>
    </xf>
    <xf numFmtId="0" fontId="173" fillId="45" borderId="11" xfId="8733" applyFont="1" applyFill="1" applyBorder="1" applyAlignment="1">
      <alignment horizontal="center"/>
    </xf>
    <xf numFmtId="0" fontId="165" fillId="45" borderId="11" xfId="8733" applyFont="1" applyFill="1" applyBorder="1" applyAlignment="1">
      <alignment horizontal="center" vertical="center" wrapText="1"/>
    </xf>
    <xf numFmtId="0" fontId="165" fillId="45" borderId="76" xfId="8733" applyFont="1" applyFill="1" applyBorder="1" applyAlignment="1">
      <alignment horizontal="center" vertical="center" wrapText="1"/>
    </xf>
    <xf numFmtId="0" fontId="172" fillId="48" borderId="11" xfId="8733" applyFont="1" applyFill="1" applyBorder="1" applyAlignment="1" applyProtection="1">
      <alignment horizontal="center"/>
      <protection locked="0"/>
    </xf>
    <xf numFmtId="168" fontId="172" fillId="48" borderId="11" xfId="8734" applyNumberFormat="1" applyFont="1" applyFill="1" applyBorder="1" applyAlignment="1" applyProtection="1">
      <alignment horizontal="center"/>
      <protection locked="0"/>
    </xf>
    <xf numFmtId="1" fontId="172" fillId="48" borderId="11" xfId="8733"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3" applyFont="1" applyFill="1" applyBorder="1" applyAlignment="1">
      <alignment horizontal="center"/>
    </xf>
    <xf numFmtId="0" fontId="166" fillId="45" borderId="29" xfId="8733" applyFont="1" applyFill="1" applyBorder="1" applyAlignment="1">
      <alignment horizontal="center"/>
    </xf>
    <xf numFmtId="0" fontId="166" fillId="45" borderId="31" xfId="8733" applyFont="1" applyFill="1" applyBorder="1" applyAlignment="1">
      <alignment horizontal="center"/>
    </xf>
    <xf numFmtId="0" fontId="172" fillId="44" borderId="72" xfId="8733" applyFont="1" applyFill="1" applyBorder="1" applyAlignment="1" applyProtection="1">
      <alignment horizontal="right"/>
      <protection locked="0"/>
    </xf>
    <xf numFmtId="0" fontId="172" fillId="44" borderId="11" xfId="8733" applyFont="1" applyFill="1" applyBorder="1" applyAlignment="1" applyProtection="1">
      <alignment horizontal="right"/>
      <protection locked="0"/>
    </xf>
    <xf numFmtId="0" fontId="172" fillId="44" borderId="76" xfId="8733" applyFont="1" applyFill="1" applyBorder="1" applyAlignment="1" applyProtection="1">
      <alignment horizontal="right"/>
      <protection locked="0"/>
    </xf>
    <xf numFmtId="0" fontId="172" fillId="48" borderId="5" xfId="8733" applyFont="1" applyFill="1" applyBorder="1" applyAlignment="1" applyProtection="1">
      <alignment horizontal="left"/>
      <protection locked="0"/>
    </xf>
    <xf numFmtId="0" fontId="172" fillId="48" borderId="11" xfId="8733" applyFont="1" applyFill="1" applyBorder="1" applyAlignment="1" applyProtection="1">
      <alignment horizontal="left"/>
      <protection locked="0"/>
    </xf>
    <xf numFmtId="0" fontId="172" fillId="48" borderId="76" xfId="8733" applyFont="1" applyFill="1" applyBorder="1" applyAlignment="1" applyProtection="1">
      <alignment horizontal="left"/>
      <protection locked="0"/>
    </xf>
    <xf numFmtId="0" fontId="173" fillId="45" borderId="69" xfId="8733" applyFont="1" applyFill="1" applyBorder="1" applyAlignment="1">
      <alignment horizontal="center"/>
    </xf>
    <xf numFmtId="0" fontId="173" fillId="45" borderId="70" xfId="8733" applyFont="1" applyFill="1" applyBorder="1" applyAlignment="1">
      <alignment horizontal="center"/>
    </xf>
    <xf numFmtId="168" fontId="173" fillId="45" borderId="70" xfId="8734" applyNumberFormat="1" applyFont="1" applyFill="1" applyBorder="1" applyAlignment="1">
      <alignment horizontal="center"/>
    </xf>
    <xf numFmtId="1" fontId="173" fillId="45" borderId="70" xfId="8734" applyNumberFormat="1" applyFont="1" applyFill="1" applyBorder="1" applyAlignment="1">
      <alignment horizontal="center"/>
    </xf>
    <xf numFmtId="0" fontId="173" fillId="45" borderId="70" xfId="8734" applyNumberFormat="1" applyFont="1" applyFill="1" applyBorder="1" applyAlignment="1">
      <alignment horizontal="center"/>
    </xf>
    <xf numFmtId="0" fontId="173" fillId="45" borderId="77" xfId="8734" applyNumberFormat="1" applyFont="1" applyFill="1" applyBorder="1" applyAlignment="1">
      <alignment horizontal="center"/>
    </xf>
    <xf numFmtId="0" fontId="169" fillId="48" borderId="74" xfId="8733" applyFont="1" applyFill="1" applyBorder="1" applyAlignment="1" applyProtection="1">
      <alignment horizontal="left"/>
      <protection locked="0"/>
    </xf>
    <xf numFmtId="0" fontId="169" fillId="48" borderId="68" xfId="8733" applyFont="1" applyFill="1" applyBorder="1" applyAlignment="1" applyProtection="1">
      <alignment horizontal="left"/>
      <protection locked="0"/>
    </xf>
    <xf numFmtId="0" fontId="169" fillId="48" borderId="71" xfId="8733" applyFont="1" applyFill="1" applyBorder="1" applyAlignment="1" applyProtection="1">
      <alignment horizontal="left"/>
      <protection locked="0"/>
    </xf>
    <xf numFmtId="0" fontId="166" fillId="45" borderId="72" xfId="8733" applyFont="1" applyFill="1" applyBorder="1" applyAlignment="1">
      <alignment horizontal="center"/>
    </xf>
    <xf numFmtId="0" fontId="166" fillId="45" borderId="11" xfId="8733" applyFont="1" applyFill="1" applyBorder="1" applyAlignment="1">
      <alignment horizontal="center"/>
    </xf>
    <xf numFmtId="0" fontId="166" fillId="45" borderId="3" xfId="8733" applyFont="1" applyFill="1" applyBorder="1" applyAlignment="1">
      <alignment horizontal="center"/>
    </xf>
    <xf numFmtId="0" fontId="166" fillId="45" borderId="4" xfId="8733" applyFont="1" applyFill="1" applyBorder="1" applyAlignment="1">
      <alignment horizontal="center"/>
    </xf>
    <xf numFmtId="0" fontId="166" fillId="45" borderId="81" xfId="8733" applyFont="1" applyFill="1" applyBorder="1" applyAlignment="1">
      <alignment horizontal="center"/>
    </xf>
    <xf numFmtId="0" fontId="102" fillId="45" borderId="69" xfId="8733" applyFont="1" applyFill="1" applyBorder="1" applyAlignment="1">
      <alignment horizontal="center"/>
    </xf>
    <xf numFmtId="0" fontId="102" fillId="45" borderId="70" xfId="8733" applyFont="1" applyFill="1" applyBorder="1" applyAlignment="1">
      <alignment horizontal="center"/>
    </xf>
    <xf numFmtId="0" fontId="172" fillId="44" borderId="69" xfId="8733" applyFont="1" applyFill="1" applyBorder="1" applyAlignment="1" applyProtection="1">
      <alignment horizontal="right"/>
      <protection locked="0"/>
    </xf>
    <xf numFmtId="0" fontId="172" fillId="44" borderId="70" xfId="8733" applyFont="1" applyFill="1" applyBorder="1" applyAlignment="1" applyProtection="1">
      <alignment horizontal="right"/>
      <protection locked="0"/>
    </xf>
    <xf numFmtId="0" fontId="172" fillId="44" borderId="77" xfId="8733" applyFont="1" applyFill="1" applyBorder="1" applyAlignment="1" applyProtection="1">
      <alignment horizontal="right"/>
      <protection locked="0"/>
    </xf>
    <xf numFmtId="0" fontId="172" fillId="48" borderId="95" xfId="8733" applyFont="1" applyFill="1" applyBorder="1" applyAlignment="1" applyProtection="1">
      <alignment horizontal="left"/>
      <protection locked="0"/>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3" applyFont="1" applyFill="1" applyBorder="1" applyAlignment="1" applyProtection="1">
      <alignment horizontal="left"/>
      <protection locked="0"/>
    </xf>
    <xf numFmtId="0" fontId="172" fillId="48" borderId="71" xfId="8733" applyFont="1" applyFill="1" applyBorder="1" applyAlignment="1" applyProtection="1">
      <alignment horizontal="left"/>
      <protection locked="0"/>
    </xf>
    <xf numFmtId="0" fontId="166" fillId="45" borderId="69" xfId="8733" applyFont="1" applyFill="1" applyBorder="1" applyAlignment="1">
      <alignment horizontal="center"/>
    </xf>
    <xf numFmtId="0" fontId="166" fillId="45" borderId="70" xfId="8733" applyFont="1" applyFill="1" applyBorder="1" applyAlignment="1">
      <alignment horizontal="center"/>
    </xf>
    <xf numFmtId="0" fontId="102" fillId="45" borderId="67" xfId="8733" applyFont="1" applyFill="1" applyBorder="1" applyAlignment="1">
      <alignment horizontal="center"/>
    </xf>
    <xf numFmtId="0" fontId="102" fillId="45" borderId="68" xfId="8733" applyFont="1" applyFill="1" applyBorder="1" applyAlignment="1">
      <alignment horizontal="center"/>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73" fillId="45" borderId="97" xfId="8733" applyFont="1" applyFill="1" applyBorder="1" applyAlignment="1">
      <alignment horizontal="left"/>
    </xf>
    <xf numFmtId="0" fontId="173" fillId="45" borderId="2"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73" fillId="45" borderId="73" xfId="8733" applyFont="1" applyFill="1" applyBorder="1" applyAlignment="1">
      <alignment horizontal="left"/>
    </xf>
    <xf numFmtId="0" fontId="173" fillId="45" borderId="42" xfId="8733" applyFont="1" applyFill="1" applyBorder="1" applyAlignment="1">
      <alignment horizontal="left"/>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102" fillId="45" borderId="67" xfId="8733" applyFont="1" applyFill="1" applyBorder="1" applyAlignment="1">
      <alignment horizontal="center" wrapText="1"/>
    </xf>
    <xf numFmtId="0" fontId="102" fillId="45" borderId="68" xfId="8733" applyFont="1" applyFill="1" applyBorder="1" applyAlignment="1">
      <alignment horizontal="center" wrapText="1"/>
    </xf>
    <xf numFmtId="0" fontId="102" fillId="45" borderId="71" xfId="8733" applyFont="1" applyFill="1" applyBorder="1" applyAlignment="1">
      <alignment horizontal="center" wrapText="1"/>
    </xf>
    <xf numFmtId="0" fontId="166" fillId="45" borderId="98" xfId="8733" applyFont="1" applyFill="1" applyBorder="1" applyAlignment="1">
      <alignment horizontal="center"/>
    </xf>
    <xf numFmtId="0" fontId="166" fillId="45" borderId="13" xfId="8733" applyFont="1" applyFill="1" applyBorder="1" applyAlignment="1">
      <alignment horizontal="center"/>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0" fontId="172" fillId="48" borderId="72" xfId="8733" applyFont="1" applyFill="1" applyBorder="1" applyAlignment="1" applyProtection="1">
      <alignment horizontal="center"/>
      <protection locked="0"/>
    </xf>
    <xf numFmtId="0" fontId="166" fillId="45" borderId="89" xfId="8733" applyFont="1" applyFill="1" applyBorder="1" applyAlignment="1">
      <alignment horizontal="right"/>
    </xf>
    <xf numFmtId="0" fontId="166" fillId="45" borderId="43" xfId="8733" applyFont="1" applyFill="1" applyBorder="1" applyAlignment="1">
      <alignment horizontal="right"/>
    </xf>
    <xf numFmtId="168" fontId="166" fillId="45" borderId="43" xfId="8733" applyNumberFormat="1" applyFont="1" applyFill="1" applyBorder="1" applyAlignment="1">
      <alignment horizontal="left"/>
    </xf>
    <xf numFmtId="168" fontId="166" fillId="45" borderId="88" xfId="8733" applyNumberFormat="1"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102" fillId="45" borderId="67" xfId="8733" applyFont="1" applyFill="1" applyBorder="1" applyAlignment="1">
      <alignment horizontal="left" wrapText="1"/>
    </xf>
    <xf numFmtId="0" fontId="102" fillId="45" borderId="68" xfId="8733" applyFont="1" applyFill="1" applyBorder="1" applyAlignment="1">
      <alignment horizontal="left" wrapText="1"/>
    </xf>
    <xf numFmtId="0" fontId="102" fillId="45" borderId="72" xfId="8733" applyFont="1" applyFill="1" applyBorder="1" applyAlignment="1">
      <alignment horizontal="left" wrapText="1"/>
    </xf>
    <xf numFmtId="0" fontId="102" fillId="45" borderId="11" xfId="8733" applyFont="1" applyFill="1" applyBorder="1" applyAlignment="1">
      <alignment horizontal="left" wrapText="1"/>
    </xf>
    <xf numFmtId="0" fontId="169" fillId="48" borderId="68" xfId="8733" applyFont="1" applyFill="1" applyBorder="1" applyAlignment="1" applyProtection="1">
      <alignment horizontal="left" wrapText="1"/>
      <protection locked="0"/>
    </xf>
    <xf numFmtId="0" fontId="169" fillId="48" borderId="71" xfId="8733" applyFont="1" applyFill="1" applyBorder="1" applyAlignment="1" applyProtection="1">
      <alignment horizontal="left" wrapText="1"/>
      <protection locked="0"/>
    </xf>
    <xf numFmtId="0" fontId="169" fillId="48" borderId="11" xfId="8733" applyFont="1" applyFill="1" applyBorder="1" applyAlignment="1" applyProtection="1">
      <alignment horizontal="left" wrapText="1"/>
      <protection locked="0"/>
    </xf>
    <xf numFmtId="0" fontId="169" fillId="48" borderId="76" xfId="8733" applyFont="1" applyFill="1" applyBorder="1" applyAlignment="1" applyProtection="1">
      <alignment horizontal="left" wrapText="1"/>
      <protection locked="0"/>
    </xf>
    <xf numFmtId="0" fontId="173" fillId="45" borderId="11" xfId="8733" applyFont="1" applyFill="1" applyBorder="1" applyAlignment="1">
      <alignment horizontal="center" wrapText="1"/>
    </xf>
    <xf numFmtId="0" fontId="165" fillId="45" borderId="11" xfId="8733" applyFont="1" applyFill="1" applyBorder="1" applyAlignment="1">
      <alignment horizontal="center"/>
    </xf>
    <xf numFmtId="0" fontId="165" fillId="45" borderId="76" xfId="8733" applyFont="1" applyFill="1" applyBorder="1" applyAlignment="1">
      <alignment horizontal="center"/>
    </xf>
    <xf numFmtId="0" fontId="173" fillId="45" borderId="7" xfId="8733" applyFont="1" applyFill="1" applyBorder="1" applyAlignment="1">
      <alignment horizontal="left"/>
    </xf>
    <xf numFmtId="0" fontId="173" fillId="45" borderId="96"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69" fillId="48" borderId="3" xfId="8733" applyFont="1" applyFill="1" applyBorder="1" applyAlignment="1" applyProtection="1">
      <alignment horizontal="center"/>
      <protection locked="0"/>
    </xf>
    <xf numFmtId="0" fontId="169" fillId="48" borderId="4" xfId="8733" applyFont="1" applyFill="1" applyBorder="1" applyAlignment="1" applyProtection="1">
      <alignment horizontal="center"/>
      <protection locked="0"/>
    </xf>
    <xf numFmtId="0" fontId="169" fillId="48" borderId="81" xfId="8733" applyFont="1" applyFill="1" applyBorder="1" applyAlignment="1" applyProtection="1">
      <alignment horizontal="center"/>
      <protection locked="0"/>
    </xf>
    <xf numFmtId="0" fontId="102" fillId="45" borderId="71" xfId="8733" applyFont="1" applyFill="1" applyBorder="1" applyAlignment="1">
      <alignment horizontal="center"/>
    </xf>
    <xf numFmtId="0" fontId="179" fillId="45" borderId="11" xfId="8733" applyFont="1" applyFill="1" applyBorder="1" applyAlignment="1">
      <alignment horizontal="left"/>
    </xf>
    <xf numFmtId="0" fontId="179" fillId="45" borderId="76" xfId="8733" applyFont="1" applyFill="1" applyBorder="1" applyAlignment="1">
      <alignment horizontal="left"/>
    </xf>
    <xf numFmtId="0" fontId="176" fillId="45" borderId="72" xfId="8733" applyFont="1" applyFill="1" applyBorder="1" applyAlignment="1">
      <alignment horizontal="left"/>
    </xf>
    <xf numFmtId="0" fontId="176" fillId="45" borderId="11" xfId="8733" applyFont="1" applyFill="1" applyBorder="1" applyAlignment="1">
      <alignment horizontal="left"/>
    </xf>
    <xf numFmtId="0" fontId="176" fillId="45" borderId="69" xfId="8733" applyFont="1" applyFill="1" applyBorder="1" applyAlignment="1">
      <alignment horizontal="left"/>
    </xf>
    <xf numFmtId="0" fontId="176" fillId="45" borderId="70" xfId="8733" applyFont="1" applyFill="1" applyBorder="1" applyAlignment="1">
      <alignment horizontal="left"/>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102" fillId="45" borderId="67" xfId="8733" applyFont="1" applyFill="1" applyBorder="1" applyAlignment="1" applyProtection="1">
      <alignment horizontal="left" vertical="center" wrapText="1"/>
      <protection locked="0"/>
    </xf>
    <xf numFmtId="0" fontId="102" fillId="45" borderId="68" xfId="8733" applyFont="1" applyFill="1" applyBorder="1" applyAlignment="1" applyProtection="1">
      <alignment horizontal="left" vertical="center" wrapText="1"/>
      <protection locked="0"/>
    </xf>
    <xf numFmtId="0" fontId="102" fillId="45" borderId="72" xfId="8733" applyFont="1" applyFill="1" applyBorder="1" applyAlignment="1" applyProtection="1">
      <alignment horizontal="left" vertical="center" wrapText="1"/>
      <protection locked="0"/>
    </xf>
    <xf numFmtId="0" fontId="102" fillId="45" borderId="11" xfId="8733" applyFont="1" applyFill="1" applyBorder="1" applyAlignment="1" applyProtection="1">
      <alignment horizontal="left" vertical="center" wrapText="1"/>
      <protection locked="0"/>
    </xf>
    <xf numFmtId="0" fontId="169" fillId="48" borderId="68" xfId="8733" applyFont="1" applyFill="1" applyBorder="1" applyAlignment="1" applyProtection="1">
      <alignment horizontal="left" vertical="center" wrapText="1"/>
      <protection locked="0"/>
    </xf>
    <xf numFmtId="0" fontId="169" fillId="48" borderId="71" xfId="8733" applyFont="1" applyFill="1" applyBorder="1" applyAlignment="1" applyProtection="1">
      <alignment horizontal="left" vertical="center" wrapText="1"/>
      <protection locked="0"/>
    </xf>
    <xf numFmtId="0" fontId="169" fillId="48" borderId="11" xfId="8733" applyFont="1" applyFill="1" applyBorder="1" applyAlignment="1" applyProtection="1">
      <alignment horizontal="left" vertical="center" wrapText="1"/>
      <protection locked="0"/>
    </xf>
    <xf numFmtId="0" fontId="169" fillId="48" borderId="76" xfId="8733" applyFont="1" applyFill="1" applyBorder="1" applyAlignment="1" applyProtection="1">
      <alignment horizontal="left" vertical="center" wrapText="1"/>
      <protection locked="0"/>
    </xf>
    <xf numFmtId="0" fontId="172" fillId="48" borderId="72" xfId="8733" applyFont="1" applyFill="1" applyBorder="1" applyAlignment="1" applyProtection="1">
      <alignment horizontal="left" vertical="top" wrapText="1"/>
      <protection locked="0"/>
    </xf>
    <xf numFmtId="0" fontId="172" fillId="48" borderId="11" xfId="8733" applyFont="1" applyFill="1" applyBorder="1" applyAlignment="1" applyProtection="1">
      <alignment horizontal="left" vertical="top" wrapText="1"/>
      <protection locked="0"/>
    </xf>
    <xf numFmtId="0" fontId="172" fillId="48" borderId="69" xfId="8733" applyFont="1" applyFill="1" applyBorder="1" applyAlignment="1" applyProtection="1">
      <alignment horizontal="left" vertical="top" wrapText="1"/>
      <protection locked="0"/>
    </xf>
    <xf numFmtId="0" fontId="172" fillId="48" borderId="70" xfId="8733" applyFont="1" applyFill="1" applyBorder="1" applyAlignment="1" applyProtection="1">
      <alignment horizontal="left" vertical="top" wrapText="1"/>
      <protection locked="0"/>
    </xf>
    <xf numFmtId="0" fontId="169" fillId="48" borderId="11" xfId="8733" applyFont="1" applyFill="1" applyBorder="1" applyAlignment="1" applyProtection="1">
      <alignment horizontal="center" vertical="center" wrapText="1"/>
      <protection locked="0"/>
    </xf>
    <xf numFmtId="0" fontId="169" fillId="48" borderId="76" xfId="8733" applyFont="1" applyFill="1" applyBorder="1" applyAlignment="1" applyProtection="1">
      <alignment horizontal="center" vertical="center" wrapText="1"/>
      <protection locked="0"/>
    </xf>
    <xf numFmtId="0" fontId="169" fillId="48" borderId="70" xfId="8733" applyFont="1" applyFill="1" applyBorder="1" applyAlignment="1" applyProtection="1">
      <alignment horizontal="center" vertical="center" wrapText="1"/>
      <protection locked="0"/>
    </xf>
    <xf numFmtId="0" fontId="169" fillId="48" borderId="77" xfId="8733" applyFont="1" applyFill="1" applyBorder="1" applyAlignment="1" applyProtection="1">
      <alignment horizontal="center" vertical="center" wrapText="1"/>
      <protection locked="0"/>
    </xf>
    <xf numFmtId="0" fontId="102" fillId="45" borderId="71" xfId="8733" applyFont="1" applyFill="1" applyBorder="1" applyAlignment="1">
      <alignment horizontal="left" wrapText="1"/>
    </xf>
    <xf numFmtId="0" fontId="102" fillId="45" borderId="76" xfId="8733" applyFont="1" applyFill="1" applyBorder="1" applyAlignment="1">
      <alignment horizontal="left" wrapText="1"/>
    </xf>
    <xf numFmtId="0" fontId="102" fillId="45" borderId="65" xfId="8733" applyFont="1" applyFill="1" applyBorder="1" applyAlignment="1">
      <alignment horizontal="center"/>
    </xf>
    <xf numFmtId="0" fontId="102" fillId="45" borderId="29" xfId="8733" applyFont="1" applyFill="1" applyBorder="1" applyAlignment="1">
      <alignment horizontal="center"/>
    </xf>
    <xf numFmtId="0" fontId="102" fillId="45" borderId="31" xfId="8733" applyFont="1" applyFill="1" applyBorder="1" applyAlignment="1">
      <alignment horizontal="center"/>
    </xf>
    <xf numFmtId="0" fontId="165" fillId="48" borderId="90" xfId="8733" applyFont="1" applyFill="1" applyBorder="1" applyAlignment="1">
      <alignment horizontal="left"/>
    </xf>
    <xf numFmtId="0" fontId="165" fillId="48" borderId="4" xfId="8733" applyFont="1" applyFill="1" applyBorder="1" applyAlignment="1">
      <alignment horizontal="left"/>
    </xf>
    <xf numFmtId="0" fontId="165" fillId="48" borderId="5"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77" fillId="48" borderId="11" xfId="8733" applyFont="1" applyFill="1" applyBorder="1" applyAlignment="1" applyProtection="1">
      <alignment horizontal="left"/>
      <protection locked="0"/>
    </xf>
    <xf numFmtId="0" fontId="177" fillId="48" borderId="76" xfId="8733" applyFont="1" applyFill="1" applyBorder="1" applyAlignment="1" applyProtection="1">
      <alignment horizontal="left"/>
      <protection locked="0"/>
    </xf>
    <xf numFmtId="0" fontId="174" fillId="48" borderId="72" xfId="8733" applyFont="1" applyFill="1" applyBorder="1" applyAlignment="1" applyProtection="1">
      <alignment horizontal="left" vertical="top"/>
      <protection locked="0"/>
    </xf>
    <xf numFmtId="0" fontId="174" fillId="48" borderId="11" xfId="8733" applyFont="1" applyFill="1" applyBorder="1" applyAlignment="1" applyProtection="1">
      <alignment horizontal="left" vertical="top"/>
      <protection locked="0"/>
    </xf>
    <xf numFmtId="0" fontId="174" fillId="48" borderId="76" xfId="8733" applyFont="1" applyFill="1" applyBorder="1" applyAlignment="1" applyProtection="1">
      <alignment horizontal="left" vertical="top"/>
      <protection locked="0"/>
    </xf>
    <xf numFmtId="0" fontId="174" fillId="48" borderId="69" xfId="8733" applyFont="1" applyFill="1" applyBorder="1" applyAlignment="1" applyProtection="1">
      <alignment horizontal="left" vertical="top"/>
      <protection locked="0"/>
    </xf>
    <xf numFmtId="0" fontId="174" fillId="48" borderId="70" xfId="8733" applyFont="1" applyFill="1" applyBorder="1" applyAlignment="1" applyProtection="1">
      <alignment horizontal="left" vertical="top"/>
      <protection locked="0"/>
    </xf>
    <xf numFmtId="0" fontId="174" fillId="48" borderId="77" xfId="8733" applyFont="1" applyFill="1" applyBorder="1" applyAlignment="1" applyProtection="1">
      <alignment horizontal="left" vertical="top"/>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02" fillId="45" borderId="72" xfId="8733" applyFont="1" applyFill="1" applyBorder="1" applyAlignment="1">
      <alignment horizontal="center"/>
    </xf>
    <xf numFmtId="0" fontId="102" fillId="45" borderId="11" xfId="8733" applyFont="1" applyFill="1" applyBorder="1" applyAlignment="1">
      <alignment horizontal="center"/>
    </xf>
    <xf numFmtId="0" fontId="165" fillId="45" borderId="11" xfId="8733" applyFont="1" applyFill="1" applyBorder="1" applyAlignment="1">
      <alignment horizontal="center" wrapText="1"/>
    </xf>
    <xf numFmtId="0" fontId="165" fillId="45" borderId="76" xfId="8733" applyFont="1" applyFill="1" applyBorder="1" applyAlignment="1">
      <alignment horizontal="center" wrapText="1"/>
    </xf>
    <xf numFmtId="0" fontId="171" fillId="45" borderId="72" xfId="8733" applyFont="1" applyFill="1" applyBorder="1" applyAlignment="1">
      <alignment horizontal="center"/>
    </xf>
    <xf numFmtId="0" fontId="171" fillId="45" borderId="11" xfId="8733" applyFont="1" applyFill="1" applyBorder="1" applyAlignment="1">
      <alignment horizontal="center"/>
    </xf>
    <xf numFmtId="0" fontId="174" fillId="48" borderId="11" xfId="8733" applyFont="1" applyFill="1" applyBorder="1" applyAlignment="1" applyProtection="1">
      <alignment horizontal="center"/>
      <protection locked="0"/>
    </xf>
    <xf numFmtId="14" fontId="172" fillId="48" borderId="11" xfId="8733" applyNumberFormat="1" applyFont="1" applyFill="1" applyBorder="1" applyAlignment="1" applyProtection="1">
      <alignment horizontal="center"/>
      <protection locked="0"/>
    </xf>
    <xf numFmtId="14" fontId="174" fillId="48" borderId="11" xfId="8733" applyNumberFormat="1" applyFont="1" applyFill="1" applyBorder="1" applyAlignment="1" applyProtection="1">
      <alignment horizontal="center"/>
      <protection locked="0"/>
    </xf>
    <xf numFmtId="0" fontId="102" fillId="45" borderId="76" xfId="8733" applyFont="1" applyFill="1" applyBorder="1" applyAlignment="1">
      <alignment horizontal="center"/>
    </xf>
    <xf numFmtId="168" fontId="174" fillId="48" borderId="11" xfId="8734" applyNumberFormat="1" applyFont="1" applyFill="1" applyBorder="1" applyAlignment="1" applyProtection="1">
      <alignment horizontal="center"/>
      <protection locked="0"/>
    </xf>
    <xf numFmtId="168" fontId="174" fillId="48" borderId="76" xfId="8734" applyNumberFormat="1" applyFont="1" applyFill="1" applyBorder="1" applyAlignment="1" applyProtection="1">
      <alignment horizontal="center"/>
      <protection locked="0"/>
    </xf>
    <xf numFmtId="0" fontId="175" fillId="48" borderId="11" xfId="8733" applyFont="1" applyFill="1" applyBorder="1" applyAlignment="1" applyProtection="1">
      <alignment horizontal="left"/>
      <protection locked="0"/>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0" fontId="175" fillId="48" borderId="70" xfId="8733" applyFont="1" applyFill="1" applyBorder="1" applyAlignment="1" applyProtection="1">
      <alignment horizontal="left"/>
      <protection locked="0"/>
    </xf>
    <xf numFmtId="0" fontId="174" fillId="48" borderId="70" xfId="8733" applyFont="1" applyFill="1" applyBorder="1" applyAlignment="1" applyProtection="1">
      <alignment horizontal="center"/>
      <protection locked="0"/>
    </xf>
    <xf numFmtId="14" fontId="174" fillId="48" borderId="70" xfId="8733" applyNumberFormat="1" applyFont="1" applyFill="1" applyBorder="1" applyAlignment="1" applyProtection="1">
      <alignment horizontal="center"/>
      <protection locked="0"/>
    </xf>
    <xf numFmtId="168" fontId="174" fillId="48" borderId="70" xfId="8734" applyNumberFormat="1" applyFont="1" applyFill="1" applyBorder="1" applyAlignment="1" applyProtection="1">
      <alignment horizontal="center"/>
      <protection locked="0"/>
    </xf>
    <xf numFmtId="168" fontId="174" fillId="48" borderId="77" xfId="8734" applyNumberFormat="1" applyFont="1" applyFill="1" applyBorder="1" applyAlignment="1" applyProtection="1">
      <alignment horizontal="center"/>
      <protection locked="0"/>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66" fillId="45" borderId="71" xfId="8733" applyFont="1" applyFill="1" applyBorder="1" applyAlignment="1">
      <alignment horizontal="left"/>
    </xf>
    <xf numFmtId="14" fontId="172" fillId="48" borderId="76" xfId="8733" applyNumberFormat="1" applyFont="1" applyFill="1" applyBorder="1" applyAlignment="1" applyProtection="1">
      <alignment horizontal="center"/>
      <protection locked="0"/>
    </xf>
    <xf numFmtId="0" fontId="172" fillId="48" borderId="69" xfId="8733" applyFont="1" applyFill="1" applyBorder="1" applyAlignment="1" applyProtection="1">
      <alignment horizontal="center"/>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4" fontId="172" fillId="48" borderId="77" xfId="8733" applyNumberFormat="1" applyFont="1" applyFill="1" applyBorder="1" applyAlignment="1" applyProtection="1">
      <alignment horizontal="center"/>
      <protection locked="0"/>
    </xf>
    <xf numFmtId="0" fontId="172" fillId="45" borderId="72" xfId="8733" applyFont="1" applyFill="1" applyBorder="1" applyAlignment="1">
      <alignment horizontal="right"/>
    </xf>
    <xf numFmtId="0" fontId="172" fillId="45" borderId="11" xfId="8733" applyFont="1" applyFill="1" applyBorder="1" applyAlignment="1">
      <alignment horizontal="right"/>
    </xf>
    <xf numFmtId="168" fontId="174" fillId="44" borderId="11" xfId="700" applyNumberFormat="1" applyFont="1" applyFill="1" applyBorder="1" applyAlignment="1">
      <alignment horizontal="left"/>
    </xf>
    <xf numFmtId="0" fontId="102" fillId="45" borderId="65" xfId="8733" applyFont="1" applyFill="1" applyBorder="1" applyAlignment="1">
      <alignment horizontal="left" wrapText="1"/>
    </xf>
    <xf numFmtId="0" fontId="102" fillId="45" borderId="29" xfId="8733" applyFont="1" applyFill="1" applyBorder="1" applyAlignment="1">
      <alignment horizontal="left" wrapText="1"/>
    </xf>
    <xf numFmtId="0" fontId="102" fillId="45" borderId="31" xfId="8733" applyFont="1" applyFill="1" applyBorder="1" applyAlignment="1">
      <alignment horizontal="left" wrapText="1"/>
    </xf>
    <xf numFmtId="0" fontId="102" fillId="45" borderId="73" xfId="8733" applyFont="1" applyFill="1" applyBorder="1" applyAlignment="1">
      <alignment horizontal="left" wrapText="1"/>
    </xf>
    <xf numFmtId="0" fontId="102" fillId="45" borderId="42" xfId="8733" applyFont="1" applyFill="1" applyBorder="1" applyAlignment="1">
      <alignment horizontal="left" wrapText="1"/>
    </xf>
    <xf numFmtId="0" fontId="102" fillId="45" borderId="44" xfId="8733"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2" fillId="47" borderId="0" xfId="8733" applyFont="1" applyFill="1" applyAlignment="1">
      <alignment horizontal="center"/>
    </xf>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174" fillId="45" borderId="72" xfId="8733" applyFont="1" applyFill="1" applyBorder="1" applyAlignment="1">
      <alignment horizontal="right"/>
    </xf>
    <xf numFmtId="0" fontId="174" fillId="45" borderId="11" xfId="8733"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3" applyFont="1" applyFill="1" applyBorder="1" applyAlignment="1">
      <alignment horizontal="center"/>
    </xf>
    <xf numFmtId="0" fontId="172" fillId="48" borderId="6" xfId="8733" applyFont="1" applyFill="1" applyBorder="1" applyAlignment="1">
      <alignment horizontal="center"/>
    </xf>
    <xf numFmtId="0" fontId="172" fillId="48" borderId="82" xfId="8733" applyFont="1" applyFill="1" applyBorder="1" applyAlignment="1">
      <alignment horizontal="center"/>
    </xf>
    <xf numFmtId="0" fontId="174" fillId="48" borderId="11"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74" fillId="48" borderId="72" xfId="8733"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3" applyFont="1" applyFill="1" applyBorder="1" applyAlignment="1">
      <alignment horizontal="right"/>
    </xf>
    <xf numFmtId="0" fontId="174" fillId="45" borderId="68" xfId="8733"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3" applyFont="1" applyFill="1" applyBorder="1" applyAlignment="1">
      <alignment horizontal="left" wrapText="1"/>
    </xf>
    <xf numFmtId="0" fontId="171" fillId="48" borderId="0" xfId="8733" applyFont="1" applyFill="1" applyAlignment="1">
      <alignment horizontal="left" wrapText="1"/>
    </xf>
    <xf numFmtId="0" fontId="171" fillId="48" borderId="41" xfId="8733" applyFont="1" applyFill="1" applyBorder="1" applyAlignment="1">
      <alignment horizontal="left" wrapText="1"/>
    </xf>
    <xf numFmtId="0" fontId="171" fillId="48" borderId="73" xfId="8733" applyFont="1" applyFill="1" applyBorder="1" applyAlignment="1">
      <alignment horizontal="left" wrapText="1"/>
    </xf>
    <xf numFmtId="0" fontId="171" fillId="48" borderId="42" xfId="8733" applyFont="1" applyFill="1" applyBorder="1" applyAlignment="1">
      <alignment horizontal="left" wrapText="1"/>
    </xf>
    <xf numFmtId="0" fontId="171" fillId="48" borderId="44" xfId="8733" applyFont="1" applyFill="1" applyBorder="1" applyAlignment="1">
      <alignment horizontal="left" wrapText="1"/>
    </xf>
    <xf numFmtId="0" fontId="173" fillId="45" borderId="69" xfId="8733" applyFont="1" applyFill="1" applyBorder="1" applyAlignment="1">
      <alignment horizontal="right"/>
    </xf>
    <xf numFmtId="0" fontId="173" fillId="45" borderId="70" xfId="8733"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3"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center"/>
      <protection locked="0"/>
    </xf>
    <xf numFmtId="0" fontId="172" fillId="48" borderId="86" xfId="8733" applyFont="1" applyFill="1" applyBorder="1" applyAlignment="1" applyProtection="1">
      <alignment horizontal="center"/>
      <protection locked="0"/>
    </xf>
    <xf numFmtId="0" fontId="174" fillId="48" borderId="70" xfId="8733" applyFont="1" applyFill="1" applyBorder="1" applyAlignment="1" applyProtection="1">
      <alignment horizontal="left"/>
      <protection locked="0"/>
    </xf>
    <xf numFmtId="0" fontId="174" fillId="48" borderId="77" xfId="8733"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left"/>
      <protection locked="0"/>
    </xf>
    <xf numFmtId="0" fontId="172" fillId="48" borderId="86" xfId="8733" applyFont="1" applyFill="1" applyBorder="1" applyAlignment="1" applyProtection="1">
      <alignment horizontal="left"/>
      <protection locked="0"/>
    </xf>
    <xf numFmtId="0" fontId="172" fillId="48" borderId="85" xfId="8733" applyFont="1" applyFill="1" applyBorder="1" applyAlignment="1" applyProtection="1">
      <alignment horizontal="left"/>
      <protection locked="0"/>
    </xf>
    <xf numFmtId="0" fontId="102" fillId="48" borderId="80" xfId="8733" applyFont="1" applyFill="1" applyBorder="1" applyAlignment="1">
      <alignment horizontal="left"/>
    </xf>
    <xf numFmtId="0" fontId="102" fillId="48" borderId="79" xfId="8733"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3"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65" fillId="45" borderId="80" xfId="0" applyFont="1" applyFill="1" applyBorder="1" applyAlignment="1" applyProtection="1">
      <alignment horizontal="center" wrapText="1"/>
      <protection hidden="1"/>
    </xf>
    <xf numFmtId="0" fontId="165" fillId="45" borderId="79" xfId="0" applyFont="1" applyFill="1" applyBorder="1" applyAlignment="1" applyProtection="1">
      <alignment horizontal="center" wrapText="1"/>
      <protection hidden="1"/>
    </xf>
    <xf numFmtId="0" fontId="165" fillId="45" borderId="78" xfId="0" applyFont="1" applyFill="1" applyBorder="1" applyAlignment="1" applyProtection="1">
      <alignment horizontal="center" wrapText="1"/>
      <protection hidden="1"/>
    </xf>
    <xf numFmtId="0" fontId="165" fillId="45" borderId="13" xfId="0" applyFont="1" applyFill="1" applyBorder="1" applyAlignment="1" applyProtection="1">
      <alignment horizontal="left" wrapText="1"/>
      <protection hidden="1"/>
    </xf>
    <xf numFmtId="0" fontId="165" fillId="45" borderId="13" xfId="0" applyFont="1" applyFill="1" applyBorder="1" applyAlignment="1" applyProtection="1">
      <alignment horizontal="center" wrapText="1"/>
      <protection hidden="1"/>
    </xf>
    <xf numFmtId="0" fontId="171" fillId="45" borderId="11" xfId="8733"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0"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3" applyFont="1" applyFill="1" applyBorder="1" applyAlignment="1">
      <alignment horizontal="center"/>
    </xf>
    <xf numFmtId="0" fontId="167" fillId="47" borderId="29" xfId="8733" applyFont="1" applyFill="1" applyBorder="1" applyAlignment="1">
      <alignment horizontal="center"/>
    </xf>
    <xf numFmtId="0" fontId="16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66" fillId="47" borderId="66" xfId="8733" applyFont="1" applyFill="1" applyBorder="1" applyAlignment="1">
      <alignment horizontal="center"/>
    </xf>
    <xf numFmtId="0" fontId="166" fillId="47" borderId="0" xfId="8733" applyFont="1" applyFill="1" applyAlignment="1">
      <alignment horizontal="center"/>
    </xf>
    <xf numFmtId="0" fontId="166" fillId="47" borderId="41" xfId="8733" applyFont="1" applyFill="1" applyBorder="1" applyAlignment="1">
      <alignment horizontal="center"/>
    </xf>
    <xf numFmtId="0" fontId="102" fillId="47" borderId="66" xfId="8733" applyFont="1" applyFill="1" applyBorder="1" applyAlignment="1">
      <alignment horizontal="center"/>
    </xf>
    <xf numFmtId="0" fontId="102" fillId="47" borderId="41" xfId="8733" applyFont="1" applyFill="1" applyBorder="1" applyAlignment="1">
      <alignment horizontal="center"/>
    </xf>
    <xf numFmtId="0" fontId="102" fillId="47" borderId="0" xfId="8733"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4494"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2" fillId="44" borderId="0" xfId="8733" applyFont="1" applyFill="1" applyAlignment="1">
      <alignment horizontal="left"/>
    </xf>
    <xf numFmtId="0" fontId="2" fillId="48" borderId="80" xfId="8733"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65" fillId="44" borderId="0" xfId="8733" applyFont="1" applyFill="1" applyAlignment="1">
      <alignment horizontal="left" vertical="top"/>
    </xf>
    <xf numFmtId="0" fontId="10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66" fillId="47" borderId="0" xfId="8733" applyFont="1" applyFill="1" applyAlignment="1">
      <alignment horizontal="left" vertical="top" wrapText="1"/>
    </xf>
    <xf numFmtId="0" fontId="10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5" xfId="569" applyNumberFormat="1" applyFill="1" applyBorder="1" applyAlignment="1" applyProtection="1">
      <alignment horizontal="center"/>
      <protection locked="0"/>
    </xf>
    <xf numFmtId="168" fontId="17" fillId="5" borderId="11" xfId="569" applyNumberFormat="1" applyFill="1" applyBorder="1" applyAlignment="1" applyProtection="1">
      <alignment horizontal="center"/>
      <protection locked="0"/>
    </xf>
    <xf numFmtId="168" fontId="17" fillId="0" borderId="5" xfId="569" applyNumberFormat="1" applyBorder="1" applyAlignment="1">
      <alignment horizontal="center"/>
    </xf>
    <xf numFmtId="168" fontId="17" fillId="0" borderId="11" xfId="569" applyNumberFormat="1" applyBorder="1" applyAlignment="1">
      <alignment horizontal="center"/>
    </xf>
    <xf numFmtId="168" fontId="17" fillId="0" borderId="3" xfId="569" applyNumberFormat="1" applyBorder="1" applyAlignment="1">
      <alignment horizontal="center"/>
    </xf>
    <xf numFmtId="168" fontId="17" fillId="0" borderId="4" xfId="569" applyNumberFormat="1" applyBorder="1" applyAlignment="1">
      <alignment horizontal="center"/>
    </xf>
    <xf numFmtId="179" fontId="24" fillId="0" borderId="0" xfId="569" applyNumberFormat="1" applyFont="1" applyAlignment="1">
      <alignment horizontal="center" wrapText="1"/>
    </xf>
    <xf numFmtId="0" fontId="24" fillId="0" borderId="16" xfId="271" applyFont="1" applyBorder="1" applyAlignment="1">
      <alignment horizontal="center"/>
    </xf>
    <xf numFmtId="164" fontId="24" fillId="0" borderId="0" xfId="569" applyNumberFormat="1" applyFont="1" applyAlignment="1">
      <alignment horizontal="center"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53" fillId="0" borderId="0" xfId="569" applyFont="1" applyAlignment="1">
      <alignment horizontal="left"/>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9" fontId="17" fillId="0" borderId="5" xfId="569" applyNumberFormat="1" applyBorder="1" applyAlignment="1">
      <alignment horizontal="center"/>
    </xf>
    <xf numFmtId="9" fontId="17" fillId="0" borderId="11"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0" fontId="24" fillId="0" borderId="11" xfId="569" applyFont="1" applyBorder="1" applyAlignment="1">
      <alignment horizontal="center" wrapText="1"/>
    </xf>
    <xf numFmtId="168" fontId="17" fillId="0" borderId="7" xfId="569" applyNumberFormat="1" applyBorder="1" applyAlignment="1">
      <alignment horizontal="center"/>
    </xf>
    <xf numFmtId="168" fontId="17" fillId="0" borderId="15" xfId="569" applyNumberFormat="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0" borderId="11" xfId="569" applyNumberFormat="1" applyBorder="1" applyAlignment="1">
      <alignment horizontal="right"/>
    </xf>
    <xf numFmtId="0" fontId="24" fillId="0" borderId="6" xfId="569" applyFon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107" fillId="0" borderId="0" xfId="569" applyFont="1" applyAlignment="1">
      <alignment horizontal="left" wrapText="1"/>
    </xf>
    <xf numFmtId="0" fontId="24" fillId="0" borderId="11" xfId="569" applyFont="1" applyBorder="1" applyAlignment="1">
      <alignment horizontal="center"/>
    </xf>
    <xf numFmtId="165" fontId="17" fillId="0" borderId="11" xfId="569" applyNumberFormat="1" applyBorder="1" applyAlignment="1" applyProtection="1">
      <alignment horizontal="center"/>
      <protection locked="0"/>
    </xf>
    <xf numFmtId="168" fontId="17" fillId="0" borderId="11" xfId="569" applyNumberFormat="1" applyBorder="1"/>
    <xf numFmtId="168" fontId="17" fillId="0" borderId="3" xfId="569" applyNumberFormat="1" applyBorder="1"/>
    <xf numFmtId="168" fontId="17" fillId="0" borderId="4" xfId="569" applyNumberFormat="1" applyBorder="1"/>
    <xf numFmtId="168" fontId="17" fillId="0" borderId="5" xfId="569" applyNumberFormat="1" applyBorder="1"/>
    <xf numFmtId="168" fontId="17" fillId="0" borderId="11" xfId="569" applyNumberFormat="1" applyBorder="1" applyAlignment="1">
      <alignment wrapText="1"/>
    </xf>
    <xf numFmtId="9" fontId="17" fillId="0" borderId="15" xfId="569" applyNumberFormat="1" applyBorder="1" applyAlignment="1">
      <alignment horizontal="center"/>
    </xf>
    <xf numFmtId="0" fontId="17" fillId="0" borderId="11" xfId="569" applyBorder="1" applyAlignment="1">
      <alignment horizontal="center"/>
    </xf>
    <xf numFmtId="0" fontId="107" fillId="0" borderId="0" xfId="0" applyFont="1" applyAlignment="1">
      <alignment horizontal="left" vertical="top" wrapText="1"/>
    </xf>
    <xf numFmtId="0" fontId="24" fillId="0" borderId="0" xfId="4495" applyFont="1" applyAlignment="1">
      <alignment horizontal="left" wrapText="1"/>
    </xf>
    <xf numFmtId="0" fontId="17" fillId="0" borderId="0" xfId="4495" applyFont="1" applyAlignment="1">
      <alignment wrapText="1"/>
    </xf>
    <xf numFmtId="0" fontId="17" fillId="0" borderId="0" xfId="4495" applyFont="1" applyAlignment="1">
      <alignment horizontal="left"/>
    </xf>
    <xf numFmtId="0" fontId="17" fillId="5" borderId="6" xfId="4495" applyFont="1" applyFill="1" applyBorder="1" applyAlignment="1" applyProtection="1">
      <alignment horizontal="center"/>
      <protection locked="0"/>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0" fontId="17" fillId="45" borderId="11" xfId="4495" applyFont="1" applyFill="1" applyBorder="1" applyAlignment="1">
      <alignment horizontal="center"/>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22" fillId="0" borderId="3" xfId="4496" applyNumberFormat="1" applyFont="1" applyBorder="1" applyAlignment="1">
      <alignment horizontal="center" vertical="top" wrapText="1"/>
    </xf>
    <xf numFmtId="165" fontId="122" fillId="0" borderId="4" xfId="4496" applyNumberFormat="1" applyFont="1" applyBorder="1" applyAlignment="1">
      <alignment horizontal="center" vertical="top" wrapText="1"/>
    </xf>
    <xf numFmtId="165" fontId="12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168" fontId="17" fillId="0" borderId="0" xfId="1192" applyNumberFormat="1" applyAlignment="1">
      <alignment horizontal="right"/>
    </xf>
    <xf numFmtId="0" fontId="142" fillId="0" borderId="0" xfId="1192" applyFont="1" applyAlignment="1">
      <alignment horizontal="center"/>
    </xf>
    <xf numFmtId="168" fontId="17" fillId="43" borderId="6" xfId="543" applyNumberFormat="1" applyFill="1" applyBorder="1" applyAlignment="1" applyProtection="1">
      <alignment horizontal="center"/>
      <protection locked="0"/>
    </xf>
    <xf numFmtId="168" fontId="17" fillId="5" borderId="4" xfId="1192" applyNumberFormat="1" applyFill="1" applyBorder="1" applyAlignment="1" applyProtection="1">
      <alignment horizontal="center"/>
      <protection locked="0"/>
    </xf>
    <xf numFmtId="4" fontId="25" fillId="0" borderId="6" xfId="4495" applyNumberFormat="1" applyFont="1" applyBorder="1" applyAlignment="1">
      <alignment horizontal="center"/>
    </xf>
    <xf numFmtId="1" fontId="17" fillId="5" borderId="2" xfId="1192" applyNumberFormat="1" applyFill="1" applyBorder="1" applyAlignment="1" applyProtection="1">
      <alignment horizontal="center"/>
      <protection locked="0"/>
    </xf>
    <xf numFmtId="168" fontId="17" fillId="0" borderId="6" xfId="1192" applyNumberFormat="1" applyBorder="1" applyAlignment="1">
      <alignment horizontal="right"/>
    </xf>
    <xf numFmtId="168" fontId="17" fillId="0" borderId="4" xfId="1192" applyNumberFormat="1" applyBorder="1" applyAlignment="1">
      <alignment horizontal="right"/>
    </xf>
    <xf numFmtId="4" fontId="25" fillId="0" borderId="0" xfId="4495" applyNumberFormat="1" applyFont="1" applyAlignment="1">
      <alignment horizontal="center"/>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168" fontId="17" fillId="0" borderId="6" xfId="4496" applyNumberFormat="1" applyFont="1" applyBorder="1" applyAlignment="1">
      <alignment horizontal="center"/>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5" fillId="0" borderId="58" xfId="4495" applyFont="1" applyBorder="1" applyAlignment="1">
      <alignment horizontal="left" vertical="top" wrapText="1"/>
    </xf>
    <xf numFmtId="10" fontId="25" fillId="0" borderId="2" xfId="4495" applyNumberFormat="1" applyFont="1" applyBorder="1" applyAlignment="1">
      <alignment horizontal="center"/>
    </xf>
    <xf numFmtId="0" fontId="25" fillId="0" borderId="0" xfId="4495" applyFont="1" applyAlignment="1">
      <alignment horizontal="center"/>
    </xf>
    <xf numFmtId="9" fontId="25" fillId="5" borderId="6" xfId="4495" applyNumberFormat="1" applyFont="1" applyFill="1" applyBorder="1" applyAlignment="1">
      <alignment horizontal="left"/>
    </xf>
    <xf numFmtId="0" fontId="130" fillId="0" borderId="0" xfId="4495" applyFont="1" applyAlignment="1">
      <alignment horizontal="left" vertical="top" wrapText="1"/>
    </xf>
    <xf numFmtId="0" fontId="33" fillId="42" borderId="2" xfId="4495" applyFont="1" applyFill="1" applyBorder="1" applyAlignment="1">
      <alignment horizontal="center"/>
    </xf>
    <xf numFmtId="0" fontId="33" fillId="42" borderId="6" xfId="4495" applyFont="1" applyFill="1" applyBorder="1" applyAlignment="1">
      <alignment horizontal="center"/>
    </xf>
    <xf numFmtId="0" fontId="24" fillId="0" borderId="11" xfId="4495" applyFont="1" applyBorder="1" applyAlignment="1">
      <alignment horizontal="center"/>
    </xf>
    <xf numFmtId="0" fontId="120" fillId="5" borderId="55" xfId="4495" applyFill="1" applyBorder="1" applyAlignment="1" applyProtection="1">
      <alignment horizontal="center"/>
      <protection locked="0"/>
    </xf>
    <xf numFmtId="0" fontId="120" fillId="5" borderId="6"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17" fillId="5" borderId="6" xfId="4495" applyFont="1" applyFill="1" applyBorder="1" applyAlignment="1" applyProtection="1">
      <alignment horizontal="center" vertical="center" wrapText="1" shrinkToFit="1"/>
      <protection locked="0"/>
    </xf>
    <xf numFmtId="0" fontId="118" fillId="0" borderId="4" xfId="1192" applyFont="1" applyBorder="1" applyAlignment="1">
      <alignment horizontal="left"/>
    </xf>
    <xf numFmtId="0" fontId="142" fillId="0" borderId="6" xfId="1192" applyFont="1" applyBorder="1" applyAlignment="1">
      <alignment horizontal="center"/>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120" fillId="5" borderId="50" xfId="4495" applyFill="1" applyBorder="1" applyAlignment="1">
      <alignment horizontal="center"/>
    </xf>
    <xf numFmtId="0" fontId="120" fillId="5" borderId="51" xfId="4495" applyFill="1" applyBorder="1" applyAlignment="1">
      <alignment horizontal="center"/>
    </xf>
    <xf numFmtId="0" fontId="53" fillId="0" borderId="51" xfId="4495" applyFont="1" applyBorder="1" applyAlignment="1">
      <alignment horizontal="left" vertical="top" wrapText="1"/>
    </xf>
    <xf numFmtId="0" fontId="53" fillId="0" borderId="0" xfId="4495" applyFont="1" applyAlignment="1">
      <alignment horizontal="left" vertical="top" wrapText="1"/>
    </xf>
    <xf numFmtId="9" fontId="25" fillId="5" borderId="58" xfId="4495" applyNumberFormat="1" applyFont="1" applyFill="1" applyBorder="1" applyAlignment="1">
      <alignment horizontal="left"/>
    </xf>
    <xf numFmtId="0" fontId="120" fillId="0" borderId="0" xfId="4495" applyAlignment="1">
      <alignment horizontal="center"/>
    </xf>
    <xf numFmtId="0" fontId="25" fillId="5" borderId="6" xfId="4495" applyFont="1" applyFill="1" applyBorder="1" applyAlignment="1">
      <alignment horizontal="left"/>
    </xf>
    <xf numFmtId="0" fontId="120" fillId="5" borderId="62" xfId="4495" applyFill="1" applyBorder="1" applyAlignment="1">
      <alignment horizontal="center"/>
    </xf>
    <xf numFmtId="0" fontId="120" fillId="5" borderId="63" xfId="4495" applyFill="1" applyBorder="1" applyAlignment="1">
      <alignment horizontal="center"/>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24" fillId="0" borderId="0" xfId="4495" applyFont="1" applyAlignment="1">
      <alignment horizontal="right"/>
    </xf>
    <xf numFmtId="0" fontId="17" fillId="0" borderId="6" xfId="1192" applyBorder="1" applyAlignment="1">
      <alignment horizontal="right"/>
    </xf>
    <xf numFmtId="9" fontId="17" fillId="5" borderId="4" xfId="1192" applyNumberFormat="1" applyFill="1" applyBorder="1" applyAlignment="1" applyProtection="1">
      <alignment horizontal="left"/>
      <protection locked="0"/>
    </xf>
    <xf numFmtId="0" fontId="122" fillId="0" borderId="50" xfId="4496" applyFont="1" applyBorder="1" applyAlignment="1">
      <alignment horizontal="left" wrapText="1"/>
    </xf>
    <xf numFmtId="0" fontId="122" fillId="0" borderId="51" xfId="4496" applyFont="1" applyBorder="1" applyAlignment="1">
      <alignment horizontal="left" wrapText="1"/>
    </xf>
    <xf numFmtId="0" fontId="122" fillId="0" borderId="52" xfId="4496" applyFont="1" applyBorder="1" applyAlignment="1">
      <alignment horizontal="left" wrapText="1"/>
    </xf>
    <xf numFmtId="0" fontId="122" fillId="0" borderId="57" xfId="4496" applyFont="1" applyBorder="1" applyAlignment="1">
      <alignment horizontal="left" wrapText="1"/>
    </xf>
    <xf numFmtId="0" fontId="122" fillId="0" borderId="58" xfId="4496" applyFont="1" applyBorder="1" applyAlignment="1">
      <alignment horizontal="left" wrapText="1"/>
    </xf>
    <xf numFmtId="0" fontId="122" fillId="0" borderId="59" xfId="4496" applyFont="1" applyBorder="1" applyAlignment="1">
      <alignment horizontal="left" wrapText="1"/>
    </xf>
    <xf numFmtId="0" fontId="120" fillId="0" borderId="53" xfId="4495" applyBorder="1" applyAlignment="1">
      <alignment horizontal="center"/>
    </xf>
    <xf numFmtId="0" fontId="25" fillId="5" borderId="0" xfId="4495" applyFont="1" applyFill="1" applyAlignment="1">
      <alignment horizontal="left" vertical="top"/>
    </xf>
    <xf numFmtId="0" fontId="24" fillId="0" borderId="4" xfId="4495" applyFont="1" applyBorder="1" applyAlignment="1">
      <alignment horizontal="left"/>
    </xf>
    <xf numFmtId="0" fontId="24" fillId="0" borderId="5" xfId="4495" applyFont="1" applyBorder="1" applyAlignment="1">
      <alignment horizontal="left"/>
    </xf>
    <xf numFmtId="1" fontId="24" fillId="0" borderId="11" xfId="4495" applyNumberFormat="1" applyFont="1" applyBorder="1" applyAlignment="1">
      <alignment horizontal="center"/>
    </xf>
    <xf numFmtId="0" fontId="24" fillId="0" borderId="3" xfId="4495"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17" fillId="0" borderId="4" xfId="4495" applyFont="1" applyBorder="1" applyAlignment="1">
      <alignment horizontal="left"/>
    </xf>
    <xf numFmtId="0" fontId="17" fillId="0" borderId="5" xfId="4495" applyFont="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1" fontId="17" fillId="46" borderId="11" xfId="4495" applyNumberFormat="1" applyFont="1" applyFill="1" applyBorder="1" applyAlignment="1">
      <alignment horizontal="center"/>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164" fontId="64" fillId="0" borderId="1" xfId="4495" applyNumberFormat="1" applyFont="1" applyBorder="1" applyAlignment="1">
      <alignment horizontal="right" vertical="center"/>
    </xf>
    <xf numFmtId="164" fontId="64" fillId="0" borderId="2" xfId="4495" applyNumberFormat="1" applyFont="1" applyBorder="1" applyAlignment="1">
      <alignment horizontal="right" vertical="center"/>
    </xf>
    <xf numFmtId="164" fontId="64" fillId="0" borderId="7" xfId="4495" applyNumberFormat="1" applyFont="1" applyBorder="1" applyAlignment="1">
      <alignment horizontal="right" vertical="center"/>
    </xf>
    <xf numFmtId="164" fontId="64" fillId="0" borderId="9" xfId="4495" applyNumberFormat="1" applyFont="1" applyBorder="1" applyAlignment="1">
      <alignment horizontal="right" vertical="center"/>
    </xf>
    <xf numFmtId="164" fontId="64" fillId="0" borderId="6" xfId="4495" applyNumberFormat="1" applyFont="1" applyBorder="1" applyAlignment="1">
      <alignment horizontal="right" vertical="center"/>
    </xf>
    <xf numFmtId="164" fontId="64" fillId="0" borderId="10" xfId="4495" applyNumberFormat="1" applyFont="1" applyBorder="1" applyAlignment="1">
      <alignment horizontal="right" vertical="center"/>
    </xf>
    <xf numFmtId="180" fontId="64" fillId="0" borderId="1" xfId="4495" applyNumberFormat="1" applyFont="1" applyBorder="1" applyAlignment="1">
      <alignment horizontal="center" vertical="center"/>
    </xf>
    <xf numFmtId="180" fontId="64" fillId="0" borderId="2" xfId="4495" applyNumberFormat="1" applyFont="1" applyBorder="1" applyAlignment="1">
      <alignment horizontal="center" vertical="center"/>
    </xf>
    <xf numFmtId="180" fontId="64" fillId="0" borderId="7" xfId="4495" applyNumberFormat="1" applyFont="1" applyBorder="1" applyAlignment="1">
      <alignment horizontal="center" vertical="center"/>
    </xf>
    <xf numFmtId="180" fontId="64" fillId="0" borderId="9" xfId="4495" applyNumberFormat="1" applyFont="1" applyBorder="1" applyAlignment="1">
      <alignment horizontal="center" vertical="center"/>
    </xf>
    <xf numFmtId="180" fontId="64" fillId="0" borderId="6" xfId="4495" applyNumberFormat="1" applyFont="1" applyBorder="1" applyAlignment="1">
      <alignment horizontal="center" vertical="center"/>
    </xf>
    <xf numFmtId="180" fontId="64" fillId="0" borderId="10" xfId="4495" applyNumberFormat="1" applyFont="1" applyBorder="1" applyAlignment="1">
      <alignment horizontal="center" vertical="center"/>
    </xf>
    <xf numFmtId="1" fontId="24" fillId="0" borderId="4" xfId="4495" applyNumberFormat="1"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0" fontId="24" fillId="0" borderId="0" xfId="4495" applyFont="1" applyAlignment="1">
      <alignment horizontal="center" vertical="top"/>
    </xf>
    <xf numFmtId="0" fontId="120" fillId="5" borderId="53" xfId="4495" applyFill="1" applyBorder="1" applyAlignment="1">
      <alignment horizontal="center"/>
    </xf>
    <xf numFmtId="0" fontId="120" fillId="5" borderId="0" xfId="4495" applyFill="1" applyAlignment="1">
      <alignment horizontal="center"/>
    </xf>
    <xf numFmtId="0" fontId="120" fillId="5" borderId="55" xfId="4495" applyFill="1" applyBorder="1" applyAlignment="1">
      <alignment horizontal="center"/>
    </xf>
    <xf numFmtId="0" fontId="12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53" fillId="0" borderId="51" xfId="4495" applyFont="1" applyBorder="1" applyAlignment="1">
      <alignment horizontal="left" wrapText="1"/>
    </xf>
    <xf numFmtId="0" fontId="53" fillId="0" borderId="0" xfId="4495" applyFont="1" applyAlignment="1">
      <alignment horizontal="left" wrapText="1"/>
    </xf>
    <xf numFmtId="0" fontId="24" fillId="0" borderId="54" xfId="4495" applyFont="1" applyBorder="1" applyAlignment="1">
      <alignment horizontal="center" vertical="top"/>
    </xf>
    <xf numFmtId="0" fontId="130" fillId="0" borderId="0" xfId="4495" applyFont="1" applyAlignment="1">
      <alignment horizontal="left" vertical="center" wrapText="1"/>
    </xf>
    <xf numFmtId="0" fontId="24" fillId="0" borderId="0" xfId="4495" applyFont="1" applyAlignment="1">
      <alignment horizontal="left" vertical="top"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20" fillId="5" borderId="62" xfId="4495" applyFill="1" applyBorder="1" applyAlignment="1" applyProtection="1">
      <alignment horizontal="center"/>
      <protection locked="0"/>
    </xf>
    <xf numFmtId="0" fontId="120" fillId="5" borderId="63" xfId="4495" applyFill="1" applyBorder="1" applyAlignment="1" applyProtection="1">
      <alignment horizontal="center"/>
      <protection locked="0"/>
    </xf>
    <xf numFmtId="0" fontId="17" fillId="0" borderId="59" xfId="4495" applyFont="1" applyBorder="1" applyAlignment="1">
      <alignment horizontal="left" vertical="top" wrapText="1"/>
    </xf>
    <xf numFmtId="0" fontId="17" fillId="0" borderId="4" xfId="4496" applyFont="1" applyBorder="1" applyAlignment="1">
      <alignment horizontal="center"/>
    </xf>
    <xf numFmtId="0" fontId="17" fillId="0" borderId="5" xfId="4496" applyFont="1" applyBorder="1" applyAlignment="1">
      <alignment horizontal="center"/>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24" fillId="0" borderId="0" xfId="4495" applyFont="1" applyAlignment="1">
      <alignment horizontal="left" vertical="top"/>
    </xf>
    <xf numFmtId="0" fontId="120" fillId="0" borderId="0" xfId="4495" applyAlignment="1" applyProtection="1">
      <alignment horizontal="center"/>
      <protection locked="0"/>
    </xf>
    <xf numFmtId="9" fontId="17" fillId="0" borderId="4" xfId="543" applyNumberFormat="1" applyBorder="1" applyAlignment="1">
      <alignment horizontal="center"/>
    </xf>
    <xf numFmtId="168" fontId="17" fillId="0" borderId="6" xfId="4495" applyNumberFormat="1" applyFont="1" applyBorder="1" applyAlignment="1">
      <alignment horizontal="right"/>
    </xf>
    <xf numFmtId="168" fontId="118" fillId="0" borderId="6" xfId="4495" applyNumberFormat="1" applyFont="1" applyBorder="1" applyAlignment="1">
      <alignment horizontal="right"/>
    </xf>
    <xf numFmtId="168" fontId="17" fillId="43" borderId="6" xfId="4495" applyNumberFormat="1" applyFont="1" applyFill="1" applyBorder="1" applyAlignment="1" applyProtection="1">
      <alignment horizontal="right"/>
      <protection locked="0"/>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0" fontId="17" fillId="5" borderId="6" xfId="1192" applyFill="1" applyBorder="1" applyAlignment="1" applyProtection="1">
      <alignment horizontal="left"/>
      <protection locked="0"/>
    </xf>
    <xf numFmtId="165" fontId="17" fillId="0" borderId="0" xfId="1192" applyNumberFormat="1" applyAlignment="1">
      <alignment horizontal="right"/>
    </xf>
    <xf numFmtId="2" fontId="17" fillId="0" borderId="0" xfId="1192" applyNumberFormat="1" applyAlignment="1">
      <alignment horizontal="right"/>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25"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left"/>
      <protection locked="0"/>
    </xf>
    <xf numFmtId="0" fontId="53" fillId="5" borderId="6" xfId="4495" applyFont="1" applyFill="1" applyBorder="1" applyAlignment="1" applyProtection="1">
      <alignment horizontal="left"/>
      <protection locked="0"/>
    </xf>
    <xf numFmtId="0" fontId="17" fillId="44" borderId="6" xfId="4495" applyFont="1" applyFill="1" applyBorder="1" applyAlignment="1">
      <alignment horizontal="left"/>
    </xf>
    <xf numFmtId="0" fontId="17" fillId="0" borderId="0" xfId="1192" applyAlignment="1">
      <alignment horizontal="right"/>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4" xfId="1192" applyNumberFormat="1" applyFill="1" applyBorder="1" applyAlignment="1" applyProtection="1">
      <alignment horizontal="center"/>
      <protection locked="0"/>
    </xf>
    <xf numFmtId="0" fontId="17" fillId="0" borderId="6" xfId="1192" applyBorder="1" applyAlignment="1">
      <alignment horizontal="left"/>
    </xf>
    <xf numFmtId="1" fontId="122" fillId="0" borderId="55" xfId="4496" applyNumberFormat="1" applyFont="1" applyBorder="1" applyAlignment="1">
      <alignment horizontal="center" vertical="top" wrapText="1"/>
    </xf>
    <xf numFmtId="1" fontId="122" fillId="0" borderId="6" xfId="4496" applyNumberFormat="1" applyFont="1" applyBorder="1" applyAlignment="1">
      <alignment horizontal="center" vertical="top" wrapText="1"/>
    </xf>
    <xf numFmtId="165" fontId="122" fillId="0" borderId="55" xfId="4496" applyNumberFormat="1" applyFont="1" applyBorder="1" applyAlignment="1">
      <alignment horizontal="center" vertical="top" wrapText="1"/>
    </xf>
    <xf numFmtId="165" fontId="122" fillId="0" borderId="6" xfId="4496" applyNumberFormat="1" applyFont="1" applyBorder="1" applyAlignment="1">
      <alignment horizontal="center" vertical="top" wrapText="1"/>
    </xf>
    <xf numFmtId="168" fontId="122" fillId="43" borderId="55" xfId="4496" applyNumberFormat="1" applyFont="1" applyFill="1" applyBorder="1" applyAlignment="1" applyProtection="1">
      <alignment horizontal="center" vertical="top" wrapText="1"/>
      <protection locked="0"/>
    </xf>
    <xf numFmtId="168" fontId="122" fillId="43" borderId="6" xfId="4496" applyNumberFormat="1" applyFont="1" applyFill="1" applyBorder="1" applyAlignment="1" applyProtection="1">
      <alignment horizontal="center" vertical="top" wrapText="1"/>
      <protection locked="0"/>
    </xf>
    <xf numFmtId="0" fontId="122" fillId="0" borderId="50" xfId="4496" applyFont="1" applyBorder="1" applyAlignment="1">
      <alignment horizontal="left" vertical="top" wrapText="1"/>
    </xf>
    <xf numFmtId="0" fontId="122" fillId="0" borderId="51" xfId="4496" applyFont="1" applyBorder="1" applyAlignment="1">
      <alignment horizontal="left" vertical="top" wrapText="1"/>
    </xf>
    <xf numFmtId="0" fontId="122" fillId="0" borderId="52" xfId="4496" applyFont="1" applyBorder="1" applyAlignment="1">
      <alignment horizontal="left" vertical="top" wrapText="1"/>
    </xf>
    <xf numFmtId="0" fontId="122" fillId="0" borderId="53" xfId="4496" applyFont="1" applyBorder="1" applyAlignment="1">
      <alignment horizontal="left" vertical="top" wrapText="1"/>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168" fontId="122" fillId="0" borderId="55" xfId="4496" applyNumberFormat="1" applyFont="1" applyBorder="1" applyAlignment="1">
      <alignment horizontal="center" vertical="top"/>
    </xf>
    <xf numFmtId="168" fontId="122" fillId="0" borderId="6" xfId="4496" applyNumberFormat="1" applyFont="1" applyBorder="1" applyAlignment="1">
      <alignment horizontal="center" vertical="top"/>
    </xf>
    <xf numFmtId="0" fontId="122" fillId="5" borderId="6" xfId="4496" applyFont="1" applyFill="1" applyBorder="1" applyAlignment="1" applyProtection="1">
      <alignment horizontal="center"/>
      <protection locked="0"/>
    </xf>
    <xf numFmtId="10" fontId="122" fillId="0" borderId="3" xfId="4496" applyNumberFormat="1" applyFont="1" applyBorder="1" applyAlignment="1">
      <alignment horizontal="center" vertical="top" wrapText="1"/>
    </xf>
    <xf numFmtId="10" fontId="122" fillId="0" borderId="4" xfId="4496" applyNumberFormat="1" applyFont="1" applyBorder="1" applyAlignment="1">
      <alignment horizontal="center" vertical="top" wrapText="1"/>
    </xf>
    <xf numFmtId="10" fontId="122" fillId="0" borderId="5" xfId="4496" applyNumberFormat="1" applyFont="1" applyBorder="1" applyAlignment="1">
      <alignment horizontal="center" vertical="top" wrapText="1"/>
    </xf>
    <xf numFmtId="0" fontId="122" fillId="0" borderId="55" xfId="4496" applyFont="1" applyBorder="1" applyAlignment="1">
      <alignment horizontal="center" vertical="top" wrapText="1"/>
    </xf>
    <xf numFmtId="0" fontId="12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22" fillId="43" borderId="55" xfId="4496" applyFont="1" applyFill="1" applyBorder="1" applyAlignment="1" applyProtection="1">
      <alignment horizontal="left" vertical="top" wrapText="1"/>
      <protection locked="0"/>
    </xf>
    <xf numFmtId="0" fontId="122" fillId="43" borderId="6" xfId="4496" applyFont="1" applyFill="1" applyBorder="1" applyAlignment="1" applyProtection="1">
      <alignment horizontal="left" vertical="top" wrapText="1"/>
      <protection locked="0"/>
    </xf>
    <xf numFmtId="0" fontId="122" fillId="43" borderId="56" xfId="4496" applyFont="1" applyFill="1" applyBorder="1" applyAlignment="1" applyProtection="1">
      <alignment horizontal="left" vertical="top" wrapText="1"/>
      <protection locked="0"/>
    </xf>
    <xf numFmtId="165" fontId="122" fillId="0" borderId="60" xfId="4496" applyNumberFormat="1" applyFont="1" applyBorder="1" applyAlignment="1">
      <alignment horizontal="center" vertical="top" wrapText="1"/>
    </xf>
    <xf numFmtId="0" fontId="122" fillId="5" borderId="60" xfId="4496" applyFont="1" applyFill="1" applyBorder="1" applyAlignment="1" applyProtection="1">
      <alignment horizontal="center"/>
      <protection locked="0"/>
    </xf>
    <xf numFmtId="0" fontId="122" fillId="5" borderId="4" xfId="4496" applyFont="1" applyFill="1" applyBorder="1" applyAlignment="1" applyProtection="1">
      <alignment horizontal="center"/>
      <protection locked="0"/>
    </xf>
    <xf numFmtId="0" fontId="122" fillId="0" borderId="57" xfId="4496" applyFont="1" applyBorder="1" applyAlignment="1">
      <alignment horizontal="left" vertical="top" wrapText="1"/>
    </xf>
    <xf numFmtId="0" fontId="122" fillId="0" borderId="58" xfId="4496" applyFont="1" applyBorder="1" applyAlignment="1">
      <alignment horizontal="left" vertical="top" wrapText="1"/>
    </xf>
    <xf numFmtId="0" fontId="122" fillId="0" borderId="59" xfId="4496" applyFont="1" applyBorder="1" applyAlignment="1">
      <alignment horizontal="left" vertical="top" wrapText="1"/>
    </xf>
    <xf numFmtId="0" fontId="122" fillId="5" borderId="55" xfId="4496" applyFont="1" applyFill="1" applyBorder="1" applyAlignment="1" applyProtection="1">
      <alignment horizontal="center"/>
      <protection locked="0"/>
    </xf>
    <xf numFmtId="0" fontId="122" fillId="0" borderId="47" xfId="4496" applyFont="1" applyBorder="1"/>
    <xf numFmtId="0" fontId="122" fillId="0" borderId="48" xfId="4496" applyFont="1" applyBorder="1"/>
    <xf numFmtId="0" fontId="122"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98" fillId="0" borderId="3" xfId="4496" applyFont="1" applyBorder="1" applyAlignment="1">
      <alignment horizontal="left" indent="2"/>
    </xf>
    <xf numFmtId="0" fontId="98" fillId="0" borderId="4" xfId="4496" applyFont="1" applyBorder="1" applyAlignment="1">
      <alignment horizontal="left" indent="2"/>
    </xf>
    <xf numFmtId="0" fontId="98"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8" fillId="0" borderId="0" xfId="4496" applyFont="1" applyAlignment="1">
      <alignment wrapText="1"/>
    </xf>
    <xf numFmtId="49" fontId="98" fillId="45" borderId="15" xfId="4496" applyNumberFormat="1" applyFont="1" applyFill="1" applyBorder="1" applyAlignment="1">
      <alignment horizontal="center" vertical="center" wrapText="1"/>
    </xf>
    <xf numFmtId="49" fontId="98"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8" fillId="0" borderId="0" xfId="4496" applyFont="1" applyAlignment="1">
      <alignment horizontal="left" wrapText="1"/>
    </xf>
    <xf numFmtId="0" fontId="98" fillId="0" borderId="0" xfId="4496" applyFont="1" applyAlignment="1">
      <alignment horizontal="center" vertical="center" wrapText="1"/>
    </xf>
    <xf numFmtId="0" fontId="98" fillId="43" borderId="0" xfId="4496" applyFont="1" applyFill="1" applyAlignment="1" applyProtection="1">
      <alignment horizontal="left" vertical="top" wrapText="1"/>
      <protection locked="0"/>
    </xf>
    <xf numFmtId="0" fontId="98" fillId="43" borderId="6" xfId="4496" applyFont="1" applyFill="1" applyBorder="1" applyAlignment="1" applyProtection="1">
      <alignment horizontal="left" vertical="top" wrapText="1"/>
      <protection locked="0"/>
    </xf>
    <xf numFmtId="168" fontId="98" fillId="0" borderId="13" xfId="4499" applyNumberFormat="1" applyFont="1" applyFill="1" applyBorder="1" applyAlignment="1" applyProtection="1">
      <alignment horizontal="left" vertical="center" indent="1"/>
    </xf>
    <xf numFmtId="168" fontId="98" fillId="0" borderId="11" xfId="4499" applyNumberFormat="1" applyFont="1" applyFill="1" applyBorder="1" applyAlignment="1" applyProtection="1">
      <alignment horizontal="left" vertical="center" indent="1"/>
    </xf>
    <xf numFmtId="0" fontId="98" fillId="0" borderId="3" xfId="4496" applyFont="1" applyBorder="1" applyAlignment="1">
      <alignment horizontal="left" indent="1"/>
    </xf>
    <xf numFmtId="0" fontId="98" fillId="0" borderId="4" xfId="4496" applyFont="1" applyBorder="1" applyAlignment="1">
      <alignment horizontal="left" indent="1"/>
    </xf>
    <xf numFmtId="0" fontId="98" fillId="0" borderId="5" xfId="4496" applyFont="1" applyBorder="1" applyAlignment="1">
      <alignment horizontal="left" indent="1"/>
    </xf>
    <xf numFmtId="0" fontId="98" fillId="0" borderId="67" xfId="4496" applyFont="1" applyBorder="1" applyAlignment="1">
      <alignment horizontal="right"/>
    </xf>
    <xf numFmtId="0" fontId="98" fillId="0" borderId="68" xfId="4496" applyFont="1" applyBorder="1" applyAlignment="1">
      <alignment horizontal="right"/>
    </xf>
    <xf numFmtId="0" fontId="98" fillId="0" borderId="0" xfId="4496" applyFont="1" applyAlignment="1">
      <alignment horizontal="left" wrapText="1" indent="1"/>
    </xf>
    <xf numFmtId="49" fontId="136" fillId="3" borderId="0" xfId="1192" applyNumberFormat="1" applyFont="1" applyFill="1" applyAlignment="1">
      <alignment horizontal="center" vertical="center"/>
    </xf>
    <xf numFmtId="0" fontId="98" fillId="0" borderId="11" xfId="4496" applyFont="1" applyBorder="1" applyAlignment="1">
      <alignment horizontal="left" indent="1"/>
    </xf>
    <xf numFmtId="0" fontId="98"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0" fontId="137" fillId="0" borderId="68" xfId="4496" applyFont="1" applyBorder="1" applyAlignment="1">
      <alignment horizontal="left" indent="1"/>
    </xf>
    <xf numFmtId="168" fontId="98" fillId="0" borderId="70" xfId="4499" applyNumberFormat="1" applyFont="1" applyFill="1" applyBorder="1" applyAlignment="1" applyProtection="1">
      <alignment horizontal="left" vertical="center" indent="1"/>
    </xf>
    <xf numFmtId="0" fontId="98" fillId="0" borderId="72" xfId="4496" applyFont="1" applyBorder="1" applyAlignment="1">
      <alignment horizontal="right"/>
    </xf>
    <xf numFmtId="0" fontId="98" fillId="0" borderId="11" xfId="4496" applyFont="1" applyBorder="1" applyAlignment="1">
      <alignment horizontal="right"/>
    </xf>
    <xf numFmtId="0" fontId="98" fillId="0" borderId="69" xfId="4496" applyFont="1" applyBorder="1" applyAlignment="1">
      <alignment horizontal="right"/>
    </xf>
    <xf numFmtId="0" fontId="98" fillId="0" borderId="70" xfId="4496" applyFont="1" applyBorder="1" applyAlignment="1">
      <alignment horizontal="right"/>
    </xf>
    <xf numFmtId="0" fontId="98" fillId="0" borderId="11" xfId="4496" applyFont="1" applyBorder="1"/>
    <xf numFmtId="0" fontId="98" fillId="0" borderId="76" xfId="4496" applyFont="1" applyBorder="1"/>
    <xf numFmtId="0" fontId="98" fillId="0" borderId="70" xfId="4496" applyFont="1" applyBorder="1"/>
    <xf numFmtId="0" fontId="98" fillId="0" borderId="77" xfId="4496" applyFont="1" applyBorder="1"/>
    <xf numFmtId="0" fontId="98" fillId="0" borderId="68" xfId="4496" applyFont="1" applyBorder="1"/>
    <xf numFmtId="0" fontId="98" fillId="0" borderId="71" xfId="4496" applyFont="1" applyBorder="1"/>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3" fontId="26" fillId="0" borderId="0" xfId="0" applyNumberFormat="1" applyFont="1" applyAlignment="1">
      <alignment horizontal="left" vertical="top" wrapText="1"/>
    </xf>
    <xf numFmtId="0" fontId="17" fillId="43" borderId="0" xfId="0" applyFont="1" applyFill="1" applyAlignment="1">
      <alignment horizontal="left"/>
    </xf>
  </cellXfs>
  <cellStyles count="17174">
    <cellStyle name="20% - Accent1" xfId="1" builtinId="30" customBuiltin="1"/>
    <cellStyle name="20% - Accent1 10" xfId="4504" xr:uid="{00000000-0005-0000-0000-000001000000}"/>
    <cellStyle name="20% - Accent1 10 2" xfId="12954" xr:uid="{03F89780-30E0-4505-8990-A0B47DAC9D1A}"/>
    <cellStyle name="20% - Accent1 11" xfId="8736" xr:uid="{86D12644-3D2E-4303-9B39-75C5F6DD904C}"/>
    <cellStyle name="20% - Accent1 2" xfId="2" xr:uid="{00000000-0005-0000-0000-000002000000}"/>
    <cellStyle name="20% - Accent1 2 10" xfId="8737" xr:uid="{71F8DBFF-20D0-49C1-9977-EA95CA8E5857}"/>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5516" xr:uid="{39DC9E7A-0CAE-4837-9FEB-B952CC0D44B7}"/>
    <cellStyle name="20% - Accent1 2 2 2 2 2 3" xfId="11298" xr:uid="{B78F9680-941E-4FB4-AD1A-C06018894BC4}"/>
    <cellStyle name="20% - Accent1 2 2 2 2 3" xfId="4921" xr:uid="{00000000-0005-0000-0000-000008000000}"/>
    <cellStyle name="20% - Accent1 2 2 2 2 3 2" xfId="13371" xr:uid="{ADE91B41-0BA9-482C-83E8-05726E2CDD60}"/>
    <cellStyle name="20% - Accent1 2 2 2 2 4" xfId="9153" xr:uid="{45FBC9B2-9438-4B8C-AD78-E07BB36B0E11}"/>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5929" xr:uid="{7DAA7AC8-EB5C-4ACB-9F19-A963CEF82DCD}"/>
    <cellStyle name="20% - Accent1 2 2 2 3 2 3" xfId="11711" xr:uid="{B4F25392-26F3-444F-A58D-1EA36EA60495}"/>
    <cellStyle name="20% - Accent1 2 2 2 3 3" xfId="5334" xr:uid="{00000000-0005-0000-0000-00000C000000}"/>
    <cellStyle name="20% - Accent1 2 2 2 3 3 2" xfId="13784" xr:uid="{6BB1D90E-476C-4880-8320-4A5350FBE4FB}"/>
    <cellStyle name="20% - Accent1 2 2 2 3 4" xfId="9566" xr:uid="{B8B8EACA-B9EF-4E5F-BBD3-A2D57D41DC7E}"/>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6342" xr:uid="{0A8DA5B5-6DF2-4AD7-9D19-4C1202981973}"/>
    <cellStyle name="20% - Accent1 2 2 2 4 2 3" xfId="12124" xr:uid="{35FA52A9-E962-45F3-8064-C3C24FCA0DEF}"/>
    <cellStyle name="20% - Accent1 2 2 2 4 3" xfId="5747" xr:uid="{00000000-0005-0000-0000-000010000000}"/>
    <cellStyle name="20% - Accent1 2 2 2 4 3 2" xfId="14197" xr:uid="{5E888FA5-EFE8-41DD-AFB2-8022EF1317D2}"/>
    <cellStyle name="20% - Accent1 2 2 2 4 4" xfId="9979" xr:uid="{A6D8F25A-285B-4819-A664-70F43C7C3338}"/>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6755" xr:uid="{2EC6C169-690E-483E-A3D9-8DBEA33F20FE}"/>
    <cellStyle name="20% - Accent1 2 2 2 5 2 3" xfId="12537" xr:uid="{8D76FD4F-DA0F-41EA-A211-0F36BAF38699}"/>
    <cellStyle name="20% - Accent1 2 2 2 5 3" xfId="6160" xr:uid="{00000000-0005-0000-0000-000014000000}"/>
    <cellStyle name="20% - Accent1 2 2 2 5 3 2" xfId="14610" xr:uid="{A05872FB-7B54-4BB4-942A-0C25F8BE8452}"/>
    <cellStyle name="20% - Accent1 2 2 2 5 4" xfId="10392" xr:uid="{C5242C31-0BAD-4AE2-922F-1995FF5479BC}"/>
    <cellStyle name="20% - Accent1 2 2 2 6" xfId="2267" xr:uid="{00000000-0005-0000-0000-000015000000}"/>
    <cellStyle name="20% - Accent1 2 2 2 6 2" xfId="6573" xr:uid="{00000000-0005-0000-0000-000016000000}"/>
    <cellStyle name="20% - Accent1 2 2 2 6 2 2" xfId="15023" xr:uid="{F9D75EE9-4F76-402B-A797-638AB8A9797D}"/>
    <cellStyle name="20% - Accent1 2 2 2 6 3" xfId="10805" xr:uid="{BE977C1C-DDF8-4113-B9BC-C569E7B6BF4F}"/>
    <cellStyle name="20% - Accent1 2 2 2 7" xfId="4507" xr:uid="{00000000-0005-0000-0000-000017000000}"/>
    <cellStyle name="20% - Accent1 2 2 2 7 2" xfId="12957" xr:uid="{ACE5B3D9-C94E-4645-AAA2-954062B9237C}"/>
    <cellStyle name="20% - Accent1 2 2 2 8" xfId="8739" xr:uid="{27DD595E-AE19-4AC4-AE44-10780B98FDBB}"/>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5515" xr:uid="{2567B95C-DABF-4FFE-9331-5D0738AF5305}"/>
    <cellStyle name="20% - Accent1 2 2 3 2 3" xfId="11297" xr:uid="{4EB0082C-4667-4823-8CD6-6D88E75A5C99}"/>
    <cellStyle name="20% - Accent1 2 2 3 3" xfId="4920" xr:uid="{00000000-0005-0000-0000-00001B000000}"/>
    <cellStyle name="20% - Accent1 2 2 3 3 2" xfId="13370" xr:uid="{34CF8FD1-A842-47BD-9AF2-0C603C5D5597}"/>
    <cellStyle name="20% - Accent1 2 2 3 4" xfId="9152" xr:uid="{A6187F51-5ECB-4628-8DE5-AA07A4E2420D}"/>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5928" xr:uid="{D2092EC9-65C4-41F4-8074-A31E123BEF0B}"/>
    <cellStyle name="20% - Accent1 2 2 4 2 3" xfId="11710" xr:uid="{FCFB3DEC-0109-4963-862B-6CEEC4D0584A}"/>
    <cellStyle name="20% - Accent1 2 2 4 3" xfId="5333" xr:uid="{00000000-0005-0000-0000-00001F000000}"/>
    <cellStyle name="20% - Accent1 2 2 4 3 2" xfId="13783" xr:uid="{65DCF002-F013-4168-989B-0E4FB6D854E8}"/>
    <cellStyle name="20% - Accent1 2 2 4 4" xfId="9565" xr:uid="{C4991ADA-9209-47C2-BE22-232A0DEEE05B}"/>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6341" xr:uid="{E3F6B752-F88A-4E3F-9982-6C1C9D9DD9B8}"/>
    <cellStyle name="20% - Accent1 2 2 5 2 3" xfId="12123" xr:uid="{C72D6CB3-C4A8-4A98-A99E-49B5C99393F5}"/>
    <cellStyle name="20% - Accent1 2 2 5 3" xfId="5746" xr:uid="{00000000-0005-0000-0000-000023000000}"/>
    <cellStyle name="20% - Accent1 2 2 5 3 2" xfId="14196" xr:uid="{E693EF0D-A4E1-4A9D-83D7-812B5A636501}"/>
    <cellStyle name="20% - Accent1 2 2 5 4" xfId="9978" xr:uid="{036151BA-1D72-4A8C-B7CE-CA16EDD78D30}"/>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6754" xr:uid="{EB8BDA4E-CAC0-4D2B-A74B-87CC8131D298}"/>
    <cellStyle name="20% - Accent1 2 2 6 2 3" xfId="12536" xr:uid="{D885AACF-399F-43F6-8328-CC4854D83FD9}"/>
    <cellStyle name="20% - Accent1 2 2 6 3" xfId="6159" xr:uid="{00000000-0005-0000-0000-000027000000}"/>
    <cellStyle name="20% - Accent1 2 2 6 3 2" xfId="14609" xr:uid="{0EAC48E6-B15F-4F81-BF25-08379A79DF04}"/>
    <cellStyle name="20% - Accent1 2 2 6 4" xfId="10391" xr:uid="{F7BAB109-C667-4BE3-8F43-5DDA3554C39A}"/>
    <cellStyle name="20% - Accent1 2 2 7" xfId="2266" xr:uid="{00000000-0005-0000-0000-000028000000}"/>
    <cellStyle name="20% - Accent1 2 2 7 2" xfId="6572" xr:uid="{00000000-0005-0000-0000-000029000000}"/>
    <cellStyle name="20% - Accent1 2 2 7 2 2" xfId="15022" xr:uid="{156E161B-28DF-435E-AA1B-A0F05F2E65EF}"/>
    <cellStyle name="20% - Accent1 2 2 7 3" xfId="10804" xr:uid="{55A40ABE-DEFB-42D5-BEB7-AA7EE7DFE34E}"/>
    <cellStyle name="20% - Accent1 2 2 8" xfId="4506" xr:uid="{00000000-0005-0000-0000-00002A000000}"/>
    <cellStyle name="20% - Accent1 2 2 8 2" xfId="12956" xr:uid="{0F8088E0-D447-493C-A6E7-C33F9CFCDC2A}"/>
    <cellStyle name="20% - Accent1 2 2 9" xfId="8738" xr:uid="{AFE44534-76A3-4535-9283-74FF4C6BC8B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5517" xr:uid="{836E3443-52A9-4037-877B-140434885F45}"/>
    <cellStyle name="20% - Accent1 2 3 2 2 3" xfId="11299" xr:uid="{8174A22E-D0E0-4732-BAB1-3F0D6548F190}"/>
    <cellStyle name="20% - Accent1 2 3 2 3" xfId="4922" xr:uid="{00000000-0005-0000-0000-00002F000000}"/>
    <cellStyle name="20% - Accent1 2 3 2 3 2" xfId="13372" xr:uid="{7AB4EA65-FEEA-432F-8D59-E60FADDA32F2}"/>
    <cellStyle name="20% - Accent1 2 3 2 4" xfId="9154" xr:uid="{ADF96BCF-E68A-4602-9176-94E02BCF4BA6}"/>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5930" xr:uid="{8A8786EB-808D-411C-9F51-B8F9F0BE06C0}"/>
    <cellStyle name="20% - Accent1 2 3 3 2 3" xfId="11712" xr:uid="{55906A03-9666-4587-9346-498A550465BC}"/>
    <cellStyle name="20% - Accent1 2 3 3 3" xfId="5335" xr:uid="{00000000-0005-0000-0000-000033000000}"/>
    <cellStyle name="20% - Accent1 2 3 3 3 2" xfId="13785" xr:uid="{B2F1D512-487F-4AC3-B30D-9DED70F2E0D8}"/>
    <cellStyle name="20% - Accent1 2 3 3 4" xfId="9567" xr:uid="{6FA659FF-F86A-43CB-AF05-4D54155942A0}"/>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6343" xr:uid="{38A358FB-1E54-42A2-B3FD-F9AFF709E78F}"/>
    <cellStyle name="20% - Accent1 2 3 4 2 3" xfId="12125" xr:uid="{D9473985-DE23-4B41-9BBC-AA31B44C66A4}"/>
    <cellStyle name="20% - Accent1 2 3 4 3" xfId="5748" xr:uid="{00000000-0005-0000-0000-000037000000}"/>
    <cellStyle name="20% - Accent1 2 3 4 3 2" xfId="14198" xr:uid="{93BF074D-2B8B-4B71-AFEC-BF7A7742A235}"/>
    <cellStyle name="20% - Accent1 2 3 4 4" xfId="9980" xr:uid="{8E5A0714-ACD8-4138-A6D8-172D482EE2D5}"/>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6756" xr:uid="{BE58B152-0495-4A1E-9F93-5E167574FED4}"/>
    <cellStyle name="20% - Accent1 2 3 5 2 3" xfId="12538" xr:uid="{B4C8761A-4380-4773-B35E-D0E68CB8E946}"/>
    <cellStyle name="20% - Accent1 2 3 5 3" xfId="6161" xr:uid="{00000000-0005-0000-0000-00003B000000}"/>
    <cellStyle name="20% - Accent1 2 3 5 3 2" xfId="14611" xr:uid="{AE9F58DF-D4A2-4B9D-A659-7917BE33794A}"/>
    <cellStyle name="20% - Accent1 2 3 5 4" xfId="10393" xr:uid="{D9719B7C-7F59-4F4F-A715-3E184FBA1A9F}"/>
    <cellStyle name="20% - Accent1 2 3 6" xfId="2268" xr:uid="{00000000-0005-0000-0000-00003C000000}"/>
    <cellStyle name="20% - Accent1 2 3 6 2" xfId="6574" xr:uid="{00000000-0005-0000-0000-00003D000000}"/>
    <cellStyle name="20% - Accent1 2 3 6 2 2" xfId="15024" xr:uid="{7CC1A6F6-E440-4711-BB39-16BB00EBCBD2}"/>
    <cellStyle name="20% - Accent1 2 3 6 3" xfId="10806" xr:uid="{39C71979-DFFA-4B86-AB2C-7EF31A212F09}"/>
    <cellStyle name="20% - Accent1 2 3 7" xfId="4508" xr:uid="{00000000-0005-0000-0000-00003E000000}"/>
    <cellStyle name="20% - Accent1 2 3 7 2" xfId="12958" xr:uid="{D71BB270-97EB-4D77-BCA8-BE44D9E82A28}"/>
    <cellStyle name="20% - Accent1 2 3 8" xfId="8740" xr:uid="{02DEA376-4746-4994-A88E-E4C1168813A3}"/>
    <cellStyle name="20% - Accent1 2 4" xfId="571" xr:uid="{00000000-0005-0000-0000-00003F000000}"/>
    <cellStyle name="20% - Accent1 2 4 2" xfId="2842" xr:uid="{00000000-0005-0000-0000-000040000000}"/>
    <cellStyle name="20% - Accent1 2 4 2 2" xfId="7064" xr:uid="{00000000-0005-0000-0000-000041000000}"/>
    <cellStyle name="20% - Accent1 2 4 2 2 2" xfId="15514" xr:uid="{78C20019-A500-422D-9D28-2C79A5068255}"/>
    <cellStyle name="20% - Accent1 2 4 2 3" xfId="11296" xr:uid="{4F5E1EB1-5789-42B6-B63E-4E8181EDAFC9}"/>
    <cellStyle name="20% - Accent1 2 4 3" xfId="4919" xr:uid="{00000000-0005-0000-0000-000042000000}"/>
    <cellStyle name="20% - Accent1 2 4 3 2" xfId="13369" xr:uid="{49D0A96D-62E4-4364-9622-B115B9F93BA4}"/>
    <cellStyle name="20% - Accent1 2 4 4" xfId="9151" xr:uid="{19F50780-1876-4B37-85C1-E307680EAFAF}"/>
    <cellStyle name="20% - Accent1 2 5" xfId="1024" xr:uid="{00000000-0005-0000-0000-000043000000}"/>
    <cellStyle name="20% - Accent1 2 5 2" xfId="3255" xr:uid="{00000000-0005-0000-0000-000044000000}"/>
    <cellStyle name="20% - Accent1 2 5 2 2" xfId="7477" xr:uid="{00000000-0005-0000-0000-000045000000}"/>
    <cellStyle name="20% - Accent1 2 5 2 2 2" xfId="15927" xr:uid="{5D46A35D-64D4-4B81-AC78-114A9C768DD8}"/>
    <cellStyle name="20% - Accent1 2 5 2 3" xfId="11709" xr:uid="{E53AE859-ADC5-409D-ABE7-01BB8EF54102}"/>
    <cellStyle name="20% - Accent1 2 5 3" xfId="5332" xr:uid="{00000000-0005-0000-0000-000046000000}"/>
    <cellStyle name="20% - Accent1 2 5 3 2" xfId="13782" xr:uid="{0E677D82-EAFF-4FA3-905C-FA082304CCEA}"/>
    <cellStyle name="20% - Accent1 2 5 4" xfId="9564" xr:uid="{385AF58F-16F8-4CFB-BAA3-C6C91887AE52}"/>
    <cellStyle name="20% - Accent1 2 6" xfId="1438" xr:uid="{00000000-0005-0000-0000-000047000000}"/>
    <cellStyle name="20% - Accent1 2 6 2" xfId="3668" xr:uid="{00000000-0005-0000-0000-000048000000}"/>
    <cellStyle name="20% - Accent1 2 6 2 2" xfId="7890" xr:uid="{00000000-0005-0000-0000-000049000000}"/>
    <cellStyle name="20% - Accent1 2 6 2 2 2" xfId="16340" xr:uid="{946937A0-DBBA-4054-B752-652D5AD94047}"/>
    <cellStyle name="20% - Accent1 2 6 2 3" xfId="12122" xr:uid="{BB051B12-781D-41BB-8B06-A74BC4282D23}"/>
    <cellStyle name="20% - Accent1 2 6 3" xfId="5745" xr:uid="{00000000-0005-0000-0000-00004A000000}"/>
    <cellStyle name="20% - Accent1 2 6 3 2" xfId="14195" xr:uid="{A2C7247A-0CDE-4C7D-B79E-ADD40C70EB71}"/>
    <cellStyle name="20% - Accent1 2 6 4" xfId="9977" xr:uid="{AFAD6451-D8B0-4262-8196-CD206A48300D}"/>
    <cellStyle name="20% - Accent1 2 7" xfId="1852" xr:uid="{00000000-0005-0000-0000-00004B000000}"/>
    <cellStyle name="20% - Accent1 2 7 2" xfId="4081" xr:uid="{00000000-0005-0000-0000-00004C000000}"/>
    <cellStyle name="20% - Accent1 2 7 2 2" xfId="8303" xr:uid="{00000000-0005-0000-0000-00004D000000}"/>
    <cellStyle name="20% - Accent1 2 7 2 2 2" xfId="16753" xr:uid="{B0FA0260-5FB9-41C2-BB6D-2D900C65FD18}"/>
    <cellStyle name="20% - Accent1 2 7 2 3" xfId="12535" xr:uid="{B8DCBBE0-3BCE-451D-B893-9760261737B3}"/>
    <cellStyle name="20% - Accent1 2 7 3" xfId="6158" xr:uid="{00000000-0005-0000-0000-00004E000000}"/>
    <cellStyle name="20% - Accent1 2 7 3 2" xfId="14608" xr:uid="{414CCA7E-5351-4FC8-9AA0-A1C1AA667AE6}"/>
    <cellStyle name="20% - Accent1 2 7 4" xfId="10390" xr:uid="{FA94E3EF-671F-4C82-AF04-CFD9B345A59D}"/>
    <cellStyle name="20% - Accent1 2 8" xfId="2265" xr:uid="{00000000-0005-0000-0000-00004F000000}"/>
    <cellStyle name="20% - Accent1 2 8 2" xfId="6571" xr:uid="{00000000-0005-0000-0000-000050000000}"/>
    <cellStyle name="20% - Accent1 2 8 2 2" xfId="15021" xr:uid="{C30AD68D-A198-4BC2-B7D2-422688405A4F}"/>
    <cellStyle name="20% - Accent1 2 8 3" xfId="10803" xr:uid="{5143F022-92BE-46BD-AB9F-F46B04425B09}"/>
    <cellStyle name="20% - Accent1 2 9" xfId="4505" xr:uid="{00000000-0005-0000-0000-000051000000}"/>
    <cellStyle name="20% - Accent1 2 9 2" xfId="12955" xr:uid="{C8C31FB2-E743-4917-BF8F-A1D575C39A6B}"/>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5519" xr:uid="{4EDFEE9A-7547-430D-A117-4AB85608F704}"/>
    <cellStyle name="20% - Accent1 3 2 2 2 3" xfId="11301" xr:uid="{4895A900-E2B1-4B91-B9A7-8033EA76F563}"/>
    <cellStyle name="20% - Accent1 3 2 2 3" xfId="4924" xr:uid="{00000000-0005-0000-0000-000057000000}"/>
    <cellStyle name="20% - Accent1 3 2 2 3 2" xfId="13374" xr:uid="{443A8678-139A-4BCC-9133-B51439331702}"/>
    <cellStyle name="20% - Accent1 3 2 2 4" xfId="9156" xr:uid="{7C25CAFC-9B8D-4964-8450-FF30BD94EC5A}"/>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5932" xr:uid="{41DF9E9D-77AE-4FA3-A0F0-C7F8D1D53986}"/>
    <cellStyle name="20% - Accent1 3 2 3 2 3" xfId="11714" xr:uid="{271F86FE-2406-4AB3-BE13-1FDD0CE661F7}"/>
    <cellStyle name="20% - Accent1 3 2 3 3" xfId="5337" xr:uid="{00000000-0005-0000-0000-00005B000000}"/>
    <cellStyle name="20% - Accent1 3 2 3 3 2" xfId="13787" xr:uid="{89E9344E-AA4A-4104-9198-7328FCED1F98}"/>
    <cellStyle name="20% - Accent1 3 2 3 4" xfId="9569" xr:uid="{4B3DE630-F737-440C-9AF8-DB8685D2CB94}"/>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6345" xr:uid="{7D3B8BD8-778F-497E-B1E8-F735F6D09746}"/>
    <cellStyle name="20% - Accent1 3 2 4 2 3" xfId="12127" xr:uid="{B87B0323-C286-4CB9-9310-0B18EC8FC0ED}"/>
    <cellStyle name="20% - Accent1 3 2 4 3" xfId="5750" xr:uid="{00000000-0005-0000-0000-00005F000000}"/>
    <cellStyle name="20% - Accent1 3 2 4 3 2" xfId="14200" xr:uid="{13A9A1A8-7144-414B-A335-0D67199BDC73}"/>
    <cellStyle name="20% - Accent1 3 2 4 4" xfId="9982" xr:uid="{EC9AEC36-C3FF-4DE1-BCF5-CB6749BDEB00}"/>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6758" xr:uid="{417B3A8F-46F2-4CF7-B4EA-F7962A7EACFA}"/>
    <cellStyle name="20% - Accent1 3 2 5 2 3" xfId="12540" xr:uid="{59C56EA4-85C7-4D5E-B7BE-06258DD8A883}"/>
    <cellStyle name="20% - Accent1 3 2 5 3" xfId="6163" xr:uid="{00000000-0005-0000-0000-000063000000}"/>
    <cellStyle name="20% - Accent1 3 2 5 3 2" xfId="14613" xr:uid="{BB0A6D34-6292-43B8-BC5F-E56D3D1341B0}"/>
    <cellStyle name="20% - Accent1 3 2 5 4" xfId="10395" xr:uid="{AFD13EC7-CB44-4302-8AC3-DE85569707EF}"/>
    <cellStyle name="20% - Accent1 3 2 6" xfId="2270" xr:uid="{00000000-0005-0000-0000-000064000000}"/>
    <cellStyle name="20% - Accent1 3 2 6 2" xfId="6576" xr:uid="{00000000-0005-0000-0000-000065000000}"/>
    <cellStyle name="20% - Accent1 3 2 6 2 2" xfId="15026" xr:uid="{F4C34948-3332-45B3-B473-57975F646BA8}"/>
    <cellStyle name="20% - Accent1 3 2 6 3" xfId="10808" xr:uid="{023D20BF-093C-4138-B6B6-031B2EC734AC}"/>
    <cellStyle name="20% - Accent1 3 2 7" xfId="4510" xr:uid="{00000000-0005-0000-0000-000066000000}"/>
    <cellStyle name="20% - Accent1 3 2 7 2" xfId="12960" xr:uid="{313945FA-FEE0-402C-A687-D711D7A67CEE}"/>
    <cellStyle name="20% - Accent1 3 2 8" xfId="8742" xr:uid="{6A796BF3-2D4F-4E53-9962-406283E6523D}"/>
    <cellStyle name="20% - Accent1 3 3" xfId="575" xr:uid="{00000000-0005-0000-0000-000067000000}"/>
    <cellStyle name="20% - Accent1 3 3 2" xfId="2846" xr:uid="{00000000-0005-0000-0000-000068000000}"/>
    <cellStyle name="20% - Accent1 3 3 2 2" xfId="7068" xr:uid="{00000000-0005-0000-0000-000069000000}"/>
    <cellStyle name="20% - Accent1 3 3 2 2 2" xfId="15518" xr:uid="{79047421-4FE4-4F45-8FC6-70E7417344E3}"/>
    <cellStyle name="20% - Accent1 3 3 2 3" xfId="11300" xr:uid="{8D1E6C41-974C-4C4E-A5F8-9A652BF6D69C}"/>
    <cellStyle name="20% - Accent1 3 3 3" xfId="4923" xr:uid="{00000000-0005-0000-0000-00006A000000}"/>
    <cellStyle name="20% - Accent1 3 3 3 2" xfId="13373" xr:uid="{86006E1F-8613-4B6F-B901-5F72C2748E2D}"/>
    <cellStyle name="20% - Accent1 3 3 4" xfId="9155" xr:uid="{4C185A0D-749E-48D6-BE1F-F65518342359}"/>
    <cellStyle name="20% - Accent1 3 4" xfId="1028" xr:uid="{00000000-0005-0000-0000-00006B000000}"/>
    <cellStyle name="20% - Accent1 3 4 2" xfId="3259" xr:uid="{00000000-0005-0000-0000-00006C000000}"/>
    <cellStyle name="20% - Accent1 3 4 2 2" xfId="7481" xr:uid="{00000000-0005-0000-0000-00006D000000}"/>
    <cellStyle name="20% - Accent1 3 4 2 2 2" xfId="15931" xr:uid="{53827A94-6672-4080-9954-B625AC692010}"/>
    <cellStyle name="20% - Accent1 3 4 2 3" xfId="11713" xr:uid="{841C356A-F232-4D1E-8AA2-432A9DA03729}"/>
    <cellStyle name="20% - Accent1 3 4 3" xfId="5336" xr:uid="{00000000-0005-0000-0000-00006E000000}"/>
    <cellStyle name="20% - Accent1 3 4 3 2" xfId="13786" xr:uid="{050750F7-2E11-4E92-BC75-206E791ADB14}"/>
    <cellStyle name="20% - Accent1 3 4 4" xfId="9568" xr:uid="{FF044FEB-91DA-452F-B505-B8432E759857}"/>
    <cellStyle name="20% - Accent1 3 5" xfId="1442" xr:uid="{00000000-0005-0000-0000-00006F000000}"/>
    <cellStyle name="20% - Accent1 3 5 2" xfId="3672" xr:uid="{00000000-0005-0000-0000-000070000000}"/>
    <cellStyle name="20% - Accent1 3 5 2 2" xfId="7894" xr:uid="{00000000-0005-0000-0000-000071000000}"/>
    <cellStyle name="20% - Accent1 3 5 2 2 2" xfId="16344" xr:uid="{C0ECD460-48E3-427B-9F60-2CE5CE9E672B}"/>
    <cellStyle name="20% - Accent1 3 5 2 3" xfId="12126" xr:uid="{793C796D-1C85-4CFC-8CCC-164268D6F60F}"/>
    <cellStyle name="20% - Accent1 3 5 3" xfId="5749" xr:uid="{00000000-0005-0000-0000-000072000000}"/>
    <cellStyle name="20% - Accent1 3 5 3 2" xfId="14199" xr:uid="{286B33D0-08B7-49E4-A8F8-6D1F81A9E04D}"/>
    <cellStyle name="20% - Accent1 3 5 4" xfId="9981" xr:uid="{90FC8709-3423-4CCE-9912-36CC976B2DF4}"/>
    <cellStyle name="20% - Accent1 3 6" xfId="1856" xr:uid="{00000000-0005-0000-0000-000073000000}"/>
    <cellStyle name="20% - Accent1 3 6 2" xfId="4085" xr:uid="{00000000-0005-0000-0000-000074000000}"/>
    <cellStyle name="20% - Accent1 3 6 2 2" xfId="8307" xr:uid="{00000000-0005-0000-0000-000075000000}"/>
    <cellStyle name="20% - Accent1 3 6 2 2 2" xfId="16757" xr:uid="{B87D5EC9-BA6C-4C8B-A784-3875989375F4}"/>
    <cellStyle name="20% - Accent1 3 6 2 3" xfId="12539" xr:uid="{F00720CB-C2F5-45D8-8DA2-E181683E8EFF}"/>
    <cellStyle name="20% - Accent1 3 6 3" xfId="6162" xr:uid="{00000000-0005-0000-0000-000076000000}"/>
    <cellStyle name="20% - Accent1 3 6 3 2" xfId="14612" xr:uid="{8C353123-EC01-4A46-869A-B1A2EF3F6C34}"/>
    <cellStyle name="20% - Accent1 3 6 4" xfId="10394" xr:uid="{834D516D-90D0-4E78-A339-83185D1FE858}"/>
    <cellStyle name="20% - Accent1 3 7" xfId="2269" xr:uid="{00000000-0005-0000-0000-000077000000}"/>
    <cellStyle name="20% - Accent1 3 7 2" xfId="6575" xr:uid="{00000000-0005-0000-0000-000078000000}"/>
    <cellStyle name="20% - Accent1 3 7 2 2" xfId="15025" xr:uid="{36054011-D223-4AA6-976A-C00EB756CB1E}"/>
    <cellStyle name="20% - Accent1 3 7 3" xfId="10807" xr:uid="{CE83CE47-2F9D-4604-A4C4-066687FBAF71}"/>
    <cellStyle name="20% - Accent1 3 8" xfId="4509" xr:uid="{00000000-0005-0000-0000-000079000000}"/>
    <cellStyle name="20% - Accent1 3 8 2" xfId="12959" xr:uid="{E906B39D-945D-4616-9FE7-A8E8BBEF6CDF}"/>
    <cellStyle name="20% - Accent1 3 9" xfId="8741" xr:uid="{A03524F3-A982-4DF9-9495-B219F608BFB5}"/>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5520" xr:uid="{8D217524-C61B-4C2A-9B8C-377446274556}"/>
    <cellStyle name="20% - Accent1 4 2 2 3" xfId="11302" xr:uid="{EB1FD87F-D189-47BF-80AF-66132DADE765}"/>
    <cellStyle name="20% - Accent1 4 2 3" xfId="4925" xr:uid="{00000000-0005-0000-0000-00007E000000}"/>
    <cellStyle name="20% - Accent1 4 2 3 2" xfId="13375" xr:uid="{2B75A355-98A0-484B-8ED5-3CD8C492D9A5}"/>
    <cellStyle name="20% - Accent1 4 2 4" xfId="9157" xr:uid="{5F6ECF96-9376-4CDE-9325-9E8459913762}"/>
    <cellStyle name="20% - Accent1 4 3" xfId="1030" xr:uid="{00000000-0005-0000-0000-00007F000000}"/>
    <cellStyle name="20% - Accent1 4 3 2" xfId="3261" xr:uid="{00000000-0005-0000-0000-000080000000}"/>
    <cellStyle name="20% - Accent1 4 3 2 2" xfId="7483" xr:uid="{00000000-0005-0000-0000-000081000000}"/>
    <cellStyle name="20% - Accent1 4 3 2 2 2" xfId="15933" xr:uid="{BFFCD668-8708-4E5D-A68E-8EE187C5C362}"/>
    <cellStyle name="20% - Accent1 4 3 2 3" xfId="11715" xr:uid="{D681B512-689C-426B-8A2A-34E07AE273EB}"/>
    <cellStyle name="20% - Accent1 4 3 3" xfId="5338" xr:uid="{00000000-0005-0000-0000-000082000000}"/>
    <cellStyle name="20% - Accent1 4 3 3 2" xfId="13788" xr:uid="{EAD2814D-81DA-4575-B939-843BA154CF2C}"/>
    <cellStyle name="20% - Accent1 4 3 4" xfId="9570" xr:uid="{3ED9E3B4-52BE-46BD-9288-FFE0504AFCE8}"/>
    <cellStyle name="20% - Accent1 4 4" xfId="1444" xr:uid="{00000000-0005-0000-0000-000083000000}"/>
    <cellStyle name="20% - Accent1 4 4 2" xfId="3674" xr:uid="{00000000-0005-0000-0000-000084000000}"/>
    <cellStyle name="20% - Accent1 4 4 2 2" xfId="7896" xr:uid="{00000000-0005-0000-0000-000085000000}"/>
    <cellStyle name="20% - Accent1 4 4 2 2 2" xfId="16346" xr:uid="{FD7889EE-EA5F-4009-BD83-7E39E85ABBB1}"/>
    <cellStyle name="20% - Accent1 4 4 2 3" xfId="12128" xr:uid="{81E71EB6-3060-447F-B270-AE32C3EBF096}"/>
    <cellStyle name="20% - Accent1 4 4 3" xfId="5751" xr:uid="{00000000-0005-0000-0000-000086000000}"/>
    <cellStyle name="20% - Accent1 4 4 3 2" xfId="14201" xr:uid="{CA9309A4-5888-4E28-9613-038A9C3683E0}"/>
    <cellStyle name="20% - Accent1 4 4 4" xfId="9983" xr:uid="{E6AF3CF0-48B4-44AC-A2BD-F7C61ABBA552}"/>
    <cellStyle name="20% - Accent1 4 5" xfId="1858" xr:uid="{00000000-0005-0000-0000-000087000000}"/>
    <cellStyle name="20% - Accent1 4 5 2" xfId="4087" xr:uid="{00000000-0005-0000-0000-000088000000}"/>
    <cellStyle name="20% - Accent1 4 5 2 2" xfId="8309" xr:uid="{00000000-0005-0000-0000-000089000000}"/>
    <cellStyle name="20% - Accent1 4 5 2 2 2" xfId="16759" xr:uid="{C9B48548-876A-4A8E-95A7-3C2D9100956A}"/>
    <cellStyle name="20% - Accent1 4 5 2 3" xfId="12541" xr:uid="{CCFFECCF-E9EE-47A1-B72B-8797247CAF59}"/>
    <cellStyle name="20% - Accent1 4 5 3" xfId="6164" xr:uid="{00000000-0005-0000-0000-00008A000000}"/>
    <cellStyle name="20% - Accent1 4 5 3 2" xfId="14614" xr:uid="{063CABBF-CF20-4136-AE98-FEADCF274AAD}"/>
    <cellStyle name="20% - Accent1 4 5 4" xfId="10396" xr:uid="{766ED3CD-397D-4305-A2BC-DF4D3DA5BE26}"/>
    <cellStyle name="20% - Accent1 4 6" xfId="2271" xr:uid="{00000000-0005-0000-0000-00008B000000}"/>
    <cellStyle name="20% - Accent1 4 6 2" xfId="6577" xr:uid="{00000000-0005-0000-0000-00008C000000}"/>
    <cellStyle name="20% - Accent1 4 6 2 2" xfId="15027" xr:uid="{FAF1EA04-A1CD-4C64-B17F-CEC21E9F17EA}"/>
    <cellStyle name="20% - Accent1 4 6 3" xfId="10809" xr:uid="{A0354A92-103A-4413-843E-B58B7F83B294}"/>
    <cellStyle name="20% - Accent1 4 7" xfId="4511" xr:uid="{00000000-0005-0000-0000-00008D000000}"/>
    <cellStyle name="20% - Accent1 4 7 2" xfId="12961" xr:uid="{8FB1B9D0-2BF1-4CB7-AA95-2A12E46D79CE}"/>
    <cellStyle name="20% - Accent1 4 8" xfId="8743" xr:uid="{74CA1E16-E9DF-4755-8489-B44F3DAE6509}"/>
    <cellStyle name="20% - Accent1 5" xfId="570" xr:uid="{00000000-0005-0000-0000-00008E000000}"/>
    <cellStyle name="20% - Accent1 5 2" xfId="2841" xr:uid="{00000000-0005-0000-0000-00008F000000}"/>
    <cellStyle name="20% - Accent1 5 2 2" xfId="7063" xr:uid="{00000000-0005-0000-0000-000090000000}"/>
    <cellStyle name="20% - Accent1 5 2 2 2" xfId="15513" xr:uid="{25A5B868-C04D-420E-9769-1C12E8395D52}"/>
    <cellStyle name="20% - Accent1 5 2 3" xfId="11295" xr:uid="{B4572326-80E4-4163-9EB8-C82C3D9F97B7}"/>
    <cellStyle name="20% - Accent1 5 3" xfId="4918" xr:uid="{00000000-0005-0000-0000-000091000000}"/>
    <cellStyle name="20% - Accent1 5 3 2" xfId="13368" xr:uid="{1FD2CC86-09D6-453C-B293-7504043EAA59}"/>
    <cellStyle name="20% - Accent1 5 4" xfId="9150" xr:uid="{657130B9-DDD4-45A0-943D-96D12986B160}"/>
    <cellStyle name="20% - Accent1 6" xfId="1023" xr:uid="{00000000-0005-0000-0000-000092000000}"/>
    <cellStyle name="20% - Accent1 6 2" xfId="3254" xr:uid="{00000000-0005-0000-0000-000093000000}"/>
    <cellStyle name="20% - Accent1 6 2 2" xfId="7476" xr:uid="{00000000-0005-0000-0000-000094000000}"/>
    <cellStyle name="20% - Accent1 6 2 2 2" xfId="15926" xr:uid="{3CC3AA67-C331-468A-9A9D-EABB30B371E9}"/>
    <cellStyle name="20% - Accent1 6 2 3" xfId="11708" xr:uid="{B1F4A0DF-03C5-4919-B5CA-F0B2D8E73BE1}"/>
    <cellStyle name="20% - Accent1 6 3" xfId="5331" xr:uid="{00000000-0005-0000-0000-000095000000}"/>
    <cellStyle name="20% - Accent1 6 3 2" xfId="13781" xr:uid="{E509445A-6689-45DF-B157-3DD8D38790D9}"/>
    <cellStyle name="20% - Accent1 6 4" xfId="9563" xr:uid="{1DFEE7C9-98D1-4CAE-85FE-0143BA6E66D0}"/>
    <cellStyle name="20% - Accent1 7" xfId="1437" xr:uid="{00000000-0005-0000-0000-000096000000}"/>
    <cellStyle name="20% - Accent1 7 2" xfId="3667" xr:uid="{00000000-0005-0000-0000-000097000000}"/>
    <cellStyle name="20% - Accent1 7 2 2" xfId="7889" xr:uid="{00000000-0005-0000-0000-000098000000}"/>
    <cellStyle name="20% - Accent1 7 2 2 2" xfId="16339" xr:uid="{313CD876-F345-4709-B36D-0D5192C02B34}"/>
    <cellStyle name="20% - Accent1 7 2 3" xfId="12121" xr:uid="{916AC4A7-C006-442A-AF3D-172C4AD6D278}"/>
    <cellStyle name="20% - Accent1 7 3" xfId="5744" xr:uid="{00000000-0005-0000-0000-000099000000}"/>
    <cellStyle name="20% - Accent1 7 3 2" xfId="14194" xr:uid="{F87A7684-6D99-4F8F-9C3F-69EED7502ABF}"/>
    <cellStyle name="20% - Accent1 7 4" xfId="9976" xr:uid="{1A2E1D1C-D46B-4CC3-8B1D-C9D5743ECC62}"/>
    <cellStyle name="20% - Accent1 8" xfId="1851" xr:uid="{00000000-0005-0000-0000-00009A000000}"/>
    <cellStyle name="20% - Accent1 8 2" xfId="4080" xr:uid="{00000000-0005-0000-0000-00009B000000}"/>
    <cellStyle name="20% - Accent1 8 2 2" xfId="8302" xr:uid="{00000000-0005-0000-0000-00009C000000}"/>
    <cellStyle name="20% - Accent1 8 2 2 2" xfId="16752" xr:uid="{CE365AEB-C9CC-46A1-8BBE-6D2178C475D5}"/>
    <cellStyle name="20% - Accent1 8 2 3" xfId="12534" xr:uid="{841897C8-A1F7-4367-B3F9-2A7FC142E530}"/>
    <cellStyle name="20% - Accent1 8 3" xfId="6157" xr:uid="{00000000-0005-0000-0000-00009D000000}"/>
    <cellStyle name="20% - Accent1 8 3 2" xfId="14607" xr:uid="{78870201-7CD7-4106-9511-61EABA38E355}"/>
    <cellStyle name="20% - Accent1 8 4" xfId="10389" xr:uid="{7AC466D3-0311-4203-B0E0-0B8D4A20796A}"/>
    <cellStyle name="20% - Accent1 9" xfId="2264" xr:uid="{00000000-0005-0000-0000-00009E000000}"/>
    <cellStyle name="20% - Accent1 9 2" xfId="6570" xr:uid="{00000000-0005-0000-0000-00009F000000}"/>
    <cellStyle name="20% - Accent1 9 2 2" xfId="15020" xr:uid="{A1535E60-479E-4713-B70D-9D8C2AA7FDAB}"/>
    <cellStyle name="20% - Accent1 9 3" xfId="10802" xr:uid="{8553708A-C9EC-43D2-A472-D7B9B7C2D035}"/>
    <cellStyle name="20% - Accent2" xfId="9" builtinId="34" customBuiltin="1"/>
    <cellStyle name="20% - Accent2 10" xfId="4512" xr:uid="{00000000-0005-0000-0000-0000A1000000}"/>
    <cellStyle name="20% - Accent2 10 2" xfId="12962" xr:uid="{BB8ACC20-0A59-471F-868E-0D4731308FE9}"/>
    <cellStyle name="20% - Accent2 11" xfId="8744" xr:uid="{E223D2AC-CAE8-440E-A701-E1741A9A6852}"/>
    <cellStyle name="20% - Accent2 2" xfId="10" xr:uid="{00000000-0005-0000-0000-0000A2000000}"/>
    <cellStyle name="20% - Accent2 2 10" xfId="8745" xr:uid="{4C1E2403-450F-4611-98C9-23E5C66CDEEF}"/>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5524" xr:uid="{39BA2042-6C59-4F91-B8EA-3AE9A2B631D2}"/>
    <cellStyle name="20% - Accent2 2 2 2 2 2 3" xfId="11306" xr:uid="{BFDAE98E-090E-4C3F-BE37-15CD78CB9208}"/>
    <cellStyle name="20% - Accent2 2 2 2 2 3" xfId="4929" xr:uid="{00000000-0005-0000-0000-0000A8000000}"/>
    <cellStyle name="20% - Accent2 2 2 2 2 3 2" xfId="13379" xr:uid="{70076142-BD98-47AB-94BD-5112C12F6F0D}"/>
    <cellStyle name="20% - Accent2 2 2 2 2 4" xfId="9161" xr:uid="{EF697CAC-2489-4CAC-A86D-CF5C9390B136}"/>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5937" xr:uid="{3A756572-8B46-4E15-B2E6-820BCCA6593F}"/>
    <cellStyle name="20% - Accent2 2 2 2 3 2 3" xfId="11719" xr:uid="{68FFACF1-6575-45D6-BCFA-B209849C902A}"/>
    <cellStyle name="20% - Accent2 2 2 2 3 3" xfId="5342" xr:uid="{00000000-0005-0000-0000-0000AC000000}"/>
    <cellStyle name="20% - Accent2 2 2 2 3 3 2" xfId="13792" xr:uid="{186FE190-1AA9-4B66-8509-CBDDA6ABFC70}"/>
    <cellStyle name="20% - Accent2 2 2 2 3 4" xfId="9574" xr:uid="{3298FDF0-AE0F-4121-8C60-A4D65A28FF83}"/>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6350" xr:uid="{2DEDB684-D311-45D7-B86D-B9AF6F174AF8}"/>
    <cellStyle name="20% - Accent2 2 2 2 4 2 3" xfId="12132" xr:uid="{59375F75-7F15-43CB-B2D8-107982463986}"/>
    <cellStyle name="20% - Accent2 2 2 2 4 3" xfId="5755" xr:uid="{00000000-0005-0000-0000-0000B0000000}"/>
    <cellStyle name="20% - Accent2 2 2 2 4 3 2" xfId="14205" xr:uid="{D81B182B-741A-457E-87F3-4D64E9958A08}"/>
    <cellStyle name="20% - Accent2 2 2 2 4 4" xfId="9987" xr:uid="{26CFE3A9-80CC-4EB3-BC62-A51B9BD6D58C}"/>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6763" xr:uid="{CE91D2F9-AD4C-40DE-8567-F59578F69574}"/>
    <cellStyle name="20% - Accent2 2 2 2 5 2 3" xfId="12545" xr:uid="{6DDDC78F-5DC6-4BFE-9267-9D97A8BC30C7}"/>
    <cellStyle name="20% - Accent2 2 2 2 5 3" xfId="6168" xr:uid="{00000000-0005-0000-0000-0000B4000000}"/>
    <cellStyle name="20% - Accent2 2 2 2 5 3 2" xfId="14618" xr:uid="{23B4EAE3-E1F8-4B09-9F5A-210740558479}"/>
    <cellStyle name="20% - Accent2 2 2 2 5 4" xfId="10400" xr:uid="{6809E39C-DA55-40AF-BF47-CE9229AADDD1}"/>
    <cellStyle name="20% - Accent2 2 2 2 6" xfId="2275" xr:uid="{00000000-0005-0000-0000-0000B5000000}"/>
    <cellStyle name="20% - Accent2 2 2 2 6 2" xfId="6581" xr:uid="{00000000-0005-0000-0000-0000B6000000}"/>
    <cellStyle name="20% - Accent2 2 2 2 6 2 2" xfId="15031" xr:uid="{4F8E05E0-CA6D-43E1-A527-6423B3F15DEF}"/>
    <cellStyle name="20% - Accent2 2 2 2 6 3" xfId="10813" xr:uid="{D4FB6125-07BB-48E6-B79A-009484E53849}"/>
    <cellStyle name="20% - Accent2 2 2 2 7" xfId="4515" xr:uid="{00000000-0005-0000-0000-0000B7000000}"/>
    <cellStyle name="20% - Accent2 2 2 2 7 2" xfId="12965" xr:uid="{F723FDD1-541C-4036-8631-93C808695C38}"/>
    <cellStyle name="20% - Accent2 2 2 2 8" xfId="8747" xr:uid="{D16FE7E8-D764-4890-B7C3-09463256CBB0}"/>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5523" xr:uid="{A891A638-FBBD-4F22-83C6-2320939C3261}"/>
    <cellStyle name="20% - Accent2 2 2 3 2 3" xfId="11305" xr:uid="{2090F2BA-FCBF-47B9-8119-B089642E43C4}"/>
    <cellStyle name="20% - Accent2 2 2 3 3" xfId="4928" xr:uid="{00000000-0005-0000-0000-0000BB000000}"/>
    <cellStyle name="20% - Accent2 2 2 3 3 2" xfId="13378" xr:uid="{32AC0A9F-0E75-4E65-ACAF-C68B0474B12B}"/>
    <cellStyle name="20% - Accent2 2 2 3 4" xfId="9160" xr:uid="{CA905AC9-7A13-4E27-A91A-0E3FE1F16EFF}"/>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5936" xr:uid="{365AD85B-8E2A-433A-9A1B-1A2074D3E8B6}"/>
    <cellStyle name="20% - Accent2 2 2 4 2 3" xfId="11718" xr:uid="{C71655C8-4376-4F7B-9D3B-3D9B1D32E8C3}"/>
    <cellStyle name="20% - Accent2 2 2 4 3" xfId="5341" xr:uid="{00000000-0005-0000-0000-0000BF000000}"/>
    <cellStyle name="20% - Accent2 2 2 4 3 2" xfId="13791" xr:uid="{0A352622-30F7-4F9A-A459-DBCD5076A0B5}"/>
    <cellStyle name="20% - Accent2 2 2 4 4" xfId="9573" xr:uid="{052270A3-E350-4ECC-B260-467AC8EA010C}"/>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6349" xr:uid="{3AD7EE0E-6642-4FD4-AB61-C531EBBB35A6}"/>
    <cellStyle name="20% - Accent2 2 2 5 2 3" xfId="12131" xr:uid="{98001916-D859-4829-8777-FB8C1BCB4E17}"/>
    <cellStyle name="20% - Accent2 2 2 5 3" xfId="5754" xr:uid="{00000000-0005-0000-0000-0000C3000000}"/>
    <cellStyle name="20% - Accent2 2 2 5 3 2" xfId="14204" xr:uid="{1909848D-CDA7-4D39-B9F6-3C2D4C745D57}"/>
    <cellStyle name="20% - Accent2 2 2 5 4" xfId="9986" xr:uid="{D255BBCF-1F51-4C32-9F38-B094D62591FE}"/>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6762" xr:uid="{A9076197-0353-4C14-9F69-AB617D3665D5}"/>
    <cellStyle name="20% - Accent2 2 2 6 2 3" xfId="12544" xr:uid="{EB217555-0521-48B1-A462-0C1B99809410}"/>
    <cellStyle name="20% - Accent2 2 2 6 3" xfId="6167" xr:uid="{00000000-0005-0000-0000-0000C7000000}"/>
    <cellStyle name="20% - Accent2 2 2 6 3 2" xfId="14617" xr:uid="{25C8E4B4-9827-4856-AE2E-E60169CC8648}"/>
    <cellStyle name="20% - Accent2 2 2 6 4" xfId="10399" xr:uid="{77285DEB-8441-4ADD-ABB7-43C410F55D99}"/>
    <cellStyle name="20% - Accent2 2 2 7" xfId="2274" xr:uid="{00000000-0005-0000-0000-0000C8000000}"/>
    <cellStyle name="20% - Accent2 2 2 7 2" xfId="6580" xr:uid="{00000000-0005-0000-0000-0000C9000000}"/>
    <cellStyle name="20% - Accent2 2 2 7 2 2" xfId="15030" xr:uid="{6C533CAB-CF16-49FE-83DD-226D181678F7}"/>
    <cellStyle name="20% - Accent2 2 2 7 3" xfId="10812" xr:uid="{F7BA9E34-52B4-4301-99B5-30E0CE4F9177}"/>
    <cellStyle name="20% - Accent2 2 2 8" xfId="4514" xr:uid="{00000000-0005-0000-0000-0000CA000000}"/>
    <cellStyle name="20% - Accent2 2 2 8 2" xfId="12964" xr:uid="{78030533-D7F5-42A6-ADA3-04C9EC094EAE}"/>
    <cellStyle name="20% - Accent2 2 2 9" xfId="8746" xr:uid="{2BAFD9D8-5F0D-44FD-9C37-275188861637}"/>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5525" xr:uid="{CAE216F3-6794-4DDE-8543-BBFAC24E639E}"/>
    <cellStyle name="20% - Accent2 2 3 2 2 3" xfId="11307" xr:uid="{BB3B6C4E-7130-4576-BF9E-A02A738EA305}"/>
    <cellStyle name="20% - Accent2 2 3 2 3" xfId="4930" xr:uid="{00000000-0005-0000-0000-0000CF000000}"/>
    <cellStyle name="20% - Accent2 2 3 2 3 2" xfId="13380" xr:uid="{D9D14B6A-022F-4659-8AB3-8DA538FD57F8}"/>
    <cellStyle name="20% - Accent2 2 3 2 4" xfId="9162" xr:uid="{987FC49D-D6A9-4F9F-BB8E-8BB71DB900A3}"/>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5938" xr:uid="{9C726785-4019-45D0-BA57-1AFB254A29D3}"/>
    <cellStyle name="20% - Accent2 2 3 3 2 3" xfId="11720" xr:uid="{A3BAC4AB-314C-49A4-B3C7-2B6DA96DDE67}"/>
    <cellStyle name="20% - Accent2 2 3 3 3" xfId="5343" xr:uid="{00000000-0005-0000-0000-0000D3000000}"/>
    <cellStyle name="20% - Accent2 2 3 3 3 2" xfId="13793" xr:uid="{6DC05CA4-EF3D-4DF8-82C0-74F9F7A6D144}"/>
    <cellStyle name="20% - Accent2 2 3 3 4" xfId="9575" xr:uid="{998EF9AB-0B73-411C-B12F-8FEE652B9FE9}"/>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6351" xr:uid="{25814031-6946-4B8E-BA96-C66967822E67}"/>
    <cellStyle name="20% - Accent2 2 3 4 2 3" xfId="12133" xr:uid="{58D0EF78-A9BC-440F-939C-509CB4988319}"/>
    <cellStyle name="20% - Accent2 2 3 4 3" xfId="5756" xr:uid="{00000000-0005-0000-0000-0000D7000000}"/>
    <cellStyle name="20% - Accent2 2 3 4 3 2" xfId="14206" xr:uid="{1A9583CB-289C-4131-81FD-34E584A4D1F2}"/>
    <cellStyle name="20% - Accent2 2 3 4 4" xfId="9988" xr:uid="{B2502828-E30C-4F1E-922C-1139B8C21CE9}"/>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6764" xr:uid="{C518C30B-F8E9-4D4D-BB66-A3F8278D4127}"/>
    <cellStyle name="20% - Accent2 2 3 5 2 3" xfId="12546" xr:uid="{8E6E2018-24F8-488E-BCBD-D234C6156A8A}"/>
    <cellStyle name="20% - Accent2 2 3 5 3" xfId="6169" xr:uid="{00000000-0005-0000-0000-0000DB000000}"/>
    <cellStyle name="20% - Accent2 2 3 5 3 2" xfId="14619" xr:uid="{5F5AA9C5-0AC1-4DD1-AECB-05AAF64BFBDB}"/>
    <cellStyle name="20% - Accent2 2 3 5 4" xfId="10401" xr:uid="{68B6BAA7-A057-42CC-A150-C8BE920A896F}"/>
    <cellStyle name="20% - Accent2 2 3 6" xfId="2276" xr:uid="{00000000-0005-0000-0000-0000DC000000}"/>
    <cellStyle name="20% - Accent2 2 3 6 2" xfId="6582" xr:uid="{00000000-0005-0000-0000-0000DD000000}"/>
    <cellStyle name="20% - Accent2 2 3 6 2 2" xfId="15032" xr:uid="{DB74FAD0-8BFB-4B3A-9C8D-753E5DC6D48B}"/>
    <cellStyle name="20% - Accent2 2 3 6 3" xfId="10814" xr:uid="{227A029F-F3EB-4B01-A31F-03E907D073B9}"/>
    <cellStyle name="20% - Accent2 2 3 7" xfId="4516" xr:uid="{00000000-0005-0000-0000-0000DE000000}"/>
    <cellStyle name="20% - Accent2 2 3 7 2" xfId="12966" xr:uid="{65A6333D-901F-4DFC-8FD1-7B18909DC45F}"/>
    <cellStyle name="20% - Accent2 2 3 8" xfId="8748" xr:uid="{C4A99D3F-6C4D-4F62-99B0-051FD8573F89}"/>
    <cellStyle name="20% - Accent2 2 4" xfId="579" xr:uid="{00000000-0005-0000-0000-0000DF000000}"/>
    <cellStyle name="20% - Accent2 2 4 2" xfId="2850" xr:uid="{00000000-0005-0000-0000-0000E0000000}"/>
    <cellStyle name="20% - Accent2 2 4 2 2" xfId="7072" xr:uid="{00000000-0005-0000-0000-0000E1000000}"/>
    <cellStyle name="20% - Accent2 2 4 2 2 2" xfId="15522" xr:uid="{A3495CE2-D603-4D6C-A086-D6D21942C12A}"/>
    <cellStyle name="20% - Accent2 2 4 2 3" xfId="11304" xr:uid="{2E9877D5-7C27-411D-886E-3225684C61E8}"/>
    <cellStyle name="20% - Accent2 2 4 3" xfId="4927" xr:uid="{00000000-0005-0000-0000-0000E2000000}"/>
    <cellStyle name="20% - Accent2 2 4 3 2" xfId="13377" xr:uid="{FA19CE7C-440F-4EDC-B20C-26D04FF312A3}"/>
    <cellStyle name="20% - Accent2 2 4 4" xfId="9159" xr:uid="{FB481C77-15A7-4DD1-B11B-AE87DA409F60}"/>
    <cellStyle name="20% - Accent2 2 5" xfId="1032" xr:uid="{00000000-0005-0000-0000-0000E3000000}"/>
    <cellStyle name="20% - Accent2 2 5 2" xfId="3263" xr:uid="{00000000-0005-0000-0000-0000E4000000}"/>
    <cellStyle name="20% - Accent2 2 5 2 2" xfId="7485" xr:uid="{00000000-0005-0000-0000-0000E5000000}"/>
    <cellStyle name="20% - Accent2 2 5 2 2 2" xfId="15935" xr:uid="{1451D541-4DBC-414C-AC28-7382B165DDEB}"/>
    <cellStyle name="20% - Accent2 2 5 2 3" xfId="11717" xr:uid="{75BEC0A2-8713-4C79-90B2-4D03059A9572}"/>
    <cellStyle name="20% - Accent2 2 5 3" xfId="5340" xr:uid="{00000000-0005-0000-0000-0000E6000000}"/>
    <cellStyle name="20% - Accent2 2 5 3 2" xfId="13790" xr:uid="{D6338A1A-BF4F-485B-B28A-7079B05EB105}"/>
    <cellStyle name="20% - Accent2 2 5 4" xfId="9572" xr:uid="{D928643B-7905-4531-9B77-EB1274F54F9B}"/>
    <cellStyle name="20% - Accent2 2 6" xfId="1446" xr:uid="{00000000-0005-0000-0000-0000E7000000}"/>
    <cellStyle name="20% - Accent2 2 6 2" xfId="3676" xr:uid="{00000000-0005-0000-0000-0000E8000000}"/>
    <cellStyle name="20% - Accent2 2 6 2 2" xfId="7898" xr:uid="{00000000-0005-0000-0000-0000E9000000}"/>
    <cellStyle name="20% - Accent2 2 6 2 2 2" xfId="16348" xr:uid="{C6B04595-7740-4191-941F-79DA895DA3C2}"/>
    <cellStyle name="20% - Accent2 2 6 2 3" xfId="12130" xr:uid="{390ED452-5543-490C-B159-9FBE94BD47DE}"/>
    <cellStyle name="20% - Accent2 2 6 3" xfId="5753" xr:uid="{00000000-0005-0000-0000-0000EA000000}"/>
    <cellStyle name="20% - Accent2 2 6 3 2" xfId="14203" xr:uid="{F111E644-F6B9-4515-A45C-E2BFAD1E81BD}"/>
    <cellStyle name="20% - Accent2 2 6 4" xfId="9985" xr:uid="{0A7D4250-DA7E-4D8A-93C5-4B25612D4A4C}"/>
    <cellStyle name="20% - Accent2 2 7" xfId="1860" xr:uid="{00000000-0005-0000-0000-0000EB000000}"/>
    <cellStyle name="20% - Accent2 2 7 2" xfId="4089" xr:uid="{00000000-0005-0000-0000-0000EC000000}"/>
    <cellStyle name="20% - Accent2 2 7 2 2" xfId="8311" xr:uid="{00000000-0005-0000-0000-0000ED000000}"/>
    <cellStyle name="20% - Accent2 2 7 2 2 2" xfId="16761" xr:uid="{F13D8660-B501-4674-9051-032AE8A3D196}"/>
    <cellStyle name="20% - Accent2 2 7 2 3" xfId="12543" xr:uid="{310CDD61-16CB-444F-83B5-14D5E0B150AD}"/>
    <cellStyle name="20% - Accent2 2 7 3" xfId="6166" xr:uid="{00000000-0005-0000-0000-0000EE000000}"/>
    <cellStyle name="20% - Accent2 2 7 3 2" xfId="14616" xr:uid="{C93AA259-3D9B-41AC-9964-EE971594FC0E}"/>
    <cellStyle name="20% - Accent2 2 7 4" xfId="10398" xr:uid="{7484BD5F-5C33-455C-8176-29A6BC638374}"/>
    <cellStyle name="20% - Accent2 2 8" xfId="2273" xr:uid="{00000000-0005-0000-0000-0000EF000000}"/>
    <cellStyle name="20% - Accent2 2 8 2" xfId="6579" xr:uid="{00000000-0005-0000-0000-0000F0000000}"/>
    <cellStyle name="20% - Accent2 2 8 2 2" xfId="15029" xr:uid="{FD02ADBA-2631-48E1-AD93-037FE4E826CC}"/>
    <cellStyle name="20% - Accent2 2 8 3" xfId="10811" xr:uid="{1998D04C-73AE-4488-940C-BFB05A8ECFA9}"/>
    <cellStyle name="20% - Accent2 2 9" xfId="4513" xr:uid="{00000000-0005-0000-0000-0000F1000000}"/>
    <cellStyle name="20% - Accent2 2 9 2" xfId="12963" xr:uid="{609FED27-C147-4586-B474-2AD842761A3B}"/>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5527" xr:uid="{0ABEBAB4-0A35-4BC7-B1D2-B41D9E22D158}"/>
    <cellStyle name="20% - Accent2 3 2 2 2 3" xfId="11309" xr:uid="{3DAE80D7-7F98-4227-A195-BBF531AFAF6C}"/>
    <cellStyle name="20% - Accent2 3 2 2 3" xfId="4932" xr:uid="{00000000-0005-0000-0000-0000F7000000}"/>
    <cellStyle name="20% - Accent2 3 2 2 3 2" xfId="13382" xr:uid="{EB9BAD1B-332A-4D14-AEC1-ED1D7C565D6B}"/>
    <cellStyle name="20% - Accent2 3 2 2 4" xfId="9164" xr:uid="{262AB8EE-3777-43FF-9BDD-C2E59065EACA}"/>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5940" xr:uid="{2D0BBCB9-E108-4418-8510-7FB1D56E9BB6}"/>
    <cellStyle name="20% - Accent2 3 2 3 2 3" xfId="11722" xr:uid="{C0823B00-94E5-435A-963D-8C64BA4E7AC1}"/>
    <cellStyle name="20% - Accent2 3 2 3 3" xfId="5345" xr:uid="{00000000-0005-0000-0000-0000FB000000}"/>
    <cellStyle name="20% - Accent2 3 2 3 3 2" xfId="13795" xr:uid="{8B4F1BB8-E951-4B3D-8454-98EF9CD5DD49}"/>
    <cellStyle name="20% - Accent2 3 2 3 4" xfId="9577" xr:uid="{F6B48B78-38C1-4C9F-B7AD-2E2DFFBD6734}"/>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6353" xr:uid="{4D3DC1F8-A72F-4F76-9ECF-40E6518FA323}"/>
    <cellStyle name="20% - Accent2 3 2 4 2 3" xfId="12135" xr:uid="{FF54EA11-9310-4E4A-BC43-FED0F047B1C4}"/>
    <cellStyle name="20% - Accent2 3 2 4 3" xfId="5758" xr:uid="{00000000-0005-0000-0000-0000FF000000}"/>
    <cellStyle name="20% - Accent2 3 2 4 3 2" xfId="14208" xr:uid="{442AB09F-A4CA-4CBD-9853-4B32B7331A5B}"/>
    <cellStyle name="20% - Accent2 3 2 4 4" xfId="9990" xr:uid="{4C215CDE-3DB9-4FEF-907C-DEA4B3EC6634}"/>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6766" xr:uid="{37D686F1-1314-4F10-ADFB-1CC02F6C4B6B}"/>
    <cellStyle name="20% - Accent2 3 2 5 2 3" xfId="12548" xr:uid="{7DEB6D5C-CC08-458F-A3AA-5C50FFB94DFD}"/>
    <cellStyle name="20% - Accent2 3 2 5 3" xfId="6171" xr:uid="{00000000-0005-0000-0000-000003010000}"/>
    <cellStyle name="20% - Accent2 3 2 5 3 2" xfId="14621" xr:uid="{0CD48781-6FAB-447D-B48C-E6AC680BB1BD}"/>
    <cellStyle name="20% - Accent2 3 2 5 4" xfId="10403" xr:uid="{A295BFCC-655D-4575-BDA0-590E8BAB0B93}"/>
    <cellStyle name="20% - Accent2 3 2 6" xfId="2278" xr:uid="{00000000-0005-0000-0000-000004010000}"/>
    <cellStyle name="20% - Accent2 3 2 6 2" xfId="6584" xr:uid="{00000000-0005-0000-0000-000005010000}"/>
    <cellStyle name="20% - Accent2 3 2 6 2 2" xfId="15034" xr:uid="{93062722-5EC5-478C-B35F-39C5EA319841}"/>
    <cellStyle name="20% - Accent2 3 2 6 3" xfId="10816" xr:uid="{68B9A841-0976-4590-B31A-FE67414F983F}"/>
    <cellStyle name="20% - Accent2 3 2 7" xfId="4518" xr:uid="{00000000-0005-0000-0000-000006010000}"/>
    <cellStyle name="20% - Accent2 3 2 7 2" xfId="12968" xr:uid="{209CF2FA-E045-4FCA-A639-858E97623C50}"/>
    <cellStyle name="20% - Accent2 3 2 8" xfId="8750" xr:uid="{069A285D-7B2D-4AE6-9A74-83C8B920188D}"/>
    <cellStyle name="20% - Accent2 3 3" xfId="583" xr:uid="{00000000-0005-0000-0000-000007010000}"/>
    <cellStyle name="20% - Accent2 3 3 2" xfId="2854" xr:uid="{00000000-0005-0000-0000-000008010000}"/>
    <cellStyle name="20% - Accent2 3 3 2 2" xfId="7076" xr:uid="{00000000-0005-0000-0000-000009010000}"/>
    <cellStyle name="20% - Accent2 3 3 2 2 2" xfId="15526" xr:uid="{491DB5F3-4F6C-48A3-9587-386CCF669DAE}"/>
    <cellStyle name="20% - Accent2 3 3 2 3" xfId="11308" xr:uid="{0B7E9782-92B8-44D5-BB1F-EEB6B0EABDCD}"/>
    <cellStyle name="20% - Accent2 3 3 3" xfId="4931" xr:uid="{00000000-0005-0000-0000-00000A010000}"/>
    <cellStyle name="20% - Accent2 3 3 3 2" xfId="13381" xr:uid="{4F739929-BDAD-4EE1-975E-8E5FB7457E10}"/>
    <cellStyle name="20% - Accent2 3 3 4" xfId="9163" xr:uid="{18570D19-47F5-4ECD-AF5A-1DFB51D0B28A}"/>
    <cellStyle name="20% - Accent2 3 4" xfId="1036" xr:uid="{00000000-0005-0000-0000-00000B010000}"/>
    <cellStyle name="20% - Accent2 3 4 2" xfId="3267" xr:uid="{00000000-0005-0000-0000-00000C010000}"/>
    <cellStyle name="20% - Accent2 3 4 2 2" xfId="7489" xr:uid="{00000000-0005-0000-0000-00000D010000}"/>
    <cellStyle name="20% - Accent2 3 4 2 2 2" xfId="15939" xr:uid="{A2420095-FEFA-451D-ACBB-1A6645023E49}"/>
    <cellStyle name="20% - Accent2 3 4 2 3" xfId="11721" xr:uid="{A6AB1B50-E162-4BA2-AB8B-56265573A665}"/>
    <cellStyle name="20% - Accent2 3 4 3" xfId="5344" xr:uid="{00000000-0005-0000-0000-00000E010000}"/>
    <cellStyle name="20% - Accent2 3 4 3 2" xfId="13794" xr:uid="{77ABE35E-4C42-4C1B-B423-B5F96FD6FC69}"/>
    <cellStyle name="20% - Accent2 3 4 4" xfId="9576" xr:uid="{CA6BB163-66AF-4518-A5D8-BE15ED139410}"/>
    <cellStyle name="20% - Accent2 3 5" xfId="1450" xr:uid="{00000000-0005-0000-0000-00000F010000}"/>
    <cellStyle name="20% - Accent2 3 5 2" xfId="3680" xr:uid="{00000000-0005-0000-0000-000010010000}"/>
    <cellStyle name="20% - Accent2 3 5 2 2" xfId="7902" xr:uid="{00000000-0005-0000-0000-000011010000}"/>
    <cellStyle name="20% - Accent2 3 5 2 2 2" xfId="16352" xr:uid="{2EEC995F-EA34-4D1F-A86E-AEC7390DAE11}"/>
    <cellStyle name="20% - Accent2 3 5 2 3" xfId="12134" xr:uid="{46CF9FA4-2025-450C-8418-30B9A7D2792E}"/>
    <cellStyle name="20% - Accent2 3 5 3" xfId="5757" xr:uid="{00000000-0005-0000-0000-000012010000}"/>
    <cellStyle name="20% - Accent2 3 5 3 2" xfId="14207" xr:uid="{FEB8D309-1107-45DC-9B84-27B064F8A3CC}"/>
    <cellStyle name="20% - Accent2 3 5 4" xfId="9989" xr:uid="{DA5357F4-14B5-4F5A-B1F5-59879CA0F15A}"/>
    <cellStyle name="20% - Accent2 3 6" xfId="1864" xr:uid="{00000000-0005-0000-0000-000013010000}"/>
    <cellStyle name="20% - Accent2 3 6 2" xfId="4093" xr:uid="{00000000-0005-0000-0000-000014010000}"/>
    <cellStyle name="20% - Accent2 3 6 2 2" xfId="8315" xr:uid="{00000000-0005-0000-0000-000015010000}"/>
    <cellStyle name="20% - Accent2 3 6 2 2 2" xfId="16765" xr:uid="{F1588416-8FF2-4FD1-9BB2-7442D24A01BE}"/>
    <cellStyle name="20% - Accent2 3 6 2 3" xfId="12547" xr:uid="{4CC7C40D-9F83-4565-8BB7-564C24964AA9}"/>
    <cellStyle name="20% - Accent2 3 6 3" xfId="6170" xr:uid="{00000000-0005-0000-0000-000016010000}"/>
    <cellStyle name="20% - Accent2 3 6 3 2" xfId="14620" xr:uid="{F2AD73F4-5A9C-47E0-A86A-0B752678F543}"/>
    <cellStyle name="20% - Accent2 3 6 4" xfId="10402" xr:uid="{0EF1CDF4-0BD1-49C8-8ADD-88AFFDE19C55}"/>
    <cellStyle name="20% - Accent2 3 7" xfId="2277" xr:uid="{00000000-0005-0000-0000-000017010000}"/>
    <cellStyle name="20% - Accent2 3 7 2" xfId="6583" xr:uid="{00000000-0005-0000-0000-000018010000}"/>
    <cellStyle name="20% - Accent2 3 7 2 2" xfId="15033" xr:uid="{59475924-B63F-4958-9780-6C7445E0B462}"/>
    <cellStyle name="20% - Accent2 3 7 3" xfId="10815" xr:uid="{FAABA702-93BE-4913-9734-44F97A31CCF7}"/>
    <cellStyle name="20% - Accent2 3 8" xfId="4517" xr:uid="{00000000-0005-0000-0000-000019010000}"/>
    <cellStyle name="20% - Accent2 3 8 2" xfId="12967" xr:uid="{B8DACB83-752A-4286-8A7A-3B3BA6BCC985}"/>
    <cellStyle name="20% - Accent2 3 9" xfId="8749" xr:uid="{E62DEF78-372D-4927-9F65-E689C678B29F}"/>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5528" xr:uid="{C12BC5C5-3264-43A6-ABB1-5349EFF680BA}"/>
    <cellStyle name="20% - Accent2 4 2 2 3" xfId="11310" xr:uid="{5141BBCE-7419-4B95-968C-21D2B7FB1CD5}"/>
    <cellStyle name="20% - Accent2 4 2 3" xfId="4933" xr:uid="{00000000-0005-0000-0000-00001E010000}"/>
    <cellStyle name="20% - Accent2 4 2 3 2" xfId="13383" xr:uid="{0A164C40-87D7-4DD4-9746-C6D43E54C3C8}"/>
    <cellStyle name="20% - Accent2 4 2 4" xfId="9165" xr:uid="{91D4DFFD-0F35-406A-94C0-DA15CEE2AAF5}"/>
    <cellStyle name="20% - Accent2 4 3" xfId="1038" xr:uid="{00000000-0005-0000-0000-00001F010000}"/>
    <cellStyle name="20% - Accent2 4 3 2" xfId="3269" xr:uid="{00000000-0005-0000-0000-000020010000}"/>
    <cellStyle name="20% - Accent2 4 3 2 2" xfId="7491" xr:uid="{00000000-0005-0000-0000-000021010000}"/>
    <cellStyle name="20% - Accent2 4 3 2 2 2" xfId="15941" xr:uid="{39CA4CF7-1C0F-4DC0-B699-3C852737606D}"/>
    <cellStyle name="20% - Accent2 4 3 2 3" xfId="11723" xr:uid="{4370B7D1-6C61-4275-8FD4-BFFE7484FAC7}"/>
    <cellStyle name="20% - Accent2 4 3 3" xfId="5346" xr:uid="{00000000-0005-0000-0000-000022010000}"/>
    <cellStyle name="20% - Accent2 4 3 3 2" xfId="13796" xr:uid="{5567F7C5-422E-4069-95D3-84343E55A156}"/>
    <cellStyle name="20% - Accent2 4 3 4" xfId="9578" xr:uid="{78418447-FE16-48FD-AF6E-B4768A277CD2}"/>
    <cellStyle name="20% - Accent2 4 4" xfId="1452" xr:uid="{00000000-0005-0000-0000-000023010000}"/>
    <cellStyle name="20% - Accent2 4 4 2" xfId="3682" xr:uid="{00000000-0005-0000-0000-000024010000}"/>
    <cellStyle name="20% - Accent2 4 4 2 2" xfId="7904" xr:uid="{00000000-0005-0000-0000-000025010000}"/>
    <cellStyle name="20% - Accent2 4 4 2 2 2" xfId="16354" xr:uid="{89E2C68E-6FAE-4632-82B5-72C4E49D51DE}"/>
    <cellStyle name="20% - Accent2 4 4 2 3" xfId="12136" xr:uid="{3841F65B-A2F9-476E-A505-8F612017FF90}"/>
    <cellStyle name="20% - Accent2 4 4 3" xfId="5759" xr:uid="{00000000-0005-0000-0000-000026010000}"/>
    <cellStyle name="20% - Accent2 4 4 3 2" xfId="14209" xr:uid="{CA2BC714-9858-4348-8493-559F333B959D}"/>
    <cellStyle name="20% - Accent2 4 4 4" xfId="9991" xr:uid="{DA904CF1-4371-434F-80F3-7BB661D95341}"/>
    <cellStyle name="20% - Accent2 4 5" xfId="1866" xr:uid="{00000000-0005-0000-0000-000027010000}"/>
    <cellStyle name="20% - Accent2 4 5 2" xfId="4095" xr:uid="{00000000-0005-0000-0000-000028010000}"/>
    <cellStyle name="20% - Accent2 4 5 2 2" xfId="8317" xr:uid="{00000000-0005-0000-0000-000029010000}"/>
    <cellStyle name="20% - Accent2 4 5 2 2 2" xfId="16767" xr:uid="{6125260D-219A-483C-9EC9-DCF8298DCE39}"/>
    <cellStyle name="20% - Accent2 4 5 2 3" xfId="12549" xr:uid="{EDBF831B-9449-4251-A613-FF683A5652D4}"/>
    <cellStyle name="20% - Accent2 4 5 3" xfId="6172" xr:uid="{00000000-0005-0000-0000-00002A010000}"/>
    <cellStyle name="20% - Accent2 4 5 3 2" xfId="14622" xr:uid="{86637635-457A-4910-9A01-E22E3A49120A}"/>
    <cellStyle name="20% - Accent2 4 5 4" xfId="10404" xr:uid="{9F19DE63-F58A-4ACC-9340-B70630361653}"/>
    <cellStyle name="20% - Accent2 4 6" xfId="2279" xr:uid="{00000000-0005-0000-0000-00002B010000}"/>
    <cellStyle name="20% - Accent2 4 6 2" xfId="6585" xr:uid="{00000000-0005-0000-0000-00002C010000}"/>
    <cellStyle name="20% - Accent2 4 6 2 2" xfId="15035" xr:uid="{B8B70780-DE7A-4465-B629-0619FB8F6ECE}"/>
    <cellStyle name="20% - Accent2 4 6 3" xfId="10817" xr:uid="{44A6C90E-A018-4A43-845C-C502AEB7123A}"/>
    <cellStyle name="20% - Accent2 4 7" xfId="4519" xr:uid="{00000000-0005-0000-0000-00002D010000}"/>
    <cellStyle name="20% - Accent2 4 7 2" xfId="12969" xr:uid="{C118B14D-6886-4609-BF9F-BC03061E7D21}"/>
    <cellStyle name="20% - Accent2 4 8" xfId="8751" xr:uid="{3F19682C-135C-4D5D-9C3C-FF23D09E2D31}"/>
    <cellStyle name="20% - Accent2 5" xfId="578" xr:uid="{00000000-0005-0000-0000-00002E010000}"/>
    <cellStyle name="20% - Accent2 5 2" xfId="2849" xr:uid="{00000000-0005-0000-0000-00002F010000}"/>
    <cellStyle name="20% - Accent2 5 2 2" xfId="7071" xr:uid="{00000000-0005-0000-0000-000030010000}"/>
    <cellStyle name="20% - Accent2 5 2 2 2" xfId="15521" xr:uid="{02609402-3BB8-49B6-9349-47F4F4402838}"/>
    <cellStyle name="20% - Accent2 5 2 3" xfId="11303" xr:uid="{DAA106DB-0060-4CAB-89BC-55E1EC652299}"/>
    <cellStyle name="20% - Accent2 5 3" xfId="4926" xr:uid="{00000000-0005-0000-0000-000031010000}"/>
    <cellStyle name="20% - Accent2 5 3 2" xfId="13376" xr:uid="{C247C165-1177-49B5-B264-C4AAB2B91A22}"/>
    <cellStyle name="20% - Accent2 5 4" xfId="9158" xr:uid="{EBACF5FA-0A62-4D0C-9F9B-F332FE7CB3A6}"/>
    <cellStyle name="20% - Accent2 6" xfId="1031" xr:uid="{00000000-0005-0000-0000-000032010000}"/>
    <cellStyle name="20% - Accent2 6 2" xfId="3262" xr:uid="{00000000-0005-0000-0000-000033010000}"/>
    <cellStyle name="20% - Accent2 6 2 2" xfId="7484" xr:uid="{00000000-0005-0000-0000-000034010000}"/>
    <cellStyle name="20% - Accent2 6 2 2 2" xfId="15934" xr:uid="{B4089B1D-A9AA-4774-8E96-F1ED83573B69}"/>
    <cellStyle name="20% - Accent2 6 2 3" xfId="11716" xr:uid="{E4C0BC3C-2704-4352-9D79-EA3DB486C472}"/>
    <cellStyle name="20% - Accent2 6 3" xfId="5339" xr:uid="{00000000-0005-0000-0000-000035010000}"/>
    <cellStyle name="20% - Accent2 6 3 2" xfId="13789" xr:uid="{DB1B433D-64B8-4479-9CA5-3A799684839B}"/>
    <cellStyle name="20% - Accent2 6 4" xfId="9571" xr:uid="{3FA6941C-CF0D-489C-9B5F-09995D535EC7}"/>
    <cellStyle name="20% - Accent2 7" xfId="1445" xr:uid="{00000000-0005-0000-0000-000036010000}"/>
    <cellStyle name="20% - Accent2 7 2" xfId="3675" xr:uid="{00000000-0005-0000-0000-000037010000}"/>
    <cellStyle name="20% - Accent2 7 2 2" xfId="7897" xr:uid="{00000000-0005-0000-0000-000038010000}"/>
    <cellStyle name="20% - Accent2 7 2 2 2" xfId="16347" xr:uid="{98A3341B-91B0-46FD-A3BA-B89ABCD12C14}"/>
    <cellStyle name="20% - Accent2 7 2 3" xfId="12129" xr:uid="{D4171D56-BF6C-4D13-B7BE-C25BCACF91D1}"/>
    <cellStyle name="20% - Accent2 7 3" xfId="5752" xr:uid="{00000000-0005-0000-0000-000039010000}"/>
    <cellStyle name="20% - Accent2 7 3 2" xfId="14202" xr:uid="{38990C16-73B6-4F0C-9EBF-063D47F3653E}"/>
    <cellStyle name="20% - Accent2 7 4" xfId="9984" xr:uid="{A1501468-AEE4-414C-BE0F-6D3889D7B083}"/>
    <cellStyle name="20% - Accent2 8" xfId="1859" xr:uid="{00000000-0005-0000-0000-00003A010000}"/>
    <cellStyle name="20% - Accent2 8 2" xfId="4088" xr:uid="{00000000-0005-0000-0000-00003B010000}"/>
    <cellStyle name="20% - Accent2 8 2 2" xfId="8310" xr:uid="{00000000-0005-0000-0000-00003C010000}"/>
    <cellStyle name="20% - Accent2 8 2 2 2" xfId="16760" xr:uid="{394F278A-7E6E-487C-8791-87D9EF681AAF}"/>
    <cellStyle name="20% - Accent2 8 2 3" xfId="12542" xr:uid="{B045989A-4E9D-4799-AD84-441263D0779A}"/>
    <cellStyle name="20% - Accent2 8 3" xfId="6165" xr:uid="{00000000-0005-0000-0000-00003D010000}"/>
    <cellStyle name="20% - Accent2 8 3 2" xfId="14615" xr:uid="{E74F9C30-9B1C-456C-93BE-30185ED49C60}"/>
    <cellStyle name="20% - Accent2 8 4" xfId="10397" xr:uid="{B6619296-307F-4336-9D74-991FEBB7E8C1}"/>
    <cellStyle name="20% - Accent2 9" xfId="2272" xr:uid="{00000000-0005-0000-0000-00003E010000}"/>
    <cellStyle name="20% - Accent2 9 2" xfId="6578" xr:uid="{00000000-0005-0000-0000-00003F010000}"/>
    <cellStyle name="20% - Accent2 9 2 2" xfId="15028" xr:uid="{CA3CDFDD-202F-4C36-B11B-1B0B191EFA81}"/>
    <cellStyle name="20% - Accent2 9 3" xfId="10810" xr:uid="{9AC40680-E70B-4FD4-9B25-DE80AF9748B5}"/>
    <cellStyle name="20% - Accent3" xfId="17" builtinId="38" customBuiltin="1"/>
    <cellStyle name="20% - Accent3 10" xfId="4520" xr:uid="{00000000-0005-0000-0000-000041010000}"/>
    <cellStyle name="20% - Accent3 10 2" xfId="12970" xr:uid="{9FE7F317-1CF1-44DD-9DB9-A7C7AC5B23DC}"/>
    <cellStyle name="20% - Accent3 11" xfId="8752" xr:uid="{490832B2-8797-4CC2-992E-24566C33F7DD}"/>
    <cellStyle name="20% - Accent3 2" xfId="18" xr:uid="{00000000-0005-0000-0000-000042010000}"/>
    <cellStyle name="20% - Accent3 2 10" xfId="8753" xr:uid="{DF49F913-0860-48FC-B9D3-1A46A69588F3}"/>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5532" xr:uid="{9505F9A7-67EE-4B33-A28E-E75237ECE5ED}"/>
    <cellStyle name="20% - Accent3 2 2 2 2 2 3" xfId="11314" xr:uid="{A52262D3-C9A8-4133-B571-1AC1EEAD1A15}"/>
    <cellStyle name="20% - Accent3 2 2 2 2 3" xfId="4937" xr:uid="{00000000-0005-0000-0000-000048010000}"/>
    <cellStyle name="20% - Accent3 2 2 2 2 3 2" xfId="13387" xr:uid="{390F766D-BA38-4302-8E86-D4A76248EC2A}"/>
    <cellStyle name="20% - Accent3 2 2 2 2 4" xfId="9169" xr:uid="{FB96923F-CE8C-44F9-AE11-5C9A1C3C0534}"/>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5945" xr:uid="{673D40F1-34C6-40E8-9D91-262566595F51}"/>
    <cellStyle name="20% - Accent3 2 2 2 3 2 3" xfId="11727" xr:uid="{9799E6EE-C5BB-4479-9A27-233D1F7012E0}"/>
    <cellStyle name="20% - Accent3 2 2 2 3 3" xfId="5350" xr:uid="{00000000-0005-0000-0000-00004C010000}"/>
    <cellStyle name="20% - Accent3 2 2 2 3 3 2" xfId="13800" xr:uid="{21C0A8C5-1A38-4B00-A7DD-96D51A3458B4}"/>
    <cellStyle name="20% - Accent3 2 2 2 3 4" xfId="9582" xr:uid="{4F7507D2-A760-4BC1-9DDB-4238A8F59E9E}"/>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6358" xr:uid="{D98B6238-34C2-47BD-A7F0-6A325B7D5C79}"/>
    <cellStyle name="20% - Accent3 2 2 2 4 2 3" xfId="12140" xr:uid="{E4A5AE02-7F47-4585-AA56-F9AD54C90998}"/>
    <cellStyle name="20% - Accent3 2 2 2 4 3" xfId="5763" xr:uid="{00000000-0005-0000-0000-000050010000}"/>
    <cellStyle name="20% - Accent3 2 2 2 4 3 2" xfId="14213" xr:uid="{03C6EA6E-C387-46E9-8FD9-A932F6750F9C}"/>
    <cellStyle name="20% - Accent3 2 2 2 4 4" xfId="9995" xr:uid="{23CF760F-BCD5-4E84-B5A6-35952044C572}"/>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6771" xr:uid="{6E173FE9-37CD-4224-A101-CF4E1B992DE8}"/>
    <cellStyle name="20% - Accent3 2 2 2 5 2 3" xfId="12553" xr:uid="{199D46F4-5118-4B50-961B-23E3981B98B4}"/>
    <cellStyle name="20% - Accent3 2 2 2 5 3" xfId="6176" xr:uid="{00000000-0005-0000-0000-000054010000}"/>
    <cellStyle name="20% - Accent3 2 2 2 5 3 2" xfId="14626" xr:uid="{AB484B03-2A82-4D47-BB15-86875E3B18B1}"/>
    <cellStyle name="20% - Accent3 2 2 2 5 4" xfId="10408" xr:uid="{C9F9791F-25CF-41B0-920B-DCE39D61F860}"/>
    <cellStyle name="20% - Accent3 2 2 2 6" xfId="2283" xr:uid="{00000000-0005-0000-0000-000055010000}"/>
    <cellStyle name="20% - Accent3 2 2 2 6 2" xfId="6589" xr:uid="{00000000-0005-0000-0000-000056010000}"/>
    <cellStyle name="20% - Accent3 2 2 2 6 2 2" xfId="15039" xr:uid="{B725C117-1DE9-4FE9-95F8-561A8C00210B}"/>
    <cellStyle name="20% - Accent3 2 2 2 6 3" xfId="10821" xr:uid="{12BDF4CD-E599-4180-8BC8-8C2D732502BC}"/>
    <cellStyle name="20% - Accent3 2 2 2 7" xfId="4523" xr:uid="{00000000-0005-0000-0000-000057010000}"/>
    <cellStyle name="20% - Accent3 2 2 2 7 2" xfId="12973" xr:uid="{91119081-66DD-4B22-9B5D-52C294DAB842}"/>
    <cellStyle name="20% - Accent3 2 2 2 8" xfId="8755" xr:uid="{114BDC8E-D469-49AA-9502-BFEE93F98F3C}"/>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5531" xr:uid="{83807DEC-5B28-488B-9125-787DB8A97B09}"/>
    <cellStyle name="20% - Accent3 2 2 3 2 3" xfId="11313" xr:uid="{DCE827A6-0254-493D-BCF5-B70610130E71}"/>
    <cellStyle name="20% - Accent3 2 2 3 3" xfId="4936" xr:uid="{00000000-0005-0000-0000-00005B010000}"/>
    <cellStyle name="20% - Accent3 2 2 3 3 2" xfId="13386" xr:uid="{239A722C-C375-4A05-8BFE-B4BBFCB13AE3}"/>
    <cellStyle name="20% - Accent3 2 2 3 4" xfId="9168" xr:uid="{1FF57BBE-D6A5-4B23-BE04-FB9BEC52D7F5}"/>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5944" xr:uid="{94BE0A6F-AED0-4981-BE76-88915FFFA3C8}"/>
    <cellStyle name="20% - Accent3 2 2 4 2 3" xfId="11726" xr:uid="{9B45D1F7-23D1-481F-BCEF-98E251E6B1C4}"/>
    <cellStyle name="20% - Accent3 2 2 4 3" xfId="5349" xr:uid="{00000000-0005-0000-0000-00005F010000}"/>
    <cellStyle name="20% - Accent3 2 2 4 3 2" xfId="13799" xr:uid="{8FA6F5A3-AC19-45E8-991F-F6476725510B}"/>
    <cellStyle name="20% - Accent3 2 2 4 4" xfId="9581" xr:uid="{F150E27D-38D4-42B8-89EC-5B96DEBD8A73}"/>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6357" xr:uid="{B4E8DBCF-517C-4D72-BC98-FBBE6A2C59CD}"/>
    <cellStyle name="20% - Accent3 2 2 5 2 3" xfId="12139" xr:uid="{4D3CC4CE-EBDE-455C-872B-ADDB19CB0370}"/>
    <cellStyle name="20% - Accent3 2 2 5 3" xfId="5762" xr:uid="{00000000-0005-0000-0000-000063010000}"/>
    <cellStyle name="20% - Accent3 2 2 5 3 2" xfId="14212" xr:uid="{5E6067AE-84F9-4D6D-A52F-070AD62C767E}"/>
    <cellStyle name="20% - Accent3 2 2 5 4" xfId="9994" xr:uid="{045C2CF1-D32A-4710-9214-1C17E324D249}"/>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6770" xr:uid="{B6433416-0DE0-42B9-9DB8-43AC755EF78C}"/>
    <cellStyle name="20% - Accent3 2 2 6 2 3" xfId="12552" xr:uid="{06325246-4A38-41A6-9B64-63CEC8DDD758}"/>
    <cellStyle name="20% - Accent3 2 2 6 3" xfId="6175" xr:uid="{00000000-0005-0000-0000-000067010000}"/>
    <cellStyle name="20% - Accent3 2 2 6 3 2" xfId="14625" xr:uid="{20346C1A-949E-4F3D-9CE0-265B86CF1B1D}"/>
    <cellStyle name="20% - Accent3 2 2 6 4" xfId="10407" xr:uid="{533974D1-8E28-4486-9CB3-46DE6DA61757}"/>
    <cellStyle name="20% - Accent3 2 2 7" xfId="2282" xr:uid="{00000000-0005-0000-0000-000068010000}"/>
    <cellStyle name="20% - Accent3 2 2 7 2" xfId="6588" xr:uid="{00000000-0005-0000-0000-000069010000}"/>
    <cellStyle name="20% - Accent3 2 2 7 2 2" xfId="15038" xr:uid="{E867A604-0712-4FCC-9030-5EDBAC8B9385}"/>
    <cellStyle name="20% - Accent3 2 2 7 3" xfId="10820" xr:uid="{87BD0EDF-1BB0-4C1E-B085-F6FD0A1180D1}"/>
    <cellStyle name="20% - Accent3 2 2 8" xfId="4522" xr:uid="{00000000-0005-0000-0000-00006A010000}"/>
    <cellStyle name="20% - Accent3 2 2 8 2" xfId="12972" xr:uid="{7A23E2D7-37A3-439F-BD90-6478DC74A974}"/>
    <cellStyle name="20% - Accent3 2 2 9" xfId="8754" xr:uid="{39EB4595-F8BE-4DAC-BBED-21B7896F49FD}"/>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5533" xr:uid="{FDF2EC64-E2C6-45EC-A6D2-46FDA36F2D37}"/>
    <cellStyle name="20% - Accent3 2 3 2 2 3" xfId="11315" xr:uid="{1F2AB950-74D4-4D95-BD4A-574A9E3563DA}"/>
    <cellStyle name="20% - Accent3 2 3 2 3" xfId="4938" xr:uid="{00000000-0005-0000-0000-00006F010000}"/>
    <cellStyle name="20% - Accent3 2 3 2 3 2" xfId="13388" xr:uid="{01E561D5-ECF8-4695-95EE-01CD004F3B90}"/>
    <cellStyle name="20% - Accent3 2 3 2 4" xfId="9170" xr:uid="{E2CBD532-BD55-48F8-80D6-01D8959C1AFD}"/>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5946" xr:uid="{E1DC7C8B-1017-44F0-891C-380E72D1B176}"/>
    <cellStyle name="20% - Accent3 2 3 3 2 3" xfId="11728" xr:uid="{B7FDC84D-F61A-4334-AE71-5F4F4745A730}"/>
    <cellStyle name="20% - Accent3 2 3 3 3" xfId="5351" xr:uid="{00000000-0005-0000-0000-000073010000}"/>
    <cellStyle name="20% - Accent3 2 3 3 3 2" xfId="13801" xr:uid="{83A53809-29B2-4A61-B6A4-AA73484E861D}"/>
    <cellStyle name="20% - Accent3 2 3 3 4" xfId="9583" xr:uid="{F25B3968-3FF9-43AD-9A08-063CA298DD3E}"/>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6359" xr:uid="{E3BEA286-A103-400E-AE5B-9B94B29A3ABE}"/>
    <cellStyle name="20% - Accent3 2 3 4 2 3" xfId="12141" xr:uid="{436F0F5F-AEAB-4186-8802-E8F78EB349AD}"/>
    <cellStyle name="20% - Accent3 2 3 4 3" xfId="5764" xr:uid="{00000000-0005-0000-0000-000077010000}"/>
    <cellStyle name="20% - Accent3 2 3 4 3 2" xfId="14214" xr:uid="{2E6B172A-4DCE-4DEA-B173-AE0BBC37E74C}"/>
    <cellStyle name="20% - Accent3 2 3 4 4" xfId="9996" xr:uid="{E7913242-D983-442F-9296-ACE8285510AF}"/>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6772" xr:uid="{71B22EE5-0DA9-464F-ADC4-F593909107FE}"/>
    <cellStyle name="20% - Accent3 2 3 5 2 3" xfId="12554" xr:uid="{172AC4AB-03AC-441F-958B-70B837FBD434}"/>
    <cellStyle name="20% - Accent3 2 3 5 3" xfId="6177" xr:uid="{00000000-0005-0000-0000-00007B010000}"/>
    <cellStyle name="20% - Accent3 2 3 5 3 2" xfId="14627" xr:uid="{6948C5F5-0E3D-4D23-BE78-FAF59FD1EA31}"/>
    <cellStyle name="20% - Accent3 2 3 5 4" xfId="10409" xr:uid="{921864B1-B22B-45D4-A8B6-2703C98CCD91}"/>
    <cellStyle name="20% - Accent3 2 3 6" xfId="2284" xr:uid="{00000000-0005-0000-0000-00007C010000}"/>
    <cellStyle name="20% - Accent3 2 3 6 2" xfId="6590" xr:uid="{00000000-0005-0000-0000-00007D010000}"/>
    <cellStyle name="20% - Accent3 2 3 6 2 2" xfId="15040" xr:uid="{7A77ED41-2246-44D9-9562-4FC825913049}"/>
    <cellStyle name="20% - Accent3 2 3 6 3" xfId="10822" xr:uid="{F077A4DB-D19F-4F97-BEF4-91308A4AD104}"/>
    <cellStyle name="20% - Accent3 2 3 7" xfId="4524" xr:uid="{00000000-0005-0000-0000-00007E010000}"/>
    <cellStyle name="20% - Accent3 2 3 7 2" xfId="12974" xr:uid="{A2F627F4-5D9E-49D1-8CED-100B4EF56C59}"/>
    <cellStyle name="20% - Accent3 2 3 8" xfId="8756" xr:uid="{7D64638F-A8E0-457A-8634-FBC1A4E50A79}"/>
    <cellStyle name="20% - Accent3 2 4" xfId="587" xr:uid="{00000000-0005-0000-0000-00007F010000}"/>
    <cellStyle name="20% - Accent3 2 4 2" xfId="2858" xr:uid="{00000000-0005-0000-0000-000080010000}"/>
    <cellStyle name="20% - Accent3 2 4 2 2" xfId="7080" xr:uid="{00000000-0005-0000-0000-000081010000}"/>
    <cellStyle name="20% - Accent3 2 4 2 2 2" xfId="15530" xr:uid="{5BCADE92-9C68-4825-BAED-0C0C50DD080A}"/>
    <cellStyle name="20% - Accent3 2 4 2 3" xfId="11312" xr:uid="{81B97862-9A23-453A-83DE-58C74989992C}"/>
    <cellStyle name="20% - Accent3 2 4 3" xfId="4935" xr:uid="{00000000-0005-0000-0000-000082010000}"/>
    <cellStyle name="20% - Accent3 2 4 3 2" xfId="13385" xr:uid="{4D9EC026-040D-4AF9-A357-1292C9B1A753}"/>
    <cellStyle name="20% - Accent3 2 4 4" xfId="9167" xr:uid="{0AF6B348-F8EA-4623-ABA3-F3F254A370E3}"/>
    <cellStyle name="20% - Accent3 2 5" xfId="1040" xr:uid="{00000000-0005-0000-0000-000083010000}"/>
    <cellStyle name="20% - Accent3 2 5 2" xfId="3271" xr:uid="{00000000-0005-0000-0000-000084010000}"/>
    <cellStyle name="20% - Accent3 2 5 2 2" xfId="7493" xr:uid="{00000000-0005-0000-0000-000085010000}"/>
    <cellStyle name="20% - Accent3 2 5 2 2 2" xfId="15943" xr:uid="{6FD55544-6435-4751-8277-A5B7BACE3C7B}"/>
    <cellStyle name="20% - Accent3 2 5 2 3" xfId="11725" xr:uid="{4AE9F2B9-0241-475D-BAF8-DE2E802E8574}"/>
    <cellStyle name="20% - Accent3 2 5 3" xfId="5348" xr:uid="{00000000-0005-0000-0000-000086010000}"/>
    <cellStyle name="20% - Accent3 2 5 3 2" xfId="13798" xr:uid="{FF5D1F8D-2A18-4B59-90A1-05DF0F955159}"/>
    <cellStyle name="20% - Accent3 2 5 4" xfId="9580" xr:uid="{601F36D8-28DB-437D-BE13-D89F01433986}"/>
    <cellStyle name="20% - Accent3 2 6" xfId="1454" xr:uid="{00000000-0005-0000-0000-000087010000}"/>
    <cellStyle name="20% - Accent3 2 6 2" xfId="3684" xr:uid="{00000000-0005-0000-0000-000088010000}"/>
    <cellStyle name="20% - Accent3 2 6 2 2" xfId="7906" xr:uid="{00000000-0005-0000-0000-000089010000}"/>
    <cellStyle name="20% - Accent3 2 6 2 2 2" xfId="16356" xr:uid="{703C3B8E-2F1E-49F3-ADB7-2062F9384577}"/>
    <cellStyle name="20% - Accent3 2 6 2 3" xfId="12138" xr:uid="{75087DF4-590C-41E8-A3D9-12260DE38CEB}"/>
    <cellStyle name="20% - Accent3 2 6 3" xfId="5761" xr:uid="{00000000-0005-0000-0000-00008A010000}"/>
    <cellStyle name="20% - Accent3 2 6 3 2" xfId="14211" xr:uid="{54F89AC1-9E29-4B25-A96B-760734F25D50}"/>
    <cellStyle name="20% - Accent3 2 6 4" xfId="9993" xr:uid="{FF26595F-4B5E-40EA-9B37-7F4C367C34A5}"/>
    <cellStyle name="20% - Accent3 2 7" xfId="1868" xr:uid="{00000000-0005-0000-0000-00008B010000}"/>
    <cellStyle name="20% - Accent3 2 7 2" xfId="4097" xr:uid="{00000000-0005-0000-0000-00008C010000}"/>
    <cellStyle name="20% - Accent3 2 7 2 2" xfId="8319" xr:uid="{00000000-0005-0000-0000-00008D010000}"/>
    <cellStyle name="20% - Accent3 2 7 2 2 2" xfId="16769" xr:uid="{DF77B7C9-9AEA-4EC4-8E01-DDE5FA9818EB}"/>
    <cellStyle name="20% - Accent3 2 7 2 3" xfId="12551" xr:uid="{12FEB87C-BCF2-4898-88C7-DBE113C72D2E}"/>
    <cellStyle name="20% - Accent3 2 7 3" xfId="6174" xr:uid="{00000000-0005-0000-0000-00008E010000}"/>
    <cellStyle name="20% - Accent3 2 7 3 2" xfId="14624" xr:uid="{4446A8CE-0F3D-4174-B968-9A849A293076}"/>
    <cellStyle name="20% - Accent3 2 7 4" xfId="10406" xr:uid="{9A208C75-FFD6-4E81-82D5-320664E8785A}"/>
    <cellStyle name="20% - Accent3 2 8" xfId="2281" xr:uid="{00000000-0005-0000-0000-00008F010000}"/>
    <cellStyle name="20% - Accent3 2 8 2" xfId="6587" xr:uid="{00000000-0005-0000-0000-000090010000}"/>
    <cellStyle name="20% - Accent3 2 8 2 2" xfId="15037" xr:uid="{10A1B946-5FCD-4887-8DB8-F37B1ABC7AFF}"/>
    <cellStyle name="20% - Accent3 2 8 3" xfId="10819" xr:uid="{7CF10DA9-89D6-42E1-AD7B-B512937DED6D}"/>
    <cellStyle name="20% - Accent3 2 9" xfId="4521" xr:uid="{00000000-0005-0000-0000-000091010000}"/>
    <cellStyle name="20% - Accent3 2 9 2" xfId="12971" xr:uid="{DB389FA0-3930-41ED-84B2-164B9D4F61F5}"/>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5535" xr:uid="{46E0CD89-8746-498A-8A2C-A0BB5A60CEB3}"/>
    <cellStyle name="20% - Accent3 3 2 2 2 3" xfId="11317" xr:uid="{DB9CE446-67A9-4958-A0EF-1D19EE458983}"/>
    <cellStyle name="20% - Accent3 3 2 2 3" xfId="4940" xr:uid="{00000000-0005-0000-0000-000097010000}"/>
    <cellStyle name="20% - Accent3 3 2 2 3 2" xfId="13390" xr:uid="{190169F8-F245-4DBC-B335-9E3BF7BFF2E1}"/>
    <cellStyle name="20% - Accent3 3 2 2 4" xfId="9172" xr:uid="{F6E2AB71-F776-4D7E-B74D-E52043E1D4E9}"/>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5948" xr:uid="{202AA12F-C9B3-4AC0-9823-DAF344EEBE8E}"/>
    <cellStyle name="20% - Accent3 3 2 3 2 3" xfId="11730" xr:uid="{A531C6F1-213E-4C5A-A097-0B41984FAB33}"/>
    <cellStyle name="20% - Accent3 3 2 3 3" xfId="5353" xr:uid="{00000000-0005-0000-0000-00009B010000}"/>
    <cellStyle name="20% - Accent3 3 2 3 3 2" xfId="13803" xr:uid="{FE8A7652-BE3B-4F17-8752-98DF467527BF}"/>
    <cellStyle name="20% - Accent3 3 2 3 4" xfId="9585" xr:uid="{D4B86B20-EDF0-44DB-92E7-22C0E43FAD4D}"/>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6361" xr:uid="{ED714D2F-19A3-4B3C-825C-AB5F3A4B6E0D}"/>
    <cellStyle name="20% - Accent3 3 2 4 2 3" xfId="12143" xr:uid="{F250C945-22AC-485D-A2A1-EC0BE926E7EE}"/>
    <cellStyle name="20% - Accent3 3 2 4 3" xfId="5766" xr:uid="{00000000-0005-0000-0000-00009F010000}"/>
    <cellStyle name="20% - Accent3 3 2 4 3 2" xfId="14216" xr:uid="{50DDE43A-6398-4835-92E8-15FA92C98FB2}"/>
    <cellStyle name="20% - Accent3 3 2 4 4" xfId="9998" xr:uid="{7C2BC003-1559-4FB4-A245-1D9A41FB49D9}"/>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6774" xr:uid="{2E52A3AC-7BD7-46BC-A856-4737E77FA07D}"/>
    <cellStyle name="20% - Accent3 3 2 5 2 3" xfId="12556" xr:uid="{5590E3C6-0536-4B28-B39F-D040BCF55AB9}"/>
    <cellStyle name="20% - Accent3 3 2 5 3" xfId="6179" xr:uid="{00000000-0005-0000-0000-0000A3010000}"/>
    <cellStyle name="20% - Accent3 3 2 5 3 2" xfId="14629" xr:uid="{50ACB177-4C63-4C82-80FC-79B32BBA6B72}"/>
    <cellStyle name="20% - Accent3 3 2 5 4" xfId="10411" xr:uid="{E42AD7C0-234E-4466-8828-6F323F60B267}"/>
    <cellStyle name="20% - Accent3 3 2 6" xfId="2286" xr:uid="{00000000-0005-0000-0000-0000A4010000}"/>
    <cellStyle name="20% - Accent3 3 2 6 2" xfId="6592" xr:uid="{00000000-0005-0000-0000-0000A5010000}"/>
    <cellStyle name="20% - Accent3 3 2 6 2 2" xfId="15042" xr:uid="{56848C68-896C-4A21-BCD1-756AA5154164}"/>
    <cellStyle name="20% - Accent3 3 2 6 3" xfId="10824" xr:uid="{1FD90E4F-212F-4709-BB76-D41D875BCE83}"/>
    <cellStyle name="20% - Accent3 3 2 7" xfId="4526" xr:uid="{00000000-0005-0000-0000-0000A6010000}"/>
    <cellStyle name="20% - Accent3 3 2 7 2" xfId="12976" xr:uid="{622B6ED3-D6FE-4673-B139-28C559020292}"/>
    <cellStyle name="20% - Accent3 3 2 8" xfId="8758" xr:uid="{10975E59-D94D-4D7F-BC93-318798A78275}"/>
    <cellStyle name="20% - Accent3 3 3" xfId="591" xr:uid="{00000000-0005-0000-0000-0000A7010000}"/>
    <cellStyle name="20% - Accent3 3 3 2" xfId="2862" xr:uid="{00000000-0005-0000-0000-0000A8010000}"/>
    <cellStyle name="20% - Accent3 3 3 2 2" xfId="7084" xr:uid="{00000000-0005-0000-0000-0000A9010000}"/>
    <cellStyle name="20% - Accent3 3 3 2 2 2" xfId="15534" xr:uid="{B927922D-79FA-45AC-89AF-3A84FDDC38A2}"/>
    <cellStyle name="20% - Accent3 3 3 2 3" xfId="11316" xr:uid="{DD033DC3-11B0-40FC-8964-DD8C8A948D4B}"/>
    <cellStyle name="20% - Accent3 3 3 3" xfId="4939" xr:uid="{00000000-0005-0000-0000-0000AA010000}"/>
    <cellStyle name="20% - Accent3 3 3 3 2" xfId="13389" xr:uid="{45DBCC5C-A2D6-4D78-9A50-3AF6DCD968B4}"/>
    <cellStyle name="20% - Accent3 3 3 4" xfId="9171" xr:uid="{4C4D64AF-3207-4E46-BF11-E698897F5D48}"/>
    <cellStyle name="20% - Accent3 3 4" xfId="1044" xr:uid="{00000000-0005-0000-0000-0000AB010000}"/>
    <cellStyle name="20% - Accent3 3 4 2" xfId="3275" xr:uid="{00000000-0005-0000-0000-0000AC010000}"/>
    <cellStyle name="20% - Accent3 3 4 2 2" xfId="7497" xr:uid="{00000000-0005-0000-0000-0000AD010000}"/>
    <cellStyle name="20% - Accent3 3 4 2 2 2" xfId="15947" xr:uid="{42DCA9E7-92FE-4BD9-89FA-553BE486C4D3}"/>
    <cellStyle name="20% - Accent3 3 4 2 3" xfId="11729" xr:uid="{BDD01949-4072-49C8-B172-DB4F6A4393CA}"/>
    <cellStyle name="20% - Accent3 3 4 3" xfId="5352" xr:uid="{00000000-0005-0000-0000-0000AE010000}"/>
    <cellStyle name="20% - Accent3 3 4 3 2" xfId="13802" xr:uid="{94063E90-0076-4086-9A24-BCCC0C67FEE6}"/>
    <cellStyle name="20% - Accent3 3 4 4" xfId="9584" xr:uid="{62B032B1-FCBB-464C-A6A7-24CCAB2DBF36}"/>
    <cellStyle name="20% - Accent3 3 5" xfId="1458" xr:uid="{00000000-0005-0000-0000-0000AF010000}"/>
    <cellStyle name="20% - Accent3 3 5 2" xfId="3688" xr:uid="{00000000-0005-0000-0000-0000B0010000}"/>
    <cellStyle name="20% - Accent3 3 5 2 2" xfId="7910" xr:uid="{00000000-0005-0000-0000-0000B1010000}"/>
    <cellStyle name="20% - Accent3 3 5 2 2 2" xfId="16360" xr:uid="{52B339FF-288A-43F9-A933-A71448C4F441}"/>
    <cellStyle name="20% - Accent3 3 5 2 3" xfId="12142" xr:uid="{DE1B5F49-9A76-4822-9383-F28CE5B27403}"/>
    <cellStyle name="20% - Accent3 3 5 3" xfId="5765" xr:uid="{00000000-0005-0000-0000-0000B2010000}"/>
    <cellStyle name="20% - Accent3 3 5 3 2" xfId="14215" xr:uid="{4E1F8F66-BDC3-4EB4-AF34-9000A6244746}"/>
    <cellStyle name="20% - Accent3 3 5 4" xfId="9997" xr:uid="{A0EB3051-DC1E-46D0-9450-3045C58D3A5B}"/>
    <cellStyle name="20% - Accent3 3 6" xfId="1872" xr:uid="{00000000-0005-0000-0000-0000B3010000}"/>
    <cellStyle name="20% - Accent3 3 6 2" xfId="4101" xr:uid="{00000000-0005-0000-0000-0000B4010000}"/>
    <cellStyle name="20% - Accent3 3 6 2 2" xfId="8323" xr:uid="{00000000-0005-0000-0000-0000B5010000}"/>
    <cellStyle name="20% - Accent3 3 6 2 2 2" xfId="16773" xr:uid="{052B3093-E27C-4714-AA18-168730EBED52}"/>
    <cellStyle name="20% - Accent3 3 6 2 3" xfId="12555" xr:uid="{0CD741F3-311B-496C-99A7-EC1E83B62F21}"/>
    <cellStyle name="20% - Accent3 3 6 3" xfId="6178" xr:uid="{00000000-0005-0000-0000-0000B6010000}"/>
    <cellStyle name="20% - Accent3 3 6 3 2" xfId="14628" xr:uid="{7DEA1BB6-C11F-41DF-9A88-E5EFA479E728}"/>
    <cellStyle name="20% - Accent3 3 6 4" xfId="10410" xr:uid="{959EB388-1544-4A91-B019-2EF12EF83444}"/>
    <cellStyle name="20% - Accent3 3 7" xfId="2285" xr:uid="{00000000-0005-0000-0000-0000B7010000}"/>
    <cellStyle name="20% - Accent3 3 7 2" xfId="6591" xr:uid="{00000000-0005-0000-0000-0000B8010000}"/>
    <cellStyle name="20% - Accent3 3 7 2 2" xfId="15041" xr:uid="{C4FA5FD4-3E94-48F6-8763-667915DF6333}"/>
    <cellStyle name="20% - Accent3 3 7 3" xfId="10823" xr:uid="{6A641E97-221C-4780-8CEC-FFFD0AB9FC70}"/>
    <cellStyle name="20% - Accent3 3 8" xfId="4525" xr:uid="{00000000-0005-0000-0000-0000B9010000}"/>
    <cellStyle name="20% - Accent3 3 8 2" xfId="12975" xr:uid="{C93F3210-B21C-4BEA-B2B1-FE8E90E3C289}"/>
    <cellStyle name="20% - Accent3 3 9" xfId="8757" xr:uid="{16D1C649-1715-423D-B09E-8778909D1BEB}"/>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5536" xr:uid="{A12BFDB8-C783-4DAF-9E31-E888CE7A23D8}"/>
    <cellStyle name="20% - Accent3 4 2 2 3" xfId="11318" xr:uid="{59CAC506-18DF-48AA-B7C5-63088BD9A259}"/>
    <cellStyle name="20% - Accent3 4 2 3" xfId="4941" xr:uid="{00000000-0005-0000-0000-0000BE010000}"/>
    <cellStyle name="20% - Accent3 4 2 3 2" xfId="13391" xr:uid="{D78F5AC0-D0E3-4D03-81E7-E3AC85E6B748}"/>
    <cellStyle name="20% - Accent3 4 2 4" xfId="9173" xr:uid="{9318AD96-3FA3-45F9-9798-C02F02EA4FE8}"/>
    <cellStyle name="20% - Accent3 4 3" xfId="1046" xr:uid="{00000000-0005-0000-0000-0000BF010000}"/>
    <cellStyle name="20% - Accent3 4 3 2" xfId="3277" xr:uid="{00000000-0005-0000-0000-0000C0010000}"/>
    <cellStyle name="20% - Accent3 4 3 2 2" xfId="7499" xr:uid="{00000000-0005-0000-0000-0000C1010000}"/>
    <cellStyle name="20% - Accent3 4 3 2 2 2" xfId="15949" xr:uid="{4730B7E7-9430-4A34-996C-C7B2754442BA}"/>
    <cellStyle name="20% - Accent3 4 3 2 3" xfId="11731" xr:uid="{126720F0-3A6E-40B6-A11E-E84C92F2D75C}"/>
    <cellStyle name="20% - Accent3 4 3 3" xfId="5354" xr:uid="{00000000-0005-0000-0000-0000C2010000}"/>
    <cellStyle name="20% - Accent3 4 3 3 2" xfId="13804" xr:uid="{9758F527-2D38-4A27-BACC-132B32C2B039}"/>
    <cellStyle name="20% - Accent3 4 3 4" xfId="9586" xr:uid="{CC7F915F-C8A6-42BE-8F01-F105E418E1DA}"/>
    <cellStyle name="20% - Accent3 4 4" xfId="1460" xr:uid="{00000000-0005-0000-0000-0000C3010000}"/>
    <cellStyle name="20% - Accent3 4 4 2" xfId="3690" xr:uid="{00000000-0005-0000-0000-0000C4010000}"/>
    <cellStyle name="20% - Accent3 4 4 2 2" xfId="7912" xr:uid="{00000000-0005-0000-0000-0000C5010000}"/>
    <cellStyle name="20% - Accent3 4 4 2 2 2" xfId="16362" xr:uid="{EA255A3B-3B43-4D41-8109-FD8EEEC0CEFB}"/>
    <cellStyle name="20% - Accent3 4 4 2 3" xfId="12144" xr:uid="{BA40EC80-AF4F-4A61-B256-6AC1928637F3}"/>
    <cellStyle name="20% - Accent3 4 4 3" xfId="5767" xr:uid="{00000000-0005-0000-0000-0000C6010000}"/>
    <cellStyle name="20% - Accent3 4 4 3 2" xfId="14217" xr:uid="{9311C2BC-B196-4775-882A-CE631776C5FD}"/>
    <cellStyle name="20% - Accent3 4 4 4" xfId="9999" xr:uid="{DEC95BDD-1D88-490D-BA66-3BD95B6E7868}"/>
    <cellStyle name="20% - Accent3 4 5" xfId="1874" xr:uid="{00000000-0005-0000-0000-0000C7010000}"/>
    <cellStyle name="20% - Accent3 4 5 2" xfId="4103" xr:uid="{00000000-0005-0000-0000-0000C8010000}"/>
    <cellStyle name="20% - Accent3 4 5 2 2" xfId="8325" xr:uid="{00000000-0005-0000-0000-0000C9010000}"/>
    <cellStyle name="20% - Accent3 4 5 2 2 2" xfId="16775" xr:uid="{6D38E1EE-C591-4F61-805F-E3F008908716}"/>
    <cellStyle name="20% - Accent3 4 5 2 3" xfId="12557" xr:uid="{E5FC5EE2-05E9-49CA-8BE2-6B9281A2BA96}"/>
    <cellStyle name="20% - Accent3 4 5 3" xfId="6180" xr:uid="{00000000-0005-0000-0000-0000CA010000}"/>
    <cellStyle name="20% - Accent3 4 5 3 2" xfId="14630" xr:uid="{63F0D641-865C-4A9C-947F-41CFAB70B740}"/>
    <cellStyle name="20% - Accent3 4 5 4" xfId="10412" xr:uid="{2C097976-C96C-4ECB-9E6C-CD63B40F666C}"/>
    <cellStyle name="20% - Accent3 4 6" xfId="2287" xr:uid="{00000000-0005-0000-0000-0000CB010000}"/>
    <cellStyle name="20% - Accent3 4 6 2" xfId="6593" xr:uid="{00000000-0005-0000-0000-0000CC010000}"/>
    <cellStyle name="20% - Accent3 4 6 2 2" xfId="15043" xr:uid="{3792C670-DC73-4607-AEF2-D99EAB69B602}"/>
    <cellStyle name="20% - Accent3 4 6 3" xfId="10825" xr:uid="{6E9B121D-CDEC-4933-87B1-B27E5569DEF7}"/>
    <cellStyle name="20% - Accent3 4 7" xfId="4527" xr:uid="{00000000-0005-0000-0000-0000CD010000}"/>
    <cellStyle name="20% - Accent3 4 7 2" xfId="12977" xr:uid="{642CD8C3-A3BE-4712-A15F-7C01641577D6}"/>
    <cellStyle name="20% - Accent3 4 8" xfId="8759" xr:uid="{6DFE5D0F-6C5C-4C72-B77E-A75829B0AA93}"/>
    <cellStyle name="20% - Accent3 5" xfId="586" xr:uid="{00000000-0005-0000-0000-0000CE010000}"/>
    <cellStyle name="20% - Accent3 5 2" xfId="2857" xr:uid="{00000000-0005-0000-0000-0000CF010000}"/>
    <cellStyle name="20% - Accent3 5 2 2" xfId="7079" xr:uid="{00000000-0005-0000-0000-0000D0010000}"/>
    <cellStyle name="20% - Accent3 5 2 2 2" xfId="15529" xr:uid="{94BAF432-4716-4A5F-A8F5-D1479B0B6064}"/>
    <cellStyle name="20% - Accent3 5 2 3" xfId="11311" xr:uid="{6082D8A6-CEC8-49AB-AD5C-008EE45B6D84}"/>
    <cellStyle name="20% - Accent3 5 3" xfId="4934" xr:uid="{00000000-0005-0000-0000-0000D1010000}"/>
    <cellStyle name="20% - Accent3 5 3 2" xfId="13384" xr:uid="{8D61103B-C20F-4D93-8CA6-12F6EB0371DA}"/>
    <cellStyle name="20% - Accent3 5 4" xfId="9166" xr:uid="{5A1F3786-7453-4549-90FD-EE255A39678A}"/>
    <cellStyle name="20% - Accent3 6" xfId="1039" xr:uid="{00000000-0005-0000-0000-0000D2010000}"/>
    <cellStyle name="20% - Accent3 6 2" xfId="3270" xr:uid="{00000000-0005-0000-0000-0000D3010000}"/>
    <cellStyle name="20% - Accent3 6 2 2" xfId="7492" xr:uid="{00000000-0005-0000-0000-0000D4010000}"/>
    <cellStyle name="20% - Accent3 6 2 2 2" xfId="15942" xr:uid="{1BF0D7F8-9618-437B-82A9-3BABAE1C0380}"/>
    <cellStyle name="20% - Accent3 6 2 3" xfId="11724" xr:uid="{CB54C3AF-1BED-4D22-9A61-FA0919E2B81B}"/>
    <cellStyle name="20% - Accent3 6 3" xfId="5347" xr:uid="{00000000-0005-0000-0000-0000D5010000}"/>
    <cellStyle name="20% - Accent3 6 3 2" xfId="13797" xr:uid="{C4F1FFE1-54B1-499D-8543-ADD778B48706}"/>
    <cellStyle name="20% - Accent3 6 4" xfId="9579" xr:uid="{10143A96-3366-412E-921D-1C80E01C0BA0}"/>
    <cellStyle name="20% - Accent3 7" xfId="1453" xr:uid="{00000000-0005-0000-0000-0000D6010000}"/>
    <cellStyle name="20% - Accent3 7 2" xfId="3683" xr:uid="{00000000-0005-0000-0000-0000D7010000}"/>
    <cellStyle name="20% - Accent3 7 2 2" xfId="7905" xr:uid="{00000000-0005-0000-0000-0000D8010000}"/>
    <cellStyle name="20% - Accent3 7 2 2 2" xfId="16355" xr:uid="{FE119AE1-5FBF-4406-901C-03F19B60BFBC}"/>
    <cellStyle name="20% - Accent3 7 2 3" xfId="12137" xr:uid="{50AD9823-E14E-4007-8CAC-DF850006684A}"/>
    <cellStyle name="20% - Accent3 7 3" xfId="5760" xr:uid="{00000000-0005-0000-0000-0000D9010000}"/>
    <cellStyle name="20% - Accent3 7 3 2" xfId="14210" xr:uid="{F1F96EBB-C1E5-49C0-9FD4-D1ED6B33F9A6}"/>
    <cellStyle name="20% - Accent3 7 4" xfId="9992" xr:uid="{AD1FC742-6084-49F5-ADC6-219C46D1F639}"/>
    <cellStyle name="20% - Accent3 8" xfId="1867" xr:uid="{00000000-0005-0000-0000-0000DA010000}"/>
    <cellStyle name="20% - Accent3 8 2" xfId="4096" xr:uid="{00000000-0005-0000-0000-0000DB010000}"/>
    <cellStyle name="20% - Accent3 8 2 2" xfId="8318" xr:uid="{00000000-0005-0000-0000-0000DC010000}"/>
    <cellStyle name="20% - Accent3 8 2 2 2" xfId="16768" xr:uid="{90A4982E-BB4E-4F44-AB51-54D2DBA8B4EE}"/>
    <cellStyle name="20% - Accent3 8 2 3" xfId="12550" xr:uid="{46D01ACB-6D3F-48DE-A12E-0B2781F5B9AD}"/>
    <cellStyle name="20% - Accent3 8 3" xfId="6173" xr:uid="{00000000-0005-0000-0000-0000DD010000}"/>
    <cellStyle name="20% - Accent3 8 3 2" xfId="14623" xr:uid="{B66FD7FA-AF87-4567-AC3C-FB926BCE45A3}"/>
    <cellStyle name="20% - Accent3 8 4" xfId="10405" xr:uid="{F26FC096-66D0-427A-A8ED-1782C0408170}"/>
    <cellStyle name="20% - Accent3 9" xfId="2280" xr:uid="{00000000-0005-0000-0000-0000DE010000}"/>
    <cellStyle name="20% - Accent3 9 2" xfId="6586" xr:uid="{00000000-0005-0000-0000-0000DF010000}"/>
    <cellStyle name="20% - Accent3 9 2 2" xfId="15036" xr:uid="{77E0CDB1-0FB8-47E2-898A-3335E9C14186}"/>
    <cellStyle name="20% - Accent3 9 3" xfId="10818" xr:uid="{EA8A1B14-3A3B-402B-9924-8675C1226381}"/>
    <cellStyle name="20% - Accent4" xfId="25" builtinId="42" customBuiltin="1"/>
    <cellStyle name="20% - Accent4 10" xfId="4528" xr:uid="{00000000-0005-0000-0000-0000E1010000}"/>
    <cellStyle name="20% - Accent4 10 2" xfId="12978" xr:uid="{80E6D80D-3CDD-4DBE-A343-8588A7A78FD2}"/>
    <cellStyle name="20% - Accent4 11" xfId="8760" xr:uid="{544CB7D9-1BA1-48B5-8365-7B3110A5E79A}"/>
    <cellStyle name="20% - Accent4 2" xfId="26" xr:uid="{00000000-0005-0000-0000-0000E2010000}"/>
    <cellStyle name="20% - Accent4 2 10" xfId="8761" xr:uid="{BEF9D7F4-9F1D-4107-9479-3680B18170A4}"/>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5540" xr:uid="{AB68FCC2-C42C-4952-9855-EB120EFE007B}"/>
    <cellStyle name="20% - Accent4 2 2 2 2 2 3" xfId="11322" xr:uid="{6B10333B-F80D-4E0A-ADEE-B89AA7E50D0C}"/>
    <cellStyle name="20% - Accent4 2 2 2 2 3" xfId="4945" xr:uid="{00000000-0005-0000-0000-0000E8010000}"/>
    <cellStyle name="20% - Accent4 2 2 2 2 3 2" xfId="13395" xr:uid="{69E3A67A-6840-47A5-8CF2-5E54374DCD1E}"/>
    <cellStyle name="20% - Accent4 2 2 2 2 4" xfId="9177" xr:uid="{2A3AE2E0-F7A0-4307-8C08-91E47EEDB758}"/>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5953" xr:uid="{75DAA8BC-C2E1-429A-BF18-F42C8BA5CF83}"/>
    <cellStyle name="20% - Accent4 2 2 2 3 2 3" xfId="11735" xr:uid="{CD101DA6-9C3B-44F6-9D6F-0ECF4A8B8EC5}"/>
    <cellStyle name="20% - Accent4 2 2 2 3 3" xfId="5358" xr:uid="{00000000-0005-0000-0000-0000EC010000}"/>
    <cellStyle name="20% - Accent4 2 2 2 3 3 2" xfId="13808" xr:uid="{7B82F037-1A66-4FA1-B218-ED574B0808A6}"/>
    <cellStyle name="20% - Accent4 2 2 2 3 4" xfId="9590" xr:uid="{B8555007-D13B-4A33-8EBE-104ED6DCF07B}"/>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6366" xr:uid="{AE809A8E-ACCF-49C2-84DE-0EE2853AD624}"/>
    <cellStyle name="20% - Accent4 2 2 2 4 2 3" xfId="12148" xr:uid="{A5117886-CCC3-422C-9CAC-3A878E1BA366}"/>
    <cellStyle name="20% - Accent4 2 2 2 4 3" xfId="5771" xr:uid="{00000000-0005-0000-0000-0000F0010000}"/>
    <cellStyle name="20% - Accent4 2 2 2 4 3 2" xfId="14221" xr:uid="{3CF8F34C-354A-411C-A986-A94BDD1380B8}"/>
    <cellStyle name="20% - Accent4 2 2 2 4 4" xfId="10003" xr:uid="{12B462FA-B497-4D85-919A-3FD4086A7A61}"/>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6779" xr:uid="{79497C62-BF04-469E-A5B8-38985DCC930C}"/>
    <cellStyle name="20% - Accent4 2 2 2 5 2 3" xfId="12561" xr:uid="{7F846EF5-ABF1-4382-A4FE-65C6299A83EE}"/>
    <cellStyle name="20% - Accent4 2 2 2 5 3" xfId="6184" xr:uid="{00000000-0005-0000-0000-0000F4010000}"/>
    <cellStyle name="20% - Accent4 2 2 2 5 3 2" xfId="14634" xr:uid="{1083FA46-CF37-49BF-8F67-0BD127B3C586}"/>
    <cellStyle name="20% - Accent4 2 2 2 5 4" xfId="10416" xr:uid="{883FF70C-25AC-450A-9647-840E09D45065}"/>
    <cellStyle name="20% - Accent4 2 2 2 6" xfId="2291" xr:uid="{00000000-0005-0000-0000-0000F5010000}"/>
    <cellStyle name="20% - Accent4 2 2 2 6 2" xfId="6597" xr:uid="{00000000-0005-0000-0000-0000F6010000}"/>
    <cellStyle name="20% - Accent4 2 2 2 6 2 2" xfId="15047" xr:uid="{4660D650-6FBC-4D87-8233-F106253C335B}"/>
    <cellStyle name="20% - Accent4 2 2 2 6 3" xfId="10829" xr:uid="{68AA9F31-1F24-421F-89E5-04F4F8E9BDDF}"/>
    <cellStyle name="20% - Accent4 2 2 2 7" xfId="4531" xr:uid="{00000000-0005-0000-0000-0000F7010000}"/>
    <cellStyle name="20% - Accent4 2 2 2 7 2" xfId="12981" xr:uid="{974E5C96-234B-4B04-BF71-5A6C9FB5E2E9}"/>
    <cellStyle name="20% - Accent4 2 2 2 8" xfId="8763" xr:uid="{90FDDD99-B26B-4905-9695-4F233230A354}"/>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5539" xr:uid="{E20BA960-888C-4D3D-9EDF-3E56713F50E9}"/>
    <cellStyle name="20% - Accent4 2 2 3 2 3" xfId="11321" xr:uid="{A07A07A2-13E3-41D5-BD9C-135085BFA64F}"/>
    <cellStyle name="20% - Accent4 2 2 3 3" xfId="4944" xr:uid="{00000000-0005-0000-0000-0000FB010000}"/>
    <cellStyle name="20% - Accent4 2 2 3 3 2" xfId="13394" xr:uid="{2F0C64EF-1589-44A6-A61B-628E0F25679B}"/>
    <cellStyle name="20% - Accent4 2 2 3 4" xfId="9176" xr:uid="{DE9E79BE-9817-4283-8290-F8C653D82AD3}"/>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5952" xr:uid="{12B02086-DBFC-4FB9-ACCC-C72C1973114F}"/>
    <cellStyle name="20% - Accent4 2 2 4 2 3" xfId="11734" xr:uid="{E991923E-8351-4A81-A2A4-22C1714ED723}"/>
    <cellStyle name="20% - Accent4 2 2 4 3" xfId="5357" xr:uid="{00000000-0005-0000-0000-0000FF010000}"/>
    <cellStyle name="20% - Accent4 2 2 4 3 2" xfId="13807" xr:uid="{EFE60BDE-FD43-4090-B456-F689E1DF4A9E}"/>
    <cellStyle name="20% - Accent4 2 2 4 4" xfId="9589" xr:uid="{A5D1C07E-5119-4075-B549-7A38E3460564}"/>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6365" xr:uid="{6C53666F-92A9-4853-A2BE-AB4D39A3F1BC}"/>
    <cellStyle name="20% - Accent4 2 2 5 2 3" xfId="12147" xr:uid="{B8B381D3-1D4A-4811-859E-AEE68D984DD9}"/>
    <cellStyle name="20% - Accent4 2 2 5 3" xfId="5770" xr:uid="{00000000-0005-0000-0000-000003020000}"/>
    <cellStyle name="20% - Accent4 2 2 5 3 2" xfId="14220" xr:uid="{F2FE2F1F-81B3-4B05-AC70-1AD5D31923F9}"/>
    <cellStyle name="20% - Accent4 2 2 5 4" xfId="10002" xr:uid="{20366BD8-7580-491E-8BA3-617BA866ADAB}"/>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6778" xr:uid="{2B0BD5E4-312F-42B4-9734-00E29464DBFD}"/>
    <cellStyle name="20% - Accent4 2 2 6 2 3" xfId="12560" xr:uid="{7FCFB76E-03D1-4411-B994-BCCBA5D7B251}"/>
    <cellStyle name="20% - Accent4 2 2 6 3" xfId="6183" xr:uid="{00000000-0005-0000-0000-000007020000}"/>
    <cellStyle name="20% - Accent4 2 2 6 3 2" xfId="14633" xr:uid="{84822FBF-4472-48EF-85CC-EB1500E82F05}"/>
    <cellStyle name="20% - Accent4 2 2 6 4" xfId="10415" xr:uid="{421AA89E-EB63-42F1-AE22-537AAB9E72A2}"/>
    <cellStyle name="20% - Accent4 2 2 7" xfId="2290" xr:uid="{00000000-0005-0000-0000-000008020000}"/>
    <cellStyle name="20% - Accent4 2 2 7 2" xfId="6596" xr:uid="{00000000-0005-0000-0000-000009020000}"/>
    <cellStyle name="20% - Accent4 2 2 7 2 2" xfId="15046" xr:uid="{F738D714-472B-4F70-A68B-4EF0CA3D0B8C}"/>
    <cellStyle name="20% - Accent4 2 2 7 3" xfId="10828" xr:uid="{A84BE5F8-9FAA-47F3-8859-6FD6F0F98100}"/>
    <cellStyle name="20% - Accent4 2 2 8" xfId="4530" xr:uid="{00000000-0005-0000-0000-00000A020000}"/>
    <cellStyle name="20% - Accent4 2 2 8 2" xfId="12980" xr:uid="{EC2B35FE-A26B-4598-96F8-34CE7AF206E8}"/>
    <cellStyle name="20% - Accent4 2 2 9" xfId="8762" xr:uid="{4231D938-5025-4F01-B3A4-EF4439D6175E}"/>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5541" xr:uid="{21111B10-E930-4374-9EC1-36604A246093}"/>
    <cellStyle name="20% - Accent4 2 3 2 2 3" xfId="11323" xr:uid="{9F44E655-B70D-4195-8E95-17B12715E6A2}"/>
    <cellStyle name="20% - Accent4 2 3 2 3" xfId="4946" xr:uid="{00000000-0005-0000-0000-00000F020000}"/>
    <cellStyle name="20% - Accent4 2 3 2 3 2" xfId="13396" xr:uid="{5065E828-2EB1-4140-BB27-76E7F74AFD1E}"/>
    <cellStyle name="20% - Accent4 2 3 2 4" xfId="9178" xr:uid="{F4BAA95D-0051-4BB1-A091-78B834383C86}"/>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5954" xr:uid="{4AE47C0E-6959-4960-BFC5-FBCDEE778DBE}"/>
    <cellStyle name="20% - Accent4 2 3 3 2 3" xfId="11736" xr:uid="{53370F57-C6F3-44D9-A628-864D8A34564B}"/>
    <cellStyle name="20% - Accent4 2 3 3 3" xfId="5359" xr:uid="{00000000-0005-0000-0000-000013020000}"/>
    <cellStyle name="20% - Accent4 2 3 3 3 2" xfId="13809" xr:uid="{4B428344-C198-4DCA-8F12-771F561755B1}"/>
    <cellStyle name="20% - Accent4 2 3 3 4" xfId="9591" xr:uid="{ECB2F189-4936-4487-BFF8-940E5F0B6C1F}"/>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6367" xr:uid="{D35EABD8-78D2-4D25-9FCF-EC8F3574F8ED}"/>
    <cellStyle name="20% - Accent4 2 3 4 2 3" xfId="12149" xr:uid="{FA7129C4-AEF7-4DC1-85DA-69D4F0871023}"/>
    <cellStyle name="20% - Accent4 2 3 4 3" xfId="5772" xr:uid="{00000000-0005-0000-0000-000017020000}"/>
    <cellStyle name="20% - Accent4 2 3 4 3 2" xfId="14222" xr:uid="{86FA2F43-5CDA-4C8F-811A-395D84467A09}"/>
    <cellStyle name="20% - Accent4 2 3 4 4" xfId="10004" xr:uid="{73672E9A-9FB9-462D-A860-C096783947AC}"/>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6780" xr:uid="{88C3412F-C1FA-481E-89A4-BD802C5AB491}"/>
    <cellStyle name="20% - Accent4 2 3 5 2 3" xfId="12562" xr:uid="{8DCD265B-B6FA-4B30-919E-FBD492BF9413}"/>
    <cellStyle name="20% - Accent4 2 3 5 3" xfId="6185" xr:uid="{00000000-0005-0000-0000-00001B020000}"/>
    <cellStyle name="20% - Accent4 2 3 5 3 2" xfId="14635" xr:uid="{10F29445-E84B-4F86-8913-4D066C0849FC}"/>
    <cellStyle name="20% - Accent4 2 3 5 4" xfId="10417" xr:uid="{A1C9B837-BD0D-4ABB-B52A-30C9309A2D22}"/>
    <cellStyle name="20% - Accent4 2 3 6" xfId="2292" xr:uid="{00000000-0005-0000-0000-00001C020000}"/>
    <cellStyle name="20% - Accent4 2 3 6 2" xfId="6598" xr:uid="{00000000-0005-0000-0000-00001D020000}"/>
    <cellStyle name="20% - Accent4 2 3 6 2 2" xfId="15048" xr:uid="{045BCB03-A806-46AB-AEDB-A4B1C122456C}"/>
    <cellStyle name="20% - Accent4 2 3 6 3" xfId="10830" xr:uid="{DB4EE654-A7A6-437F-B254-DB4496B71EA1}"/>
    <cellStyle name="20% - Accent4 2 3 7" xfId="4532" xr:uid="{00000000-0005-0000-0000-00001E020000}"/>
    <cellStyle name="20% - Accent4 2 3 7 2" xfId="12982" xr:uid="{9CE3591E-5CF4-49FB-9615-BB4C84228E84}"/>
    <cellStyle name="20% - Accent4 2 3 8" xfId="8764" xr:uid="{9EC49FF5-1ED7-4177-84CE-1FA7A2A962A9}"/>
    <cellStyle name="20% - Accent4 2 4" xfId="595" xr:uid="{00000000-0005-0000-0000-00001F020000}"/>
    <cellStyle name="20% - Accent4 2 4 2" xfId="2866" xr:uid="{00000000-0005-0000-0000-000020020000}"/>
    <cellStyle name="20% - Accent4 2 4 2 2" xfId="7088" xr:uid="{00000000-0005-0000-0000-000021020000}"/>
    <cellStyle name="20% - Accent4 2 4 2 2 2" xfId="15538" xr:uid="{F9BCD42C-B578-451B-992A-5A75A1DFA772}"/>
    <cellStyle name="20% - Accent4 2 4 2 3" xfId="11320" xr:uid="{9CC43902-CD70-415A-8D5F-9B26E090F1D5}"/>
    <cellStyle name="20% - Accent4 2 4 3" xfId="4943" xr:uid="{00000000-0005-0000-0000-000022020000}"/>
    <cellStyle name="20% - Accent4 2 4 3 2" xfId="13393" xr:uid="{684BF71A-5FF4-446E-B04C-01F4D8C0B85E}"/>
    <cellStyle name="20% - Accent4 2 4 4" xfId="9175" xr:uid="{68DF7ECB-02C0-4240-8811-A9D5727CBC80}"/>
    <cellStyle name="20% - Accent4 2 5" xfId="1048" xr:uid="{00000000-0005-0000-0000-000023020000}"/>
    <cellStyle name="20% - Accent4 2 5 2" xfId="3279" xr:uid="{00000000-0005-0000-0000-000024020000}"/>
    <cellStyle name="20% - Accent4 2 5 2 2" xfId="7501" xr:uid="{00000000-0005-0000-0000-000025020000}"/>
    <cellStyle name="20% - Accent4 2 5 2 2 2" xfId="15951" xr:uid="{036C3CAA-6ADA-4E51-9DBA-86931F450888}"/>
    <cellStyle name="20% - Accent4 2 5 2 3" xfId="11733" xr:uid="{24CB3B16-8EB3-4258-A513-FBFE0D72D21C}"/>
    <cellStyle name="20% - Accent4 2 5 3" xfId="5356" xr:uid="{00000000-0005-0000-0000-000026020000}"/>
    <cellStyle name="20% - Accent4 2 5 3 2" xfId="13806" xr:uid="{26D3B401-1D5A-4BD3-80BB-9531706BA713}"/>
    <cellStyle name="20% - Accent4 2 5 4" xfId="9588" xr:uid="{2C4EB5A3-8C6D-448C-A596-442C95001F53}"/>
    <cellStyle name="20% - Accent4 2 6" xfId="1462" xr:uid="{00000000-0005-0000-0000-000027020000}"/>
    <cellStyle name="20% - Accent4 2 6 2" xfId="3692" xr:uid="{00000000-0005-0000-0000-000028020000}"/>
    <cellStyle name="20% - Accent4 2 6 2 2" xfId="7914" xr:uid="{00000000-0005-0000-0000-000029020000}"/>
    <cellStyle name="20% - Accent4 2 6 2 2 2" xfId="16364" xr:uid="{82DDDD81-E704-43D6-A04C-FF751B02CF50}"/>
    <cellStyle name="20% - Accent4 2 6 2 3" xfId="12146" xr:uid="{62AA0BE1-7CD1-459A-BB53-61D9AEAE1EC5}"/>
    <cellStyle name="20% - Accent4 2 6 3" xfId="5769" xr:uid="{00000000-0005-0000-0000-00002A020000}"/>
    <cellStyle name="20% - Accent4 2 6 3 2" xfId="14219" xr:uid="{F37A8C79-9112-471A-B621-019E9C933810}"/>
    <cellStyle name="20% - Accent4 2 6 4" xfId="10001" xr:uid="{12CAD5D8-41A7-4ADE-89D5-EC7BBB636EAD}"/>
    <cellStyle name="20% - Accent4 2 7" xfId="1876" xr:uid="{00000000-0005-0000-0000-00002B020000}"/>
    <cellStyle name="20% - Accent4 2 7 2" xfId="4105" xr:uid="{00000000-0005-0000-0000-00002C020000}"/>
    <cellStyle name="20% - Accent4 2 7 2 2" xfId="8327" xr:uid="{00000000-0005-0000-0000-00002D020000}"/>
    <cellStyle name="20% - Accent4 2 7 2 2 2" xfId="16777" xr:uid="{80455753-1AD2-4DD3-B340-A60E5BDB13B7}"/>
    <cellStyle name="20% - Accent4 2 7 2 3" xfId="12559" xr:uid="{AF623E0D-F9BE-47BF-B1A0-1906D663480F}"/>
    <cellStyle name="20% - Accent4 2 7 3" xfId="6182" xr:uid="{00000000-0005-0000-0000-00002E020000}"/>
    <cellStyle name="20% - Accent4 2 7 3 2" xfId="14632" xr:uid="{09209AEC-AD46-4F68-8D5D-CE8F17AAA20B}"/>
    <cellStyle name="20% - Accent4 2 7 4" xfId="10414" xr:uid="{697B596A-BE6D-470D-A774-15BACFD600C7}"/>
    <cellStyle name="20% - Accent4 2 8" xfId="2289" xr:uid="{00000000-0005-0000-0000-00002F020000}"/>
    <cellStyle name="20% - Accent4 2 8 2" xfId="6595" xr:uid="{00000000-0005-0000-0000-000030020000}"/>
    <cellStyle name="20% - Accent4 2 8 2 2" xfId="15045" xr:uid="{3BE138BB-41A6-4A9E-B92E-66EE7186EE7B}"/>
    <cellStyle name="20% - Accent4 2 8 3" xfId="10827" xr:uid="{39A96C7E-D4DC-4440-A10F-0D025790ACB2}"/>
    <cellStyle name="20% - Accent4 2 9" xfId="4529" xr:uid="{00000000-0005-0000-0000-000031020000}"/>
    <cellStyle name="20% - Accent4 2 9 2" xfId="12979" xr:uid="{64FA9BD6-4441-4774-8352-86B25E382443}"/>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5543" xr:uid="{73A2F783-B2E5-4CFC-84D7-09206C7662D0}"/>
    <cellStyle name="20% - Accent4 3 2 2 2 3" xfId="11325" xr:uid="{9E490A90-3003-4031-8A53-8E75F61A6D32}"/>
    <cellStyle name="20% - Accent4 3 2 2 3" xfId="4948" xr:uid="{00000000-0005-0000-0000-000037020000}"/>
    <cellStyle name="20% - Accent4 3 2 2 3 2" xfId="13398" xr:uid="{18208368-E1DD-4683-8FBB-8B391431741F}"/>
    <cellStyle name="20% - Accent4 3 2 2 4" xfId="9180" xr:uid="{6935E5D5-0C98-499F-8D1E-3C883E9A2355}"/>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5956" xr:uid="{A085E74E-89C2-4157-87FB-EE4A7742CF0A}"/>
    <cellStyle name="20% - Accent4 3 2 3 2 3" xfId="11738" xr:uid="{12334978-FDB7-43B9-91CC-8A91B6ECBDB2}"/>
    <cellStyle name="20% - Accent4 3 2 3 3" xfId="5361" xr:uid="{00000000-0005-0000-0000-00003B020000}"/>
    <cellStyle name="20% - Accent4 3 2 3 3 2" xfId="13811" xr:uid="{C35AA931-9503-4324-B8FA-8B7E86E4DC83}"/>
    <cellStyle name="20% - Accent4 3 2 3 4" xfId="9593" xr:uid="{3C56EB77-E000-4415-9C3A-4E779796A94F}"/>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6369" xr:uid="{89360C6B-B4CC-488C-8154-FE9D48ECE81D}"/>
    <cellStyle name="20% - Accent4 3 2 4 2 3" xfId="12151" xr:uid="{910E46DC-33E4-43D2-BEF6-E51E0448C522}"/>
    <cellStyle name="20% - Accent4 3 2 4 3" xfId="5774" xr:uid="{00000000-0005-0000-0000-00003F020000}"/>
    <cellStyle name="20% - Accent4 3 2 4 3 2" xfId="14224" xr:uid="{3EC9DD43-1FAB-4FAE-B119-0176DCA77B5F}"/>
    <cellStyle name="20% - Accent4 3 2 4 4" xfId="10006" xr:uid="{3D195B03-76FA-4323-BC32-51559278413A}"/>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6782" xr:uid="{B9D2E050-5990-4267-85B2-3A3F0FD75CE6}"/>
    <cellStyle name="20% - Accent4 3 2 5 2 3" xfId="12564" xr:uid="{864E8EFE-2C46-43F7-88C4-114C6783403F}"/>
    <cellStyle name="20% - Accent4 3 2 5 3" xfId="6187" xr:uid="{00000000-0005-0000-0000-000043020000}"/>
    <cellStyle name="20% - Accent4 3 2 5 3 2" xfId="14637" xr:uid="{856C2BCF-1D61-4BF6-A97A-50B03004E0FA}"/>
    <cellStyle name="20% - Accent4 3 2 5 4" xfId="10419" xr:uid="{FD3ACFD2-316E-4F75-8A8C-5F4193A06F82}"/>
    <cellStyle name="20% - Accent4 3 2 6" xfId="2294" xr:uid="{00000000-0005-0000-0000-000044020000}"/>
    <cellStyle name="20% - Accent4 3 2 6 2" xfId="6600" xr:uid="{00000000-0005-0000-0000-000045020000}"/>
    <cellStyle name="20% - Accent4 3 2 6 2 2" xfId="15050" xr:uid="{B50E13E1-2BEC-4C61-A502-C96C0DF781FE}"/>
    <cellStyle name="20% - Accent4 3 2 6 3" xfId="10832" xr:uid="{64BF3783-FC95-4272-B72B-6FD94ED82532}"/>
    <cellStyle name="20% - Accent4 3 2 7" xfId="4534" xr:uid="{00000000-0005-0000-0000-000046020000}"/>
    <cellStyle name="20% - Accent4 3 2 7 2" xfId="12984" xr:uid="{E0699200-4B36-47CB-9F06-935DAD63AE2F}"/>
    <cellStyle name="20% - Accent4 3 2 8" xfId="8766" xr:uid="{D1B1E7B2-49FD-43D9-951F-44CED2333629}"/>
    <cellStyle name="20% - Accent4 3 3" xfId="599" xr:uid="{00000000-0005-0000-0000-000047020000}"/>
    <cellStyle name="20% - Accent4 3 3 2" xfId="2870" xr:uid="{00000000-0005-0000-0000-000048020000}"/>
    <cellStyle name="20% - Accent4 3 3 2 2" xfId="7092" xr:uid="{00000000-0005-0000-0000-000049020000}"/>
    <cellStyle name="20% - Accent4 3 3 2 2 2" xfId="15542" xr:uid="{8611CA74-8E3D-4AE6-9F06-E0C8D6FC85FC}"/>
    <cellStyle name="20% - Accent4 3 3 2 3" xfId="11324" xr:uid="{CB784A0F-EC62-42C8-A62A-621A0449D79E}"/>
    <cellStyle name="20% - Accent4 3 3 3" xfId="4947" xr:uid="{00000000-0005-0000-0000-00004A020000}"/>
    <cellStyle name="20% - Accent4 3 3 3 2" xfId="13397" xr:uid="{C9B22FC6-1BEB-4A28-B6A8-C8895F7C0E98}"/>
    <cellStyle name="20% - Accent4 3 3 4" xfId="9179" xr:uid="{C357610E-ABBD-483B-A5F1-DD8A320D6750}"/>
    <cellStyle name="20% - Accent4 3 4" xfId="1052" xr:uid="{00000000-0005-0000-0000-00004B020000}"/>
    <cellStyle name="20% - Accent4 3 4 2" xfId="3283" xr:uid="{00000000-0005-0000-0000-00004C020000}"/>
    <cellStyle name="20% - Accent4 3 4 2 2" xfId="7505" xr:uid="{00000000-0005-0000-0000-00004D020000}"/>
    <cellStyle name="20% - Accent4 3 4 2 2 2" xfId="15955" xr:uid="{9A6D75EA-EBB2-4439-B896-E9AF80D6F609}"/>
    <cellStyle name="20% - Accent4 3 4 2 3" xfId="11737" xr:uid="{0A1D84C1-3427-43B4-9250-9B7CFF3289E7}"/>
    <cellStyle name="20% - Accent4 3 4 3" xfId="5360" xr:uid="{00000000-0005-0000-0000-00004E020000}"/>
    <cellStyle name="20% - Accent4 3 4 3 2" xfId="13810" xr:uid="{F477B5AB-D117-408F-ADBA-F0544C3D36F2}"/>
    <cellStyle name="20% - Accent4 3 4 4" xfId="9592" xr:uid="{0B8D65E4-E7C6-423F-978F-BD569C9BDAD5}"/>
    <cellStyle name="20% - Accent4 3 5" xfId="1466" xr:uid="{00000000-0005-0000-0000-00004F020000}"/>
    <cellStyle name="20% - Accent4 3 5 2" xfId="3696" xr:uid="{00000000-0005-0000-0000-000050020000}"/>
    <cellStyle name="20% - Accent4 3 5 2 2" xfId="7918" xr:uid="{00000000-0005-0000-0000-000051020000}"/>
    <cellStyle name="20% - Accent4 3 5 2 2 2" xfId="16368" xr:uid="{77540B92-0DF8-466C-BD40-FEC03A0C8E61}"/>
    <cellStyle name="20% - Accent4 3 5 2 3" xfId="12150" xr:uid="{0E1406A4-81C3-4269-9C54-7A899A4445BD}"/>
    <cellStyle name="20% - Accent4 3 5 3" xfId="5773" xr:uid="{00000000-0005-0000-0000-000052020000}"/>
    <cellStyle name="20% - Accent4 3 5 3 2" xfId="14223" xr:uid="{2066C16E-CD7A-4E2F-80BE-06CB7A5D15F8}"/>
    <cellStyle name="20% - Accent4 3 5 4" xfId="10005" xr:uid="{BCC972BD-8631-4737-A528-884FD15E6E72}"/>
    <cellStyle name="20% - Accent4 3 6" xfId="1880" xr:uid="{00000000-0005-0000-0000-000053020000}"/>
    <cellStyle name="20% - Accent4 3 6 2" xfId="4109" xr:uid="{00000000-0005-0000-0000-000054020000}"/>
    <cellStyle name="20% - Accent4 3 6 2 2" xfId="8331" xr:uid="{00000000-0005-0000-0000-000055020000}"/>
    <cellStyle name="20% - Accent4 3 6 2 2 2" xfId="16781" xr:uid="{4713ED35-23B4-40DD-9592-E83767335886}"/>
    <cellStyle name="20% - Accent4 3 6 2 3" xfId="12563" xr:uid="{5A1102CD-54C9-4E84-B640-3B927BFAB697}"/>
    <cellStyle name="20% - Accent4 3 6 3" xfId="6186" xr:uid="{00000000-0005-0000-0000-000056020000}"/>
    <cellStyle name="20% - Accent4 3 6 3 2" xfId="14636" xr:uid="{AA3F0EA5-5462-432F-AB62-B6F7256F15E7}"/>
    <cellStyle name="20% - Accent4 3 6 4" xfId="10418" xr:uid="{77FED62D-4040-40D9-B6C3-0116B49C9499}"/>
    <cellStyle name="20% - Accent4 3 7" xfId="2293" xr:uid="{00000000-0005-0000-0000-000057020000}"/>
    <cellStyle name="20% - Accent4 3 7 2" xfId="6599" xr:uid="{00000000-0005-0000-0000-000058020000}"/>
    <cellStyle name="20% - Accent4 3 7 2 2" xfId="15049" xr:uid="{82A9505D-1C03-47F3-9501-911364C1415D}"/>
    <cellStyle name="20% - Accent4 3 7 3" xfId="10831" xr:uid="{087E604C-87B8-4C3D-BC13-80086BB55377}"/>
    <cellStyle name="20% - Accent4 3 8" xfId="4533" xr:uid="{00000000-0005-0000-0000-000059020000}"/>
    <cellStyle name="20% - Accent4 3 8 2" xfId="12983" xr:uid="{2DB872F9-89B9-4FED-89B6-5204B863E8FA}"/>
    <cellStyle name="20% - Accent4 3 9" xfId="8765" xr:uid="{F46F9C7B-37CC-4BAC-8629-444489CFF31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5544" xr:uid="{9A1F601A-7AC1-4EA7-8AD3-C1F3506AB6CB}"/>
    <cellStyle name="20% - Accent4 4 2 2 3" xfId="11326" xr:uid="{47BEDD09-FA6D-448E-A807-67691FBA913D}"/>
    <cellStyle name="20% - Accent4 4 2 3" xfId="4949" xr:uid="{00000000-0005-0000-0000-00005E020000}"/>
    <cellStyle name="20% - Accent4 4 2 3 2" xfId="13399" xr:uid="{77AE7C87-42FB-46A3-8F19-56BEC69781A3}"/>
    <cellStyle name="20% - Accent4 4 2 4" xfId="9181" xr:uid="{31DAA711-A3CB-4CB8-BF13-84B9EFF45E07}"/>
    <cellStyle name="20% - Accent4 4 3" xfId="1054" xr:uid="{00000000-0005-0000-0000-00005F020000}"/>
    <cellStyle name="20% - Accent4 4 3 2" xfId="3285" xr:uid="{00000000-0005-0000-0000-000060020000}"/>
    <cellStyle name="20% - Accent4 4 3 2 2" xfId="7507" xr:uid="{00000000-0005-0000-0000-000061020000}"/>
    <cellStyle name="20% - Accent4 4 3 2 2 2" xfId="15957" xr:uid="{09AC6313-434B-4352-9371-C05B6151598B}"/>
    <cellStyle name="20% - Accent4 4 3 2 3" xfId="11739" xr:uid="{1C46F9A3-EBC0-4D31-BABF-23D05F13C13F}"/>
    <cellStyle name="20% - Accent4 4 3 3" xfId="5362" xr:uid="{00000000-0005-0000-0000-000062020000}"/>
    <cellStyle name="20% - Accent4 4 3 3 2" xfId="13812" xr:uid="{7006661E-2C4F-47B4-A0BD-5A4422FD3074}"/>
    <cellStyle name="20% - Accent4 4 3 4" xfId="9594" xr:uid="{24DA16E0-78B7-4511-9FAC-47606FF4D2B8}"/>
    <cellStyle name="20% - Accent4 4 4" xfId="1468" xr:uid="{00000000-0005-0000-0000-000063020000}"/>
    <cellStyle name="20% - Accent4 4 4 2" xfId="3698" xr:uid="{00000000-0005-0000-0000-000064020000}"/>
    <cellStyle name="20% - Accent4 4 4 2 2" xfId="7920" xr:uid="{00000000-0005-0000-0000-000065020000}"/>
    <cellStyle name="20% - Accent4 4 4 2 2 2" xfId="16370" xr:uid="{AC812721-2252-4A5E-B9CF-6D1E96282C18}"/>
    <cellStyle name="20% - Accent4 4 4 2 3" xfId="12152" xr:uid="{093361E2-5A5E-41DA-B4AE-A12977D7AB11}"/>
    <cellStyle name="20% - Accent4 4 4 3" xfId="5775" xr:uid="{00000000-0005-0000-0000-000066020000}"/>
    <cellStyle name="20% - Accent4 4 4 3 2" xfId="14225" xr:uid="{B5D57F61-4D29-4548-A308-AD5A483C7179}"/>
    <cellStyle name="20% - Accent4 4 4 4" xfId="10007" xr:uid="{EFA8C337-F3D3-4AF0-B686-1DC483D37745}"/>
    <cellStyle name="20% - Accent4 4 5" xfId="1882" xr:uid="{00000000-0005-0000-0000-000067020000}"/>
    <cellStyle name="20% - Accent4 4 5 2" xfId="4111" xr:uid="{00000000-0005-0000-0000-000068020000}"/>
    <cellStyle name="20% - Accent4 4 5 2 2" xfId="8333" xr:uid="{00000000-0005-0000-0000-000069020000}"/>
    <cellStyle name="20% - Accent4 4 5 2 2 2" xfId="16783" xr:uid="{AD4512C1-5F82-4DF4-B63C-2C0094E680B2}"/>
    <cellStyle name="20% - Accent4 4 5 2 3" xfId="12565" xr:uid="{F09FB3E3-5726-4043-B472-D0C8607BDA8C}"/>
    <cellStyle name="20% - Accent4 4 5 3" xfId="6188" xr:uid="{00000000-0005-0000-0000-00006A020000}"/>
    <cellStyle name="20% - Accent4 4 5 3 2" xfId="14638" xr:uid="{EE88D547-F4FB-4CEF-BBA7-1220E4D9CB94}"/>
    <cellStyle name="20% - Accent4 4 5 4" xfId="10420" xr:uid="{4ED0D2A4-A815-473A-8706-3C21C2EBD160}"/>
    <cellStyle name="20% - Accent4 4 6" xfId="2295" xr:uid="{00000000-0005-0000-0000-00006B020000}"/>
    <cellStyle name="20% - Accent4 4 6 2" xfId="6601" xr:uid="{00000000-0005-0000-0000-00006C020000}"/>
    <cellStyle name="20% - Accent4 4 6 2 2" xfId="15051" xr:uid="{22E8C402-A168-4786-AA83-00FD82F51B01}"/>
    <cellStyle name="20% - Accent4 4 6 3" xfId="10833" xr:uid="{F5294666-C53E-4E86-B9E1-5982C8329412}"/>
    <cellStyle name="20% - Accent4 4 7" xfId="4535" xr:uid="{00000000-0005-0000-0000-00006D020000}"/>
    <cellStyle name="20% - Accent4 4 7 2" xfId="12985" xr:uid="{56BDF74D-622A-426A-A077-E77FE23E2318}"/>
    <cellStyle name="20% - Accent4 4 8" xfId="8767" xr:uid="{7A494F3E-4FBE-4388-B744-1589D1A585EA}"/>
    <cellStyle name="20% - Accent4 5" xfId="594" xr:uid="{00000000-0005-0000-0000-00006E020000}"/>
    <cellStyle name="20% - Accent4 5 2" xfId="2865" xr:uid="{00000000-0005-0000-0000-00006F020000}"/>
    <cellStyle name="20% - Accent4 5 2 2" xfId="7087" xr:uid="{00000000-0005-0000-0000-000070020000}"/>
    <cellStyle name="20% - Accent4 5 2 2 2" xfId="15537" xr:uid="{E49DA0E9-B89C-46A2-AD51-BCDD77AFC807}"/>
    <cellStyle name="20% - Accent4 5 2 3" xfId="11319" xr:uid="{DC5E88D7-863C-4FBF-980E-0B6E2CE97FCE}"/>
    <cellStyle name="20% - Accent4 5 3" xfId="4942" xr:uid="{00000000-0005-0000-0000-000071020000}"/>
    <cellStyle name="20% - Accent4 5 3 2" xfId="13392" xr:uid="{319F561C-6836-4DCA-815D-482CF6308458}"/>
    <cellStyle name="20% - Accent4 5 4" xfId="9174" xr:uid="{7F1FBED0-B5ED-4576-9380-CE57A59E027E}"/>
    <cellStyle name="20% - Accent4 6" xfId="1047" xr:uid="{00000000-0005-0000-0000-000072020000}"/>
    <cellStyle name="20% - Accent4 6 2" xfId="3278" xr:uid="{00000000-0005-0000-0000-000073020000}"/>
    <cellStyle name="20% - Accent4 6 2 2" xfId="7500" xr:uid="{00000000-0005-0000-0000-000074020000}"/>
    <cellStyle name="20% - Accent4 6 2 2 2" xfId="15950" xr:uid="{26DA1040-014A-415D-B39F-D4EA529BD7F9}"/>
    <cellStyle name="20% - Accent4 6 2 3" xfId="11732" xr:uid="{66EFCBEF-5F95-4F07-9FC5-B7B4E2186C54}"/>
    <cellStyle name="20% - Accent4 6 3" xfId="5355" xr:uid="{00000000-0005-0000-0000-000075020000}"/>
    <cellStyle name="20% - Accent4 6 3 2" xfId="13805" xr:uid="{8E5D1279-9C8E-4B79-85A6-4AE9DABB466A}"/>
    <cellStyle name="20% - Accent4 6 4" xfId="9587" xr:uid="{22913D1F-77DE-46E6-9193-5C63F2790913}"/>
    <cellStyle name="20% - Accent4 7" xfId="1461" xr:uid="{00000000-0005-0000-0000-000076020000}"/>
    <cellStyle name="20% - Accent4 7 2" xfId="3691" xr:uid="{00000000-0005-0000-0000-000077020000}"/>
    <cellStyle name="20% - Accent4 7 2 2" xfId="7913" xr:uid="{00000000-0005-0000-0000-000078020000}"/>
    <cellStyle name="20% - Accent4 7 2 2 2" xfId="16363" xr:uid="{8A338B76-E356-4920-9116-B5F31924CD0E}"/>
    <cellStyle name="20% - Accent4 7 2 3" xfId="12145" xr:uid="{9917CA9C-FF37-4D99-8A17-ED2129024353}"/>
    <cellStyle name="20% - Accent4 7 3" xfId="5768" xr:uid="{00000000-0005-0000-0000-000079020000}"/>
    <cellStyle name="20% - Accent4 7 3 2" xfId="14218" xr:uid="{F8BF6CB9-73DA-493E-92AB-0BCBD863096B}"/>
    <cellStyle name="20% - Accent4 7 4" xfId="10000" xr:uid="{F3DAB1BA-F093-477E-8F67-F252CF93370C}"/>
    <cellStyle name="20% - Accent4 8" xfId="1875" xr:uid="{00000000-0005-0000-0000-00007A020000}"/>
    <cellStyle name="20% - Accent4 8 2" xfId="4104" xr:uid="{00000000-0005-0000-0000-00007B020000}"/>
    <cellStyle name="20% - Accent4 8 2 2" xfId="8326" xr:uid="{00000000-0005-0000-0000-00007C020000}"/>
    <cellStyle name="20% - Accent4 8 2 2 2" xfId="16776" xr:uid="{FA7ECE99-7328-434C-A9B7-3D87A823E8B5}"/>
    <cellStyle name="20% - Accent4 8 2 3" xfId="12558" xr:uid="{483DE584-558D-4F27-BBCC-E47B7B4EDA93}"/>
    <cellStyle name="20% - Accent4 8 3" xfId="6181" xr:uid="{00000000-0005-0000-0000-00007D020000}"/>
    <cellStyle name="20% - Accent4 8 3 2" xfId="14631" xr:uid="{8284C2B5-5EBB-49DD-ACE8-EF517FFA68E7}"/>
    <cellStyle name="20% - Accent4 8 4" xfId="10413" xr:uid="{C3F4A9DD-8CCD-4CE9-B458-D9BBEEE90589}"/>
    <cellStyle name="20% - Accent4 9" xfId="2288" xr:uid="{00000000-0005-0000-0000-00007E020000}"/>
    <cellStyle name="20% - Accent4 9 2" xfId="6594" xr:uid="{00000000-0005-0000-0000-00007F020000}"/>
    <cellStyle name="20% - Accent4 9 2 2" xfId="15044" xr:uid="{25C37DB8-4C7D-4029-AF72-2683ABDB1C35}"/>
    <cellStyle name="20% - Accent4 9 3" xfId="10826" xr:uid="{E1568F44-0C71-47C9-B770-043C2B390E1A}"/>
    <cellStyle name="20% - Accent5" xfId="33" builtinId="46" customBuiltin="1"/>
    <cellStyle name="20% - Accent5 10" xfId="4536" xr:uid="{00000000-0005-0000-0000-000081020000}"/>
    <cellStyle name="20% - Accent5 10 2" xfId="12986" xr:uid="{8CEB018B-3A45-46D4-897D-993AB8AA5DCF}"/>
    <cellStyle name="20% - Accent5 11" xfId="8768" xr:uid="{AC6153C7-9616-4041-BDC8-F2DB91AD6027}"/>
    <cellStyle name="20% - Accent5 2" xfId="34" xr:uid="{00000000-0005-0000-0000-000082020000}"/>
    <cellStyle name="20% - Accent5 2 10" xfId="8769" xr:uid="{16712C2C-A80A-4D01-8D9A-DF2CFD59C5EF}"/>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5548" xr:uid="{D3B1D71D-2E7E-4832-8376-415570A67ED4}"/>
    <cellStyle name="20% - Accent5 2 2 2 2 2 3" xfId="11330" xr:uid="{C8D71F1A-D087-4D67-985B-03DE2775B55C}"/>
    <cellStyle name="20% - Accent5 2 2 2 2 3" xfId="4953" xr:uid="{00000000-0005-0000-0000-000088020000}"/>
    <cellStyle name="20% - Accent5 2 2 2 2 3 2" xfId="13403" xr:uid="{0659FD8C-5EED-4E2B-B438-0217A6E16DCD}"/>
    <cellStyle name="20% - Accent5 2 2 2 2 4" xfId="9185" xr:uid="{1BC62A23-FCBD-4ADE-AC05-7906EA41DBC8}"/>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5961" xr:uid="{775264B5-6DE5-412B-9258-2D8800794AB7}"/>
    <cellStyle name="20% - Accent5 2 2 2 3 2 3" xfId="11743" xr:uid="{44A571F3-167F-4478-9E31-3B12A01F2979}"/>
    <cellStyle name="20% - Accent5 2 2 2 3 3" xfId="5366" xr:uid="{00000000-0005-0000-0000-00008C020000}"/>
    <cellStyle name="20% - Accent5 2 2 2 3 3 2" xfId="13816" xr:uid="{4FAE9986-1408-4A11-830A-93C7347A7494}"/>
    <cellStyle name="20% - Accent5 2 2 2 3 4" xfId="9598" xr:uid="{6BAA9DDA-E4ED-427A-8A51-1404666EF828}"/>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6374" xr:uid="{0328752D-3D2F-4F9C-B45C-9ED089A220FE}"/>
    <cellStyle name="20% - Accent5 2 2 2 4 2 3" xfId="12156" xr:uid="{14EB897A-5374-4DB3-BC20-6F3B48D61C20}"/>
    <cellStyle name="20% - Accent5 2 2 2 4 3" xfId="5779" xr:uid="{00000000-0005-0000-0000-000090020000}"/>
    <cellStyle name="20% - Accent5 2 2 2 4 3 2" xfId="14229" xr:uid="{186065E1-9171-4860-B3AF-C948BCD9FCCC}"/>
    <cellStyle name="20% - Accent5 2 2 2 4 4" xfId="10011" xr:uid="{7C1FE922-9013-4332-83F6-018D27A42856}"/>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6787" xr:uid="{FF555AE3-CC76-409F-9DD8-962253585972}"/>
    <cellStyle name="20% - Accent5 2 2 2 5 2 3" xfId="12569" xr:uid="{0C5908C4-69AD-4C70-8FA7-D1824ADD633F}"/>
    <cellStyle name="20% - Accent5 2 2 2 5 3" xfId="6192" xr:uid="{00000000-0005-0000-0000-000094020000}"/>
    <cellStyle name="20% - Accent5 2 2 2 5 3 2" xfId="14642" xr:uid="{507A22E2-E528-4044-808C-9031B983AAA2}"/>
    <cellStyle name="20% - Accent5 2 2 2 5 4" xfId="10424" xr:uid="{7AAEC6C1-AEFD-40AA-BB8A-FDE813204D3F}"/>
    <cellStyle name="20% - Accent5 2 2 2 6" xfId="2299" xr:uid="{00000000-0005-0000-0000-000095020000}"/>
    <cellStyle name="20% - Accent5 2 2 2 6 2" xfId="6605" xr:uid="{00000000-0005-0000-0000-000096020000}"/>
    <cellStyle name="20% - Accent5 2 2 2 6 2 2" xfId="15055" xr:uid="{19FD3B50-AB80-44C3-BAC7-10B34E17D796}"/>
    <cellStyle name="20% - Accent5 2 2 2 6 3" xfId="10837" xr:uid="{BE87023F-3DE1-4AC9-A8F1-369A8B2BD3E1}"/>
    <cellStyle name="20% - Accent5 2 2 2 7" xfId="4539" xr:uid="{00000000-0005-0000-0000-000097020000}"/>
    <cellStyle name="20% - Accent5 2 2 2 7 2" xfId="12989" xr:uid="{9224C742-41F0-4625-8E56-4B8487D50F09}"/>
    <cellStyle name="20% - Accent5 2 2 2 8" xfId="8771" xr:uid="{DD7A920C-6316-4398-A947-272BC87E56AE}"/>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5547" xr:uid="{AE178228-D779-4676-B30A-9444F592F43A}"/>
    <cellStyle name="20% - Accent5 2 2 3 2 3" xfId="11329" xr:uid="{9F265130-0F0A-42AD-915D-E24E3721B783}"/>
    <cellStyle name="20% - Accent5 2 2 3 3" xfId="4952" xr:uid="{00000000-0005-0000-0000-00009B020000}"/>
    <cellStyle name="20% - Accent5 2 2 3 3 2" xfId="13402" xr:uid="{D325C4E3-A2CB-4F53-ADCA-C3F708142004}"/>
    <cellStyle name="20% - Accent5 2 2 3 4" xfId="9184" xr:uid="{92B39317-F684-4AC4-9DEB-BEA144340E02}"/>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5960" xr:uid="{C2AD175C-2A77-4B9F-B37C-DE9E28B9C574}"/>
    <cellStyle name="20% - Accent5 2 2 4 2 3" xfId="11742" xr:uid="{3EB92643-DC1E-45AE-85D0-8CFAC99BABBB}"/>
    <cellStyle name="20% - Accent5 2 2 4 3" xfId="5365" xr:uid="{00000000-0005-0000-0000-00009F020000}"/>
    <cellStyle name="20% - Accent5 2 2 4 3 2" xfId="13815" xr:uid="{2993B48E-6A8A-4DBA-AC5A-4E6C286E4937}"/>
    <cellStyle name="20% - Accent5 2 2 4 4" xfId="9597" xr:uid="{5E40E347-44B7-453F-9205-EFA34DFFD383}"/>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6373" xr:uid="{0BB9B6F0-C417-4C76-958A-494F89E77AD8}"/>
    <cellStyle name="20% - Accent5 2 2 5 2 3" xfId="12155" xr:uid="{E0CE4DC6-02A0-41BE-A361-DF186AE0328D}"/>
    <cellStyle name="20% - Accent5 2 2 5 3" xfId="5778" xr:uid="{00000000-0005-0000-0000-0000A3020000}"/>
    <cellStyle name="20% - Accent5 2 2 5 3 2" xfId="14228" xr:uid="{EB151BC7-1802-40B7-8D09-F3A1F73CC3F8}"/>
    <cellStyle name="20% - Accent5 2 2 5 4" xfId="10010" xr:uid="{EE509C8B-2EBF-4503-B66D-2C852A026E44}"/>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6786" xr:uid="{C7248D8C-FA8D-4674-BE31-25706F6C3235}"/>
    <cellStyle name="20% - Accent5 2 2 6 2 3" xfId="12568" xr:uid="{DED7C10E-8309-4988-AF3A-601F4143EA1C}"/>
    <cellStyle name="20% - Accent5 2 2 6 3" xfId="6191" xr:uid="{00000000-0005-0000-0000-0000A7020000}"/>
    <cellStyle name="20% - Accent5 2 2 6 3 2" xfId="14641" xr:uid="{6BEFF0B8-B1B2-486B-BAE1-4034E55C1346}"/>
    <cellStyle name="20% - Accent5 2 2 6 4" xfId="10423" xr:uid="{69B014B8-394E-461F-B5A3-8975D4C086E3}"/>
    <cellStyle name="20% - Accent5 2 2 7" xfId="2298" xr:uid="{00000000-0005-0000-0000-0000A8020000}"/>
    <cellStyle name="20% - Accent5 2 2 7 2" xfId="6604" xr:uid="{00000000-0005-0000-0000-0000A9020000}"/>
    <cellStyle name="20% - Accent5 2 2 7 2 2" xfId="15054" xr:uid="{F090B414-73A0-41AD-A0AA-605FC199189C}"/>
    <cellStyle name="20% - Accent5 2 2 7 3" xfId="10836" xr:uid="{7168FB71-5826-49DD-A20F-E5188FF936E3}"/>
    <cellStyle name="20% - Accent5 2 2 8" xfId="4538" xr:uid="{00000000-0005-0000-0000-0000AA020000}"/>
    <cellStyle name="20% - Accent5 2 2 8 2" xfId="12988" xr:uid="{128EC3DD-7A95-4516-8E91-9169EE73394C}"/>
    <cellStyle name="20% - Accent5 2 2 9" xfId="8770" xr:uid="{F9AECF99-813E-48C9-B743-4D152DEC8BEE}"/>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5549" xr:uid="{D08293CA-6C48-4EB8-8968-291AE2D93D3E}"/>
    <cellStyle name="20% - Accent5 2 3 2 2 3" xfId="11331" xr:uid="{0735985A-AA60-4A03-9BAA-803D07E495F7}"/>
    <cellStyle name="20% - Accent5 2 3 2 3" xfId="4954" xr:uid="{00000000-0005-0000-0000-0000AF020000}"/>
    <cellStyle name="20% - Accent5 2 3 2 3 2" xfId="13404" xr:uid="{59B0B2A4-C8B2-411B-A0B4-208EA33C1867}"/>
    <cellStyle name="20% - Accent5 2 3 2 4" xfId="9186" xr:uid="{2D062E58-3FF7-4681-BD38-7685CEEBC15A}"/>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5962" xr:uid="{F625B705-1817-493A-8F27-36126A01AA0B}"/>
    <cellStyle name="20% - Accent5 2 3 3 2 3" xfId="11744" xr:uid="{9271BD18-EDAA-4587-9D29-2F940CB7E2A7}"/>
    <cellStyle name="20% - Accent5 2 3 3 3" xfId="5367" xr:uid="{00000000-0005-0000-0000-0000B3020000}"/>
    <cellStyle name="20% - Accent5 2 3 3 3 2" xfId="13817" xr:uid="{0AF2EE9C-FF72-4B08-9641-E4A22294FAE7}"/>
    <cellStyle name="20% - Accent5 2 3 3 4" xfId="9599" xr:uid="{FF4E637D-B9D8-4A4C-A6CC-A2F8119A92D9}"/>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6375" xr:uid="{9A3D7AE5-B14B-49EB-B805-8D4CB7A34A5E}"/>
    <cellStyle name="20% - Accent5 2 3 4 2 3" xfId="12157" xr:uid="{CCFBF730-DAEC-488B-8E33-E48B5E175075}"/>
    <cellStyle name="20% - Accent5 2 3 4 3" xfId="5780" xr:uid="{00000000-0005-0000-0000-0000B7020000}"/>
    <cellStyle name="20% - Accent5 2 3 4 3 2" xfId="14230" xr:uid="{FCF2F01F-54AC-4D76-9ABB-31DDDD46A002}"/>
    <cellStyle name="20% - Accent5 2 3 4 4" xfId="10012" xr:uid="{DCF2AF82-9B43-45DD-BE36-5ADF67870188}"/>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6788" xr:uid="{45A4D75A-7B90-41B4-ACA6-A3CD55F0F71B}"/>
    <cellStyle name="20% - Accent5 2 3 5 2 3" xfId="12570" xr:uid="{735301C3-13D1-4182-ADA0-78181461F6B1}"/>
    <cellStyle name="20% - Accent5 2 3 5 3" xfId="6193" xr:uid="{00000000-0005-0000-0000-0000BB020000}"/>
    <cellStyle name="20% - Accent5 2 3 5 3 2" xfId="14643" xr:uid="{F1D5F7E2-3274-432D-BCC7-0CBF0BD98A6E}"/>
    <cellStyle name="20% - Accent5 2 3 5 4" xfId="10425" xr:uid="{BF81464D-861D-4525-9987-E3C3DDCB67A2}"/>
    <cellStyle name="20% - Accent5 2 3 6" xfId="2300" xr:uid="{00000000-0005-0000-0000-0000BC020000}"/>
    <cellStyle name="20% - Accent5 2 3 6 2" xfId="6606" xr:uid="{00000000-0005-0000-0000-0000BD020000}"/>
    <cellStyle name="20% - Accent5 2 3 6 2 2" xfId="15056" xr:uid="{FA8C3690-9B35-4E3C-BE68-BC150713C144}"/>
    <cellStyle name="20% - Accent5 2 3 6 3" xfId="10838" xr:uid="{FC2BBD8C-15E0-45A9-A47B-9A1F68D67B46}"/>
    <cellStyle name="20% - Accent5 2 3 7" xfId="4540" xr:uid="{00000000-0005-0000-0000-0000BE020000}"/>
    <cellStyle name="20% - Accent5 2 3 7 2" xfId="12990" xr:uid="{BD183B06-F431-4CCA-A80E-980E40DD3704}"/>
    <cellStyle name="20% - Accent5 2 3 8" xfId="8772" xr:uid="{37A97249-A21F-4C9A-9000-B290FBE03D82}"/>
    <cellStyle name="20% - Accent5 2 4" xfId="603" xr:uid="{00000000-0005-0000-0000-0000BF020000}"/>
    <cellStyle name="20% - Accent5 2 4 2" xfId="2874" xr:uid="{00000000-0005-0000-0000-0000C0020000}"/>
    <cellStyle name="20% - Accent5 2 4 2 2" xfId="7096" xr:uid="{00000000-0005-0000-0000-0000C1020000}"/>
    <cellStyle name="20% - Accent5 2 4 2 2 2" xfId="15546" xr:uid="{125DB942-ADF0-47FF-AF8A-3F1EE1E4BBBC}"/>
    <cellStyle name="20% - Accent5 2 4 2 3" xfId="11328" xr:uid="{D0503E9E-F1C6-4B21-88BD-36A449074FA9}"/>
    <cellStyle name="20% - Accent5 2 4 3" xfId="4951" xr:uid="{00000000-0005-0000-0000-0000C2020000}"/>
    <cellStyle name="20% - Accent5 2 4 3 2" xfId="13401" xr:uid="{0344DBC3-E837-400B-AF1E-294EB75E3326}"/>
    <cellStyle name="20% - Accent5 2 4 4" xfId="9183" xr:uid="{F00E3B40-41EB-4458-A05E-3DDA5E49EC47}"/>
    <cellStyle name="20% - Accent5 2 5" xfId="1056" xr:uid="{00000000-0005-0000-0000-0000C3020000}"/>
    <cellStyle name="20% - Accent5 2 5 2" xfId="3287" xr:uid="{00000000-0005-0000-0000-0000C4020000}"/>
    <cellStyle name="20% - Accent5 2 5 2 2" xfId="7509" xr:uid="{00000000-0005-0000-0000-0000C5020000}"/>
    <cellStyle name="20% - Accent5 2 5 2 2 2" xfId="15959" xr:uid="{0C4D77F2-5444-412B-91DA-F79C7FA21D8C}"/>
    <cellStyle name="20% - Accent5 2 5 2 3" xfId="11741" xr:uid="{73356538-1F8E-4C64-9338-1A7E39E5E26F}"/>
    <cellStyle name="20% - Accent5 2 5 3" xfId="5364" xr:uid="{00000000-0005-0000-0000-0000C6020000}"/>
    <cellStyle name="20% - Accent5 2 5 3 2" xfId="13814" xr:uid="{C4DA2C10-0EE7-48BD-9725-722DB5F8674C}"/>
    <cellStyle name="20% - Accent5 2 5 4" xfId="9596" xr:uid="{EFE16A99-C19D-49D1-8410-19C72C4586FB}"/>
    <cellStyle name="20% - Accent5 2 6" xfId="1470" xr:uid="{00000000-0005-0000-0000-0000C7020000}"/>
    <cellStyle name="20% - Accent5 2 6 2" xfId="3700" xr:uid="{00000000-0005-0000-0000-0000C8020000}"/>
    <cellStyle name="20% - Accent5 2 6 2 2" xfId="7922" xr:uid="{00000000-0005-0000-0000-0000C9020000}"/>
    <cellStyle name="20% - Accent5 2 6 2 2 2" xfId="16372" xr:uid="{1A08F6C1-A6F7-4A97-94F2-C5B875ADA094}"/>
    <cellStyle name="20% - Accent5 2 6 2 3" xfId="12154" xr:uid="{18900B91-5B27-4733-9541-512EABB9DA55}"/>
    <cellStyle name="20% - Accent5 2 6 3" xfId="5777" xr:uid="{00000000-0005-0000-0000-0000CA020000}"/>
    <cellStyle name="20% - Accent5 2 6 3 2" xfId="14227" xr:uid="{069C7D56-E82B-4A89-86EB-89AD7D1E04C3}"/>
    <cellStyle name="20% - Accent5 2 6 4" xfId="10009" xr:uid="{95939F46-34C6-4609-9826-6D60CB078207}"/>
    <cellStyle name="20% - Accent5 2 7" xfId="1884" xr:uid="{00000000-0005-0000-0000-0000CB020000}"/>
    <cellStyle name="20% - Accent5 2 7 2" xfId="4113" xr:uid="{00000000-0005-0000-0000-0000CC020000}"/>
    <cellStyle name="20% - Accent5 2 7 2 2" xfId="8335" xr:uid="{00000000-0005-0000-0000-0000CD020000}"/>
    <cellStyle name="20% - Accent5 2 7 2 2 2" xfId="16785" xr:uid="{A4290415-7131-47B3-9FA4-03CDE6F6D9BC}"/>
    <cellStyle name="20% - Accent5 2 7 2 3" xfId="12567" xr:uid="{91ACB9D2-09FA-4D24-B55D-4ACE6F4DA034}"/>
    <cellStyle name="20% - Accent5 2 7 3" xfId="6190" xr:uid="{00000000-0005-0000-0000-0000CE020000}"/>
    <cellStyle name="20% - Accent5 2 7 3 2" xfId="14640" xr:uid="{222CD03C-920F-44CA-B4C2-12B20494C9B6}"/>
    <cellStyle name="20% - Accent5 2 7 4" xfId="10422" xr:uid="{84740605-1AF6-452F-91AE-34E022728AB4}"/>
    <cellStyle name="20% - Accent5 2 8" xfId="2297" xr:uid="{00000000-0005-0000-0000-0000CF020000}"/>
    <cellStyle name="20% - Accent5 2 8 2" xfId="6603" xr:uid="{00000000-0005-0000-0000-0000D0020000}"/>
    <cellStyle name="20% - Accent5 2 8 2 2" xfId="15053" xr:uid="{648A29B7-43A9-48DF-98A5-FCD0B42EF906}"/>
    <cellStyle name="20% - Accent5 2 8 3" xfId="10835" xr:uid="{8F68BDD3-FB74-425B-AE29-B9474606E936}"/>
    <cellStyle name="20% - Accent5 2 9" xfId="4537" xr:uid="{00000000-0005-0000-0000-0000D1020000}"/>
    <cellStyle name="20% - Accent5 2 9 2" xfId="12987" xr:uid="{6BC88DED-ABF0-42E3-A1AD-69975550EBA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5551" xr:uid="{0E865AE4-8342-4359-8C58-6614735E7181}"/>
    <cellStyle name="20% - Accent5 3 2 2 2 3" xfId="11333" xr:uid="{30930918-88FB-4476-A822-67E2A0B2B41D}"/>
    <cellStyle name="20% - Accent5 3 2 2 3" xfId="4956" xr:uid="{00000000-0005-0000-0000-0000D7020000}"/>
    <cellStyle name="20% - Accent5 3 2 2 3 2" xfId="13406" xr:uid="{48CC3308-5B08-4946-9BA9-5D1D6DEDC13D}"/>
    <cellStyle name="20% - Accent5 3 2 2 4" xfId="9188" xr:uid="{DE28C624-ACC4-4FB6-B57F-34968EE57B4A}"/>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5964" xr:uid="{1367BA2F-5CC8-41DC-9134-E7E44DC49547}"/>
    <cellStyle name="20% - Accent5 3 2 3 2 3" xfId="11746" xr:uid="{6C9471D5-40B0-419F-AF7B-6ECE8F29C4F2}"/>
    <cellStyle name="20% - Accent5 3 2 3 3" xfId="5369" xr:uid="{00000000-0005-0000-0000-0000DB020000}"/>
    <cellStyle name="20% - Accent5 3 2 3 3 2" xfId="13819" xr:uid="{F42164CF-5982-401A-9A9B-6501A4F19C8A}"/>
    <cellStyle name="20% - Accent5 3 2 3 4" xfId="9601" xr:uid="{39AFE062-996D-4107-8B1B-837A20861B8A}"/>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6377" xr:uid="{6B0A4098-0AEE-4B16-BA43-8D852534F0FA}"/>
    <cellStyle name="20% - Accent5 3 2 4 2 3" xfId="12159" xr:uid="{4C48A670-46E2-4D5B-AD75-361A510F8851}"/>
    <cellStyle name="20% - Accent5 3 2 4 3" xfId="5782" xr:uid="{00000000-0005-0000-0000-0000DF020000}"/>
    <cellStyle name="20% - Accent5 3 2 4 3 2" xfId="14232" xr:uid="{19C3E39E-510E-4202-8756-8B345F805E82}"/>
    <cellStyle name="20% - Accent5 3 2 4 4" xfId="10014" xr:uid="{37EFC472-12E0-4A55-9AE2-F84598AC4185}"/>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6790" xr:uid="{03FD06C4-E64B-47E8-B8DD-4E18D46D9C68}"/>
    <cellStyle name="20% - Accent5 3 2 5 2 3" xfId="12572" xr:uid="{C24BB6E9-E328-4C6C-9D47-35A9D74E72C0}"/>
    <cellStyle name="20% - Accent5 3 2 5 3" xfId="6195" xr:uid="{00000000-0005-0000-0000-0000E3020000}"/>
    <cellStyle name="20% - Accent5 3 2 5 3 2" xfId="14645" xr:uid="{95AC3739-2546-4411-92CA-106D9BD4F687}"/>
    <cellStyle name="20% - Accent5 3 2 5 4" xfId="10427" xr:uid="{2D768056-0B4F-4904-A455-95BF359A9C6F}"/>
    <cellStyle name="20% - Accent5 3 2 6" xfId="2302" xr:uid="{00000000-0005-0000-0000-0000E4020000}"/>
    <cellStyle name="20% - Accent5 3 2 6 2" xfId="6608" xr:uid="{00000000-0005-0000-0000-0000E5020000}"/>
    <cellStyle name="20% - Accent5 3 2 6 2 2" xfId="15058" xr:uid="{8668BF01-AB4B-4C9E-B5D0-20FE50D222CC}"/>
    <cellStyle name="20% - Accent5 3 2 6 3" xfId="10840" xr:uid="{2A705E79-7034-4C7F-B002-36CEA8370482}"/>
    <cellStyle name="20% - Accent5 3 2 7" xfId="4542" xr:uid="{00000000-0005-0000-0000-0000E6020000}"/>
    <cellStyle name="20% - Accent5 3 2 7 2" xfId="12992" xr:uid="{4C7147BC-4765-4FCB-8AED-CFCACE1C7969}"/>
    <cellStyle name="20% - Accent5 3 2 8" xfId="8774" xr:uid="{6D98D6DD-603C-42E2-8459-5F6BD562EBD6}"/>
    <cellStyle name="20% - Accent5 3 3" xfId="607" xr:uid="{00000000-0005-0000-0000-0000E7020000}"/>
    <cellStyle name="20% - Accent5 3 3 2" xfId="2878" xr:uid="{00000000-0005-0000-0000-0000E8020000}"/>
    <cellStyle name="20% - Accent5 3 3 2 2" xfId="7100" xr:uid="{00000000-0005-0000-0000-0000E9020000}"/>
    <cellStyle name="20% - Accent5 3 3 2 2 2" xfId="15550" xr:uid="{87045A1D-FEC8-494A-AB6E-CA441606847F}"/>
    <cellStyle name="20% - Accent5 3 3 2 3" xfId="11332" xr:uid="{4B859F08-66CA-4F11-B954-26CAC0600377}"/>
    <cellStyle name="20% - Accent5 3 3 3" xfId="4955" xr:uid="{00000000-0005-0000-0000-0000EA020000}"/>
    <cellStyle name="20% - Accent5 3 3 3 2" xfId="13405" xr:uid="{5AD99A20-0C75-48E5-B13A-D8F214EBDF89}"/>
    <cellStyle name="20% - Accent5 3 3 4" xfId="9187" xr:uid="{DD66E976-EEA5-480F-B654-E0FC048C8856}"/>
    <cellStyle name="20% - Accent5 3 4" xfId="1060" xr:uid="{00000000-0005-0000-0000-0000EB020000}"/>
    <cellStyle name="20% - Accent5 3 4 2" xfId="3291" xr:uid="{00000000-0005-0000-0000-0000EC020000}"/>
    <cellStyle name="20% - Accent5 3 4 2 2" xfId="7513" xr:uid="{00000000-0005-0000-0000-0000ED020000}"/>
    <cellStyle name="20% - Accent5 3 4 2 2 2" xfId="15963" xr:uid="{D9FE83BC-33C9-4C5D-8C20-F14F79537A1B}"/>
    <cellStyle name="20% - Accent5 3 4 2 3" xfId="11745" xr:uid="{70ABFCB8-442F-44F5-A4A8-66D36A0626FA}"/>
    <cellStyle name="20% - Accent5 3 4 3" xfId="5368" xr:uid="{00000000-0005-0000-0000-0000EE020000}"/>
    <cellStyle name="20% - Accent5 3 4 3 2" xfId="13818" xr:uid="{4213071C-7D7D-4CDC-B5E7-039BA719A5B1}"/>
    <cellStyle name="20% - Accent5 3 4 4" xfId="9600" xr:uid="{C9CF1BBA-1DA5-48AA-AB13-5C51CDF9D184}"/>
    <cellStyle name="20% - Accent5 3 5" xfId="1474" xr:uid="{00000000-0005-0000-0000-0000EF020000}"/>
    <cellStyle name="20% - Accent5 3 5 2" xfId="3704" xr:uid="{00000000-0005-0000-0000-0000F0020000}"/>
    <cellStyle name="20% - Accent5 3 5 2 2" xfId="7926" xr:uid="{00000000-0005-0000-0000-0000F1020000}"/>
    <cellStyle name="20% - Accent5 3 5 2 2 2" xfId="16376" xr:uid="{EBFCE2D6-A756-4F9B-BE5C-9455F68BE92E}"/>
    <cellStyle name="20% - Accent5 3 5 2 3" xfId="12158" xr:uid="{0C693CC5-EDD5-460B-BEF8-EDFFE7696DB2}"/>
    <cellStyle name="20% - Accent5 3 5 3" xfId="5781" xr:uid="{00000000-0005-0000-0000-0000F2020000}"/>
    <cellStyle name="20% - Accent5 3 5 3 2" xfId="14231" xr:uid="{FDE5E917-16E4-4B0F-885B-17DAC2B9AA47}"/>
    <cellStyle name="20% - Accent5 3 5 4" xfId="10013" xr:uid="{8E523C39-7784-4420-AF7D-1195A1FC2AF6}"/>
    <cellStyle name="20% - Accent5 3 6" xfId="1888" xr:uid="{00000000-0005-0000-0000-0000F3020000}"/>
    <cellStyle name="20% - Accent5 3 6 2" xfId="4117" xr:uid="{00000000-0005-0000-0000-0000F4020000}"/>
    <cellStyle name="20% - Accent5 3 6 2 2" xfId="8339" xr:uid="{00000000-0005-0000-0000-0000F5020000}"/>
    <cellStyle name="20% - Accent5 3 6 2 2 2" xfId="16789" xr:uid="{0C587667-BA96-4289-86FA-A48BEBA24456}"/>
    <cellStyle name="20% - Accent5 3 6 2 3" xfId="12571" xr:uid="{DE6BE792-7EC0-44B3-9C8A-A8DE8BE2F963}"/>
    <cellStyle name="20% - Accent5 3 6 3" xfId="6194" xr:uid="{00000000-0005-0000-0000-0000F6020000}"/>
    <cellStyle name="20% - Accent5 3 6 3 2" xfId="14644" xr:uid="{6693971E-FA2C-4FE5-A328-965409036DA9}"/>
    <cellStyle name="20% - Accent5 3 6 4" xfId="10426" xr:uid="{36D38505-4B8F-411D-9E5A-66F5F77A3C73}"/>
    <cellStyle name="20% - Accent5 3 7" xfId="2301" xr:uid="{00000000-0005-0000-0000-0000F7020000}"/>
    <cellStyle name="20% - Accent5 3 7 2" xfId="6607" xr:uid="{00000000-0005-0000-0000-0000F8020000}"/>
    <cellStyle name="20% - Accent5 3 7 2 2" xfId="15057" xr:uid="{8C10212A-28F2-4B0E-8845-A24432C5FFE6}"/>
    <cellStyle name="20% - Accent5 3 7 3" xfId="10839" xr:uid="{83CE2BA5-C589-4CE5-ADD8-94D498F7C149}"/>
    <cellStyle name="20% - Accent5 3 8" xfId="4541" xr:uid="{00000000-0005-0000-0000-0000F9020000}"/>
    <cellStyle name="20% - Accent5 3 8 2" xfId="12991" xr:uid="{1854C763-89C4-4925-AD02-BBE6FC4F4DF1}"/>
    <cellStyle name="20% - Accent5 3 9" xfId="8773" xr:uid="{4281E4C3-0F8F-4430-8CFA-B592C5B84599}"/>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5552" xr:uid="{4F3735C9-7FD2-4B70-ABE6-9C972F835979}"/>
    <cellStyle name="20% - Accent5 4 2 2 3" xfId="11334" xr:uid="{2C9D77DF-D9A8-4363-8069-D327A9192ABF}"/>
    <cellStyle name="20% - Accent5 4 2 3" xfId="4957" xr:uid="{00000000-0005-0000-0000-0000FE020000}"/>
    <cellStyle name="20% - Accent5 4 2 3 2" xfId="13407" xr:uid="{5E291BDC-ED10-40CB-9178-AEAD256F638C}"/>
    <cellStyle name="20% - Accent5 4 2 4" xfId="9189" xr:uid="{D6DDF81D-FE16-4793-9844-19726995AB7D}"/>
    <cellStyle name="20% - Accent5 4 3" xfId="1062" xr:uid="{00000000-0005-0000-0000-0000FF020000}"/>
    <cellStyle name="20% - Accent5 4 3 2" xfId="3293" xr:uid="{00000000-0005-0000-0000-000000030000}"/>
    <cellStyle name="20% - Accent5 4 3 2 2" xfId="7515" xr:uid="{00000000-0005-0000-0000-000001030000}"/>
    <cellStyle name="20% - Accent5 4 3 2 2 2" xfId="15965" xr:uid="{EA2BB6F1-54BE-4D14-8554-5D7A78C2A923}"/>
    <cellStyle name="20% - Accent5 4 3 2 3" xfId="11747" xr:uid="{F7D66E81-A528-4801-B904-36F5EE6C9067}"/>
    <cellStyle name="20% - Accent5 4 3 3" xfId="5370" xr:uid="{00000000-0005-0000-0000-000002030000}"/>
    <cellStyle name="20% - Accent5 4 3 3 2" xfId="13820" xr:uid="{0F611910-040C-45E3-8F40-91C69F7F68D5}"/>
    <cellStyle name="20% - Accent5 4 3 4" xfId="9602" xr:uid="{290F5C2C-4752-4573-B616-E7732AF6399F}"/>
    <cellStyle name="20% - Accent5 4 4" xfId="1476" xr:uid="{00000000-0005-0000-0000-000003030000}"/>
    <cellStyle name="20% - Accent5 4 4 2" xfId="3706" xr:uid="{00000000-0005-0000-0000-000004030000}"/>
    <cellStyle name="20% - Accent5 4 4 2 2" xfId="7928" xr:uid="{00000000-0005-0000-0000-000005030000}"/>
    <cellStyle name="20% - Accent5 4 4 2 2 2" xfId="16378" xr:uid="{2339FFEE-4661-4F0E-AAEA-4E7BD02F199F}"/>
    <cellStyle name="20% - Accent5 4 4 2 3" xfId="12160" xr:uid="{BAC99F60-52CE-4B97-B501-F08B50CB01A2}"/>
    <cellStyle name="20% - Accent5 4 4 3" xfId="5783" xr:uid="{00000000-0005-0000-0000-000006030000}"/>
    <cellStyle name="20% - Accent5 4 4 3 2" xfId="14233" xr:uid="{73F902A0-BA82-42BB-8523-3330C7745527}"/>
    <cellStyle name="20% - Accent5 4 4 4" xfId="10015" xr:uid="{F3FD63A3-3E92-4170-9320-573A42B45834}"/>
    <cellStyle name="20% - Accent5 4 5" xfId="1890" xr:uid="{00000000-0005-0000-0000-000007030000}"/>
    <cellStyle name="20% - Accent5 4 5 2" xfId="4119" xr:uid="{00000000-0005-0000-0000-000008030000}"/>
    <cellStyle name="20% - Accent5 4 5 2 2" xfId="8341" xr:uid="{00000000-0005-0000-0000-000009030000}"/>
    <cellStyle name="20% - Accent5 4 5 2 2 2" xfId="16791" xr:uid="{158CE11E-70C5-4099-ADBB-A8859F7AFD6C}"/>
    <cellStyle name="20% - Accent5 4 5 2 3" xfId="12573" xr:uid="{73217ABD-96ED-40A4-AD98-247B7D04C7A0}"/>
    <cellStyle name="20% - Accent5 4 5 3" xfId="6196" xr:uid="{00000000-0005-0000-0000-00000A030000}"/>
    <cellStyle name="20% - Accent5 4 5 3 2" xfId="14646" xr:uid="{8B79663F-2F21-4BBB-AD57-73390132A6A6}"/>
    <cellStyle name="20% - Accent5 4 5 4" xfId="10428" xr:uid="{71E62671-14DC-4CCC-9F22-D4BD5A95D933}"/>
    <cellStyle name="20% - Accent5 4 6" xfId="2303" xr:uid="{00000000-0005-0000-0000-00000B030000}"/>
    <cellStyle name="20% - Accent5 4 6 2" xfId="6609" xr:uid="{00000000-0005-0000-0000-00000C030000}"/>
    <cellStyle name="20% - Accent5 4 6 2 2" xfId="15059" xr:uid="{D61ABF0E-0EE1-4244-BADE-AD884567F94E}"/>
    <cellStyle name="20% - Accent5 4 6 3" xfId="10841" xr:uid="{41A89B66-31CE-43F6-B75C-F0DDC4D4C277}"/>
    <cellStyle name="20% - Accent5 4 7" xfId="4543" xr:uid="{00000000-0005-0000-0000-00000D030000}"/>
    <cellStyle name="20% - Accent5 4 7 2" xfId="12993" xr:uid="{65E14CBE-72A7-4881-A21C-A8D0D2A9D3A7}"/>
    <cellStyle name="20% - Accent5 4 8" xfId="8775" xr:uid="{DB20281B-C4BE-4296-9CF0-FF1A9D85E8A9}"/>
    <cellStyle name="20% - Accent5 5" xfId="602" xr:uid="{00000000-0005-0000-0000-00000E030000}"/>
    <cellStyle name="20% - Accent5 5 2" xfId="2873" xr:uid="{00000000-0005-0000-0000-00000F030000}"/>
    <cellStyle name="20% - Accent5 5 2 2" xfId="7095" xr:uid="{00000000-0005-0000-0000-000010030000}"/>
    <cellStyle name="20% - Accent5 5 2 2 2" xfId="15545" xr:uid="{43227D08-AA45-4E7A-A519-881EE9EFC541}"/>
    <cellStyle name="20% - Accent5 5 2 3" xfId="11327" xr:uid="{3D623B85-E173-4414-874E-EC52C1D310BC}"/>
    <cellStyle name="20% - Accent5 5 3" xfId="4950" xr:uid="{00000000-0005-0000-0000-000011030000}"/>
    <cellStyle name="20% - Accent5 5 3 2" xfId="13400" xr:uid="{C8A8646D-96E0-4416-9A65-CC9BBFCE831E}"/>
    <cellStyle name="20% - Accent5 5 4" xfId="9182" xr:uid="{1412E869-BECC-49E8-AD8C-E39F2E098DEC}"/>
    <cellStyle name="20% - Accent5 6" xfId="1055" xr:uid="{00000000-0005-0000-0000-000012030000}"/>
    <cellStyle name="20% - Accent5 6 2" xfId="3286" xr:uid="{00000000-0005-0000-0000-000013030000}"/>
    <cellStyle name="20% - Accent5 6 2 2" xfId="7508" xr:uid="{00000000-0005-0000-0000-000014030000}"/>
    <cellStyle name="20% - Accent5 6 2 2 2" xfId="15958" xr:uid="{588CD49E-E6F4-424E-87BD-16CCAF270AD0}"/>
    <cellStyle name="20% - Accent5 6 2 3" xfId="11740" xr:uid="{063AD6D9-557F-4687-93EE-C6C516F94296}"/>
    <cellStyle name="20% - Accent5 6 3" xfId="5363" xr:uid="{00000000-0005-0000-0000-000015030000}"/>
    <cellStyle name="20% - Accent5 6 3 2" xfId="13813" xr:uid="{3E7CD917-9A8A-4D8E-B862-D29175EE2F93}"/>
    <cellStyle name="20% - Accent5 6 4" xfId="9595" xr:uid="{CF52A63C-3A4D-4161-9835-1CA64D94F605}"/>
    <cellStyle name="20% - Accent5 7" xfId="1469" xr:uid="{00000000-0005-0000-0000-000016030000}"/>
    <cellStyle name="20% - Accent5 7 2" xfId="3699" xr:uid="{00000000-0005-0000-0000-000017030000}"/>
    <cellStyle name="20% - Accent5 7 2 2" xfId="7921" xr:uid="{00000000-0005-0000-0000-000018030000}"/>
    <cellStyle name="20% - Accent5 7 2 2 2" xfId="16371" xr:uid="{A4B90FA3-885E-4FB7-AD35-15ABB5596428}"/>
    <cellStyle name="20% - Accent5 7 2 3" xfId="12153" xr:uid="{995DEA93-4B4B-4DD2-8A2D-07DE9E570ED5}"/>
    <cellStyle name="20% - Accent5 7 3" xfId="5776" xr:uid="{00000000-0005-0000-0000-000019030000}"/>
    <cellStyle name="20% - Accent5 7 3 2" xfId="14226" xr:uid="{6DA4E521-BE29-4CBE-B9C7-8AD5CD5D7370}"/>
    <cellStyle name="20% - Accent5 7 4" xfId="10008" xr:uid="{DB9D0B73-7B82-4997-ACFC-E80A9885D9B1}"/>
    <cellStyle name="20% - Accent5 8" xfId="1883" xr:uid="{00000000-0005-0000-0000-00001A030000}"/>
    <cellStyle name="20% - Accent5 8 2" xfId="4112" xr:uid="{00000000-0005-0000-0000-00001B030000}"/>
    <cellStyle name="20% - Accent5 8 2 2" xfId="8334" xr:uid="{00000000-0005-0000-0000-00001C030000}"/>
    <cellStyle name="20% - Accent5 8 2 2 2" xfId="16784" xr:uid="{C967FC21-A899-4590-ADB1-99E7EFEDCB03}"/>
    <cellStyle name="20% - Accent5 8 2 3" xfId="12566" xr:uid="{2556D5E5-E8EC-49EE-90C0-9F188CD03E2C}"/>
    <cellStyle name="20% - Accent5 8 3" xfId="6189" xr:uid="{00000000-0005-0000-0000-00001D030000}"/>
    <cellStyle name="20% - Accent5 8 3 2" xfId="14639" xr:uid="{3761C42D-DC39-4F5B-80C3-EBC49F654A1A}"/>
    <cellStyle name="20% - Accent5 8 4" xfId="10421" xr:uid="{53DCDBDD-001C-4B82-A858-913B3AB6DC2A}"/>
    <cellStyle name="20% - Accent5 9" xfId="2296" xr:uid="{00000000-0005-0000-0000-00001E030000}"/>
    <cellStyle name="20% - Accent5 9 2" xfId="6602" xr:uid="{00000000-0005-0000-0000-00001F030000}"/>
    <cellStyle name="20% - Accent5 9 2 2" xfId="15052" xr:uid="{8ABFF475-7B2F-46FA-BB01-1AA9099E4435}"/>
    <cellStyle name="20% - Accent5 9 3" xfId="10834" xr:uid="{586A589D-232B-495B-BBBE-25F2128CF7AD}"/>
    <cellStyle name="20% - Accent6" xfId="41" builtinId="50" customBuiltin="1"/>
    <cellStyle name="20% - Accent6 10" xfId="4544" xr:uid="{00000000-0005-0000-0000-000021030000}"/>
    <cellStyle name="20% - Accent6 10 2" xfId="12994" xr:uid="{2E42F6A9-9307-4032-AC97-7F77085DBB6D}"/>
    <cellStyle name="20% - Accent6 11" xfId="8776" xr:uid="{414D607C-517E-4AB5-A0EE-5F713DDC68E2}"/>
    <cellStyle name="20% - Accent6 2" xfId="42" xr:uid="{00000000-0005-0000-0000-000022030000}"/>
    <cellStyle name="20% - Accent6 2 10" xfId="8777" xr:uid="{DDF82C99-AD3C-43B2-B4BA-C07B6312B2A6}"/>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5556" xr:uid="{A627364E-A098-4E09-B555-3C874ECDDDD8}"/>
    <cellStyle name="20% - Accent6 2 2 2 2 2 3" xfId="11338" xr:uid="{59F5B5C3-CE53-4113-BDD1-71F299919FF8}"/>
    <cellStyle name="20% - Accent6 2 2 2 2 3" xfId="4961" xr:uid="{00000000-0005-0000-0000-000028030000}"/>
    <cellStyle name="20% - Accent6 2 2 2 2 3 2" xfId="13411" xr:uid="{320564A8-E732-40D0-B043-7E2AD5FA0939}"/>
    <cellStyle name="20% - Accent6 2 2 2 2 4" xfId="9193" xr:uid="{69B903E1-BB95-4909-9352-9E8B822B4026}"/>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5969" xr:uid="{5F7971F1-B58B-4E89-9C41-4A830A2DBC4A}"/>
    <cellStyle name="20% - Accent6 2 2 2 3 2 3" xfId="11751" xr:uid="{9CEDE815-710A-4EB4-BD74-1EE924822B46}"/>
    <cellStyle name="20% - Accent6 2 2 2 3 3" xfId="5374" xr:uid="{00000000-0005-0000-0000-00002C030000}"/>
    <cellStyle name="20% - Accent6 2 2 2 3 3 2" xfId="13824" xr:uid="{02036C9C-668D-4E1C-BEA4-72FECA6ACD31}"/>
    <cellStyle name="20% - Accent6 2 2 2 3 4" xfId="9606" xr:uid="{919BF532-827D-4BEB-8827-F3316ACC461D}"/>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6382" xr:uid="{A0E3BB21-9F11-4B93-B003-E954B2C70CAC}"/>
    <cellStyle name="20% - Accent6 2 2 2 4 2 3" xfId="12164" xr:uid="{A733CFA9-66C5-4771-AFF5-71747404F3B2}"/>
    <cellStyle name="20% - Accent6 2 2 2 4 3" xfId="5787" xr:uid="{00000000-0005-0000-0000-000030030000}"/>
    <cellStyle name="20% - Accent6 2 2 2 4 3 2" xfId="14237" xr:uid="{8015FFB9-63FD-4FB7-B2FD-3519F48534C7}"/>
    <cellStyle name="20% - Accent6 2 2 2 4 4" xfId="10019" xr:uid="{D5F47C01-AB1F-4F40-95F7-77BEABBD59F9}"/>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6795" xr:uid="{7F7E22F8-F8BA-47B1-99F1-A632022FC541}"/>
    <cellStyle name="20% - Accent6 2 2 2 5 2 3" xfId="12577" xr:uid="{56421648-A286-4F3F-91BE-BB7F103EC160}"/>
    <cellStyle name="20% - Accent6 2 2 2 5 3" xfId="6200" xr:uid="{00000000-0005-0000-0000-000034030000}"/>
    <cellStyle name="20% - Accent6 2 2 2 5 3 2" xfId="14650" xr:uid="{99193ACF-EFB7-41FD-AF7C-C03FA9B66376}"/>
    <cellStyle name="20% - Accent6 2 2 2 5 4" xfId="10432" xr:uid="{6A872D74-3998-4605-B1DA-7503A8A99A8E}"/>
    <cellStyle name="20% - Accent6 2 2 2 6" xfId="2307" xr:uid="{00000000-0005-0000-0000-000035030000}"/>
    <cellStyle name="20% - Accent6 2 2 2 6 2" xfId="6613" xr:uid="{00000000-0005-0000-0000-000036030000}"/>
    <cellStyle name="20% - Accent6 2 2 2 6 2 2" xfId="15063" xr:uid="{289F3454-583E-4905-A986-588B3D0E3FFD}"/>
    <cellStyle name="20% - Accent6 2 2 2 6 3" xfId="10845" xr:uid="{B0EE70E1-B350-45E7-AC22-020BDB4A23FE}"/>
    <cellStyle name="20% - Accent6 2 2 2 7" xfId="4547" xr:uid="{00000000-0005-0000-0000-000037030000}"/>
    <cellStyle name="20% - Accent6 2 2 2 7 2" xfId="12997" xr:uid="{E1A9E34B-3B9E-454E-837E-17D3F7E4F8A3}"/>
    <cellStyle name="20% - Accent6 2 2 2 8" xfId="8779" xr:uid="{13BE5154-288D-43D3-AFF8-63C2DB57979A}"/>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5555" xr:uid="{678D8E2B-1A65-46EA-AE09-0D85DF4FA77B}"/>
    <cellStyle name="20% - Accent6 2 2 3 2 3" xfId="11337" xr:uid="{D81A7995-0097-48BA-B815-6F63F5812A20}"/>
    <cellStyle name="20% - Accent6 2 2 3 3" xfId="4960" xr:uid="{00000000-0005-0000-0000-00003B030000}"/>
    <cellStyle name="20% - Accent6 2 2 3 3 2" xfId="13410" xr:uid="{00AF638B-E541-4166-9E1D-053594F633AB}"/>
    <cellStyle name="20% - Accent6 2 2 3 4" xfId="9192" xr:uid="{1875B71A-21A5-4D37-BAF3-03AD2707C428}"/>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5968" xr:uid="{3636671A-F4A3-42FC-AB86-9353D749D678}"/>
    <cellStyle name="20% - Accent6 2 2 4 2 3" xfId="11750" xr:uid="{26828A70-1799-439C-BE9D-A1840035FCD3}"/>
    <cellStyle name="20% - Accent6 2 2 4 3" xfId="5373" xr:uid="{00000000-0005-0000-0000-00003F030000}"/>
    <cellStyle name="20% - Accent6 2 2 4 3 2" xfId="13823" xr:uid="{CA78F19B-40A3-49C9-9423-60192AEE311A}"/>
    <cellStyle name="20% - Accent6 2 2 4 4" xfId="9605" xr:uid="{1C2E8A82-2CF6-4D6F-A087-ED54D295B6D0}"/>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6381" xr:uid="{DA28C67E-3F5B-4BC2-9006-2604BFBA71D8}"/>
    <cellStyle name="20% - Accent6 2 2 5 2 3" xfId="12163" xr:uid="{976EF6D9-C51A-464F-9AFA-7B558E4C2435}"/>
    <cellStyle name="20% - Accent6 2 2 5 3" xfId="5786" xr:uid="{00000000-0005-0000-0000-000043030000}"/>
    <cellStyle name="20% - Accent6 2 2 5 3 2" xfId="14236" xr:uid="{35602FA5-39AE-45EC-8D61-BA1ECDF592C4}"/>
    <cellStyle name="20% - Accent6 2 2 5 4" xfId="10018" xr:uid="{000E3747-7C11-4B4B-879F-1890BFDC054D}"/>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6794" xr:uid="{E7332C84-30DA-4925-ADDF-18B40D5C9699}"/>
    <cellStyle name="20% - Accent6 2 2 6 2 3" xfId="12576" xr:uid="{4688D2B3-B088-4EB5-A4EE-EB1DA491210C}"/>
    <cellStyle name="20% - Accent6 2 2 6 3" xfId="6199" xr:uid="{00000000-0005-0000-0000-000047030000}"/>
    <cellStyle name="20% - Accent6 2 2 6 3 2" xfId="14649" xr:uid="{EA0101F0-FB60-40C5-A7BA-A5D76236D717}"/>
    <cellStyle name="20% - Accent6 2 2 6 4" xfId="10431" xr:uid="{794716D4-354E-43C8-8BF4-6FD05D939252}"/>
    <cellStyle name="20% - Accent6 2 2 7" xfId="2306" xr:uid="{00000000-0005-0000-0000-000048030000}"/>
    <cellStyle name="20% - Accent6 2 2 7 2" xfId="6612" xr:uid="{00000000-0005-0000-0000-000049030000}"/>
    <cellStyle name="20% - Accent6 2 2 7 2 2" xfId="15062" xr:uid="{CA99A6B5-67D9-451E-8A1D-99EE8B9AC083}"/>
    <cellStyle name="20% - Accent6 2 2 7 3" xfId="10844" xr:uid="{9D5F4079-432A-4A1E-ADAE-17AF55DCB8FE}"/>
    <cellStyle name="20% - Accent6 2 2 8" xfId="4546" xr:uid="{00000000-0005-0000-0000-00004A030000}"/>
    <cellStyle name="20% - Accent6 2 2 8 2" xfId="12996" xr:uid="{0D50EEBF-1C68-4E71-919B-F2FA8F0C8DC8}"/>
    <cellStyle name="20% - Accent6 2 2 9" xfId="8778" xr:uid="{9AC10621-C5B8-4FB1-BD20-8A4EF920A60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5557" xr:uid="{864FDC59-C18C-420A-8058-512820E80C0B}"/>
    <cellStyle name="20% - Accent6 2 3 2 2 3" xfId="11339" xr:uid="{640C0BEB-C700-427C-BDED-D865921784E0}"/>
    <cellStyle name="20% - Accent6 2 3 2 3" xfId="4962" xr:uid="{00000000-0005-0000-0000-00004F030000}"/>
    <cellStyle name="20% - Accent6 2 3 2 3 2" xfId="13412" xr:uid="{78BF23F9-2791-4E1B-92BE-4F8020C61D93}"/>
    <cellStyle name="20% - Accent6 2 3 2 4" xfId="9194" xr:uid="{AA683390-5737-4E4D-B9DF-81BFBFA78E5E}"/>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5970" xr:uid="{28E2B19C-2551-42EF-A1BD-93DD262984D9}"/>
    <cellStyle name="20% - Accent6 2 3 3 2 3" xfId="11752" xr:uid="{BEEA14E7-24E5-4761-9604-53C96AD7C45B}"/>
    <cellStyle name="20% - Accent6 2 3 3 3" xfId="5375" xr:uid="{00000000-0005-0000-0000-000053030000}"/>
    <cellStyle name="20% - Accent6 2 3 3 3 2" xfId="13825" xr:uid="{367C6D00-332E-4833-B184-1273B89D58C0}"/>
    <cellStyle name="20% - Accent6 2 3 3 4" xfId="9607" xr:uid="{181D6CFE-59C1-44D3-A5D5-47775FCADCAE}"/>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6383" xr:uid="{A5BFDFA0-FC0C-492F-8187-5BB07F43DE29}"/>
    <cellStyle name="20% - Accent6 2 3 4 2 3" xfId="12165" xr:uid="{D59F8991-DA9D-463D-85D0-22AC7BA524A0}"/>
    <cellStyle name="20% - Accent6 2 3 4 3" xfId="5788" xr:uid="{00000000-0005-0000-0000-000057030000}"/>
    <cellStyle name="20% - Accent6 2 3 4 3 2" xfId="14238" xr:uid="{B6EB2FBE-54DF-4954-90BD-1553F9D62D92}"/>
    <cellStyle name="20% - Accent6 2 3 4 4" xfId="10020" xr:uid="{A80A65C4-A5BC-4A53-A500-00370D3960CB}"/>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6796" xr:uid="{E5B97140-EBFD-4E09-85F8-7EFC727F6A87}"/>
    <cellStyle name="20% - Accent6 2 3 5 2 3" xfId="12578" xr:uid="{6C5066FB-E262-458D-9A87-366FC2C551C9}"/>
    <cellStyle name="20% - Accent6 2 3 5 3" xfId="6201" xr:uid="{00000000-0005-0000-0000-00005B030000}"/>
    <cellStyle name="20% - Accent6 2 3 5 3 2" xfId="14651" xr:uid="{7AD2D656-348B-41AE-805E-9A507366FFB2}"/>
    <cellStyle name="20% - Accent6 2 3 5 4" xfId="10433" xr:uid="{FD930C34-EC1E-4E97-866D-EA9E73E06A12}"/>
    <cellStyle name="20% - Accent6 2 3 6" xfId="2308" xr:uid="{00000000-0005-0000-0000-00005C030000}"/>
    <cellStyle name="20% - Accent6 2 3 6 2" xfId="6614" xr:uid="{00000000-0005-0000-0000-00005D030000}"/>
    <cellStyle name="20% - Accent6 2 3 6 2 2" xfId="15064" xr:uid="{94914B2E-96B6-4DAE-A8E8-ACC9AF3026F1}"/>
    <cellStyle name="20% - Accent6 2 3 6 3" xfId="10846" xr:uid="{B9CED6D6-916A-4510-BCFD-03169CA875F0}"/>
    <cellStyle name="20% - Accent6 2 3 7" xfId="4548" xr:uid="{00000000-0005-0000-0000-00005E030000}"/>
    <cellStyle name="20% - Accent6 2 3 7 2" xfId="12998" xr:uid="{F6AF6ED6-2431-4F06-B3DA-09633910F76F}"/>
    <cellStyle name="20% - Accent6 2 3 8" xfId="8780" xr:uid="{53500F20-F9A7-49C8-A87A-D5F09E62808C}"/>
    <cellStyle name="20% - Accent6 2 4" xfId="611" xr:uid="{00000000-0005-0000-0000-00005F030000}"/>
    <cellStyle name="20% - Accent6 2 4 2" xfId="2882" xr:uid="{00000000-0005-0000-0000-000060030000}"/>
    <cellStyle name="20% - Accent6 2 4 2 2" xfId="7104" xr:uid="{00000000-0005-0000-0000-000061030000}"/>
    <cellStyle name="20% - Accent6 2 4 2 2 2" xfId="15554" xr:uid="{726D2CD5-5F91-44D0-8DF7-B180AF21B4F0}"/>
    <cellStyle name="20% - Accent6 2 4 2 3" xfId="11336" xr:uid="{E1544868-9DCD-40B1-BAC7-81619C807617}"/>
    <cellStyle name="20% - Accent6 2 4 3" xfId="4959" xr:uid="{00000000-0005-0000-0000-000062030000}"/>
    <cellStyle name="20% - Accent6 2 4 3 2" xfId="13409" xr:uid="{B389F2DB-B884-4F3C-A290-F1EE551DD6D6}"/>
    <cellStyle name="20% - Accent6 2 4 4" xfId="9191" xr:uid="{B336E072-2CAD-42E0-B2A5-CA82166963E7}"/>
    <cellStyle name="20% - Accent6 2 5" xfId="1064" xr:uid="{00000000-0005-0000-0000-000063030000}"/>
    <cellStyle name="20% - Accent6 2 5 2" xfId="3295" xr:uid="{00000000-0005-0000-0000-000064030000}"/>
    <cellStyle name="20% - Accent6 2 5 2 2" xfId="7517" xr:uid="{00000000-0005-0000-0000-000065030000}"/>
    <cellStyle name="20% - Accent6 2 5 2 2 2" xfId="15967" xr:uid="{2CF6EAE4-61F2-4FE0-844D-7AB2FBAC40AD}"/>
    <cellStyle name="20% - Accent6 2 5 2 3" xfId="11749" xr:uid="{D8CC622C-AB20-456B-95E7-68111032D5FA}"/>
    <cellStyle name="20% - Accent6 2 5 3" xfId="5372" xr:uid="{00000000-0005-0000-0000-000066030000}"/>
    <cellStyle name="20% - Accent6 2 5 3 2" xfId="13822" xr:uid="{32C71726-4F91-4C59-8A6A-61A9891779FA}"/>
    <cellStyle name="20% - Accent6 2 5 4" xfId="9604" xr:uid="{B01086F8-CC13-46F6-8174-3FF42A6A8C26}"/>
    <cellStyle name="20% - Accent6 2 6" xfId="1478" xr:uid="{00000000-0005-0000-0000-000067030000}"/>
    <cellStyle name="20% - Accent6 2 6 2" xfId="3708" xr:uid="{00000000-0005-0000-0000-000068030000}"/>
    <cellStyle name="20% - Accent6 2 6 2 2" xfId="7930" xr:uid="{00000000-0005-0000-0000-000069030000}"/>
    <cellStyle name="20% - Accent6 2 6 2 2 2" xfId="16380" xr:uid="{3FD633AD-A132-4369-8C89-7FBF093839B1}"/>
    <cellStyle name="20% - Accent6 2 6 2 3" xfId="12162" xr:uid="{C2B21774-6978-41AC-A279-7237D9F93AF3}"/>
    <cellStyle name="20% - Accent6 2 6 3" xfId="5785" xr:uid="{00000000-0005-0000-0000-00006A030000}"/>
    <cellStyle name="20% - Accent6 2 6 3 2" xfId="14235" xr:uid="{40F59DBE-6D13-44B4-9DE9-2D39F11425A7}"/>
    <cellStyle name="20% - Accent6 2 6 4" xfId="10017" xr:uid="{446DBE91-7091-41F9-BA5F-06D1895FD08E}"/>
    <cellStyle name="20% - Accent6 2 7" xfId="1892" xr:uid="{00000000-0005-0000-0000-00006B030000}"/>
    <cellStyle name="20% - Accent6 2 7 2" xfId="4121" xr:uid="{00000000-0005-0000-0000-00006C030000}"/>
    <cellStyle name="20% - Accent6 2 7 2 2" xfId="8343" xr:uid="{00000000-0005-0000-0000-00006D030000}"/>
    <cellStyle name="20% - Accent6 2 7 2 2 2" xfId="16793" xr:uid="{EE28E23F-5CFD-4D83-B419-C253E9CEC9FD}"/>
    <cellStyle name="20% - Accent6 2 7 2 3" xfId="12575" xr:uid="{7FC2F836-9040-4395-AC6B-805848E8EE8B}"/>
    <cellStyle name="20% - Accent6 2 7 3" xfId="6198" xr:uid="{00000000-0005-0000-0000-00006E030000}"/>
    <cellStyle name="20% - Accent6 2 7 3 2" xfId="14648" xr:uid="{AE035ACA-CB1D-4745-9335-9604C1A7ECD3}"/>
    <cellStyle name="20% - Accent6 2 7 4" xfId="10430" xr:uid="{13852B97-EAE4-4A24-93C5-3340DA23C494}"/>
    <cellStyle name="20% - Accent6 2 8" xfId="2305" xr:uid="{00000000-0005-0000-0000-00006F030000}"/>
    <cellStyle name="20% - Accent6 2 8 2" xfId="6611" xr:uid="{00000000-0005-0000-0000-000070030000}"/>
    <cellStyle name="20% - Accent6 2 8 2 2" xfId="15061" xr:uid="{5A39A55B-B66E-43E5-AD70-D4670E4C2FF9}"/>
    <cellStyle name="20% - Accent6 2 8 3" xfId="10843" xr:uid="{3D61DD63-8016-4D10-8C59-53A866C4DC1A}"/>
    <cellStyle name="20% - Accent6 2 9" xfId="4545" xr:uid="{00000000-0005-0000-0000-000071030000}"/>
    <cellStyle name="20% - Accent6 2 9 2" xfId="12995" xr:uid="{49245595-261C-42F7-886E-3271FBE2F426}"/>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5559" xr:uid="{55F2AAD2-AE4F-4230-998D-E76ED03214BD}"/>
    <cellStyle name="20% - Accent6 3 2 2 2 3" xfId="11341" xr:uid="{90752383-8239-4812-96B4-D183C8E79C59}"/>
    <cellStyle name="20% - Accent6 3 2 2 3" xfId="4964" xr:uid="{00000000-0005-0000-0000-000077030000}"/>
    <cellStyle name="20% - Accent6 3 2 2 3 2" xfId="13414" xr:uid="{44F1BC55-B392-4A8E-87E5-9337619B1732}"/>
    <cellStyle name="20% - Accent6 3 2 2 4" xfId="9196" xr:uid="{01A8D27A-632B-4BAF-A60C-EAF5BEB06DBA}"/>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5972" xr:uid="{254024FD-5078-4129-8276-F4E64FCC5A46}"/>
    <cellStyle name="20% - Accent6 3 2 3 2 3" xfId="11754" xr:uid="{F9695B49-4DFC-4BE3-B552-FB224FED2D16}"/>
    <cellStyle name="20% - Accent6 3 2 3 3" xfId="5377" xr:uid="{00000000-0005-0000-0000-00007B030000}"/>
    <cellStyle name="20% - Accent6 3 2 3 3 2" xfId="13827" xr:uid="{D17896C8-BFE1-415B-A17E-078E6E6C52FF}"/>
    <cellStyle name="20% - Accent6 3 2 3 4" xfId="9609" xr:uid="{7134987F-7177-4C13-8633-395DDFFBB302}"/>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6385" xr:uid="{640E4848-B1B2-4F8F-92CA-5514505B991F}"/>
    <cellStyle name="20% - Accent6 3 2 4 2 3" xfId="12167" xr:uid="{7DC9D02B-1FCE-4035-AF5E-8931F1CEF063}"/>
    <cellStyle name="20% - Accent6 3 2 4 3" xfId="5790" xr:uid="{00000000-0005-0000-0000-00007F030000}"/>
    <cellStyle name="20% - Accent6 3 2 4 3 2" xfId="14240" xr:uid="{0A4C843E-56C4-4822-99EB-14EC21CB09E1}"/>
    <cellStyle name="20% - Accent6 3 2 4 4" xfId="10022" xr:uid="{AFE3E63B-79D0-4291-BF2C-195808BC55DA}"/>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6798" xr:uid="{C3EF4C84-3A69-4A16-BF89-37AE4040A497}"/>
    <cellStyle name="20% - Accent6 3 2 5 2 3" xfId="12580" xr:uid="{3423A51A-A71B-44A0-A23A-1EEE1F915079}"/>
    <cellStyle name="20% - Accent6 3 2 5 3" xfId="6203" xr:uid="{00000000-0005-0000-0000-000083030000}"/>
    <cellStyle name="20% - Accent6 3 2 5 3 2" xfId="14653" xr:uid="{339137E3-5B22-4B38-B564-17022F8506E6}"/>
    <cellStyle name="20% - Accent6 3 2 5 4" xfId="10435" xr:uid="{F3549789-228E-4965-99CB-57086E772580}"/>
    <cellStyle name="20% - Accent6 3 2 6" xfId="2310" xr:uid="{00000000-0005-0000-0000-000084030000}"/>
    <cellStyle name="20% - Accent6 3 2 6 2" xfId="6616" xr:uid="{00000000-0005-0000-0000-000085030000}"/>
    <cellStyle name="20% - Accent6 3 2 6 2 2" xfId="15066" xr:uid="{4A1D79D3-C72C-4720-A6D1-4CB3AF7AFA94}"/>
    <cellStyle name="20% - Accent6 3 2 6 3" xfId="10848" xr:uid="{5E99287F-440D-40AC-9356-DCCD50CDC00A}"/>
    <cellStyle name="20% - Accent6 3 2 7" xfId="4550" xr:uid="{00000000-0005-0000-0000-000086030000}"/>
    <cellStyle name="20% - Accent6 3 2 7 2" xfId="13000" xr:uid="{38FA8AFC-3F0D-4121-9AC7-C2D17307175B}"/>
    <cellStyle name="20% - Accent6 3 2 8" xfId="8782" xr:uid="{25998EB9-EC05-4ADF-AEA3-3596AB1F91B3}"/>
    <cellStyle name="20% - Accent6 3 3" xfId="615" xr:uid="{00000000-0005-0000-0000-000087030000}"/>
    <cellStyle name="20% - Accent6 3 3 2" xfId="2886" xr:uid="{00000000-0005-0000-0000-000088030000}"/>
    <cellStyle name="20% - Accent6 3 3 2 2" xfId="7108" xr:uid="{00000000-0005-0000-0000-000089030000}"/>
    <cellStyle name="20% - Accent6 3 3 2 2 2" xfId="15558" xr:uid="{1590BB22-4888-4837-9A21-25854906A11A}"/>
    <cellStyle name="20% - Accent6 3 3 2 3" xfId="11340" xr:uid="{923D844B-FEAC-4800-B5DA-31B16A62DFCB}"/>
    <cellStyle name="20% - Accent6 3 3 3" xfId="4963" xr:uid="{00000000-0005-0000-0000-00008A030000}"/>
    <cellStyle name="20% - Accent6 3 3 3 2" xfId="13413" xr:uid="{8A564B02-2933-442F-A2BE-2B1D9FA2A475}"/>
    <cellStyle name="20% - Accent6 3 3 4" xfId="9195" xr:uid="{E747A4B0-A6BD-4F61-A716-AD3A4F307EA6}"/>
    <cellStyle name="20% - Accent6 3 4" xfId="1068" xr:uid="{00000000-0005-0000-0000-00008B030000}"/>
    <cellStyle name="20% - Accent6 3 4 2" xfId="3299" xr:uid="{00000000-0005-0000-0000-00008C030000}"/>
    <cellStyle name="20% - Accent6 3 4 2 2" xfId="7521" xr:uid="{00000000-0005-0000-0000-00008D030000}"/>
    <cellStyle name="20% - Accent6 3 4 2 2 2" xfId="15971" xr:uid="{97AF490A-5B76-4953-AAAF-581626002715}"/>
    <cellStyle name="20% - Accent6 3 4 2 3" xfId="11753" xr:uid="{5A0E8DBD-0165-4381-AB03-E6680F41BF52}"/>
    <cellStyle name="20% - Accent6 3 4 3" xfId="5376" xr:uid="{00000000-0005-0000-0000-00008E030000}"/>
    <cellStyle name="20% - Accent6 3 4 3 2" xfId="13826" xr:uid="{986FA7C7-E34F-4CD1-89BB-744E40A60807}"/>
    <cellStyle name="20% - Accent6 3 4 4" xfId="9608" xr:uid="{C220341D-6EE7-4D1D-95D8-4C707DF701A2}"/>
    <cellStyle name="20% - Accent6 3 5" xfId="1482" xr:uid="{00000000-0005-0000-0000-00008F030000}"/>
    <cellStyle name="20% - Accent6 3 5 2" xfId="3712" xr:uid="{00000000-0005-0000-0000-000090030000}"/>
    <cellStyle name="20% - Accent6 3 5 2 2" xfId="7934" xr:uid="{00000000-0005-0000-0000-000091030000}"/>
    <cellStyle name="20% - Accent6 3 5 2 2 2" xfId="16384" xr:uid="{BA713623-FC21-47B1-BCF2-5A1FE1ED6C62}"/>
    <cellStyle name="20% - Accent6 3 5 2 3" xfId="12166" xr:uid="{42F08CF9-DFA1-4D26-B1F9-03CB7BD75646}"/>
    <cellStyle name="20% - Accent6 3 5 3" xfId="5789" xr:uid="{00000000-0005-0000-0000-000092030000}"/>
    <cellStyle name="20% - Accent6 3 5 3 2" xfId="14239" xr:uid="{B485BD1F-F25B-456D-828E-9C019B44FF33}"/>
    <cellStyle name="20% - Accent6 3 5 4" xfId="10021" xr:uid="{CE161CC6-C896-4061-BCC0-F9C8FEC4F309}"/>
    <cellStyle name="20% - Accent6 3 6" xfId="1896" xr:uid="{00000000-0005-0000-0000-000093030000}"/>
    <cellStyle name="20% - Accent6 3 6 2" xfId="4125" xr:uid="{00000000-0005-0000-0000-000094030000}"/>
    <cellStyle name="20% - Accent6 3 6 2 2" xfId="8347" xr:uid="{00000000-0005-0000-0000-000095030000}"/>
    <cellStyle name="20% - Accent6 3 6 2 2 2" xfId="16797" xr:uid="{711699B5-F117-4134-A6D8-3204FE6837DD}"/>
    <cellStyle name="20% - Accent6 3 6 2 3" xfId="12579" xr:uid="{86690397-935B-4EA8-9E75-12D76C5930A9}"/>
    <cellStyle name="20% - Accent6 3 6 3" xfId="6202" xr:uid="{00000000-0005-0000-0000-000096030000}"/>
    <cellStyle name="20% - Accent6 3 6 3 2" xfId="14652" xr:uid="{D33BF406-5135-4A79-BC42-6AE95B00CCB5}"/>
    <cellStyle name="20% - Accent6 3 6 4" xfId="10434" xr:uid="{FFAA5A17-F992-45F8-9604-BE6DCC877A1F}"/>
    <cellStyle name="20% - Accent6 3 7" xfId="2309" xr:uid="{00000000-0005-0000-0000-000097030000}"/>
    <cellStyle name="20% - Accent6 3 7 2" xfId="6615" xr:uid="{00000000-0005-0000-0000-000098030000}"/>
    <cellStyle name="20% - Accent6 3 7 2 2" xfId="15065" xr:uid="{FF0A23D4-9BDD-427B-AC75-6E5779A8589F}"/>
    <cellStyle name="20% - Accent6 3 7 3" xfId="10847" xr:uid="{F0A09DEF-DFF4-4363-9D2D-8EDF77EB2F84}"/>
    <cellStyle name="20% - Accent6 3 8" xfId="4549" xr:uid="{00000000-0005-0000-0000-000099030000}"/>
    <cellStyle name="20% - Accent6 3 8 2" xfId="12999" xr:uid="{BAAE53A7-DEA0-4B06-9046-4279F4F2C61B}"/>
    <cellStyle name="20% - Accent6 3 9" xfId="8781" xr:uid="{8736DCBF-3DB7-4AA1-9E3A-C4E86AB3EB04}"/>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5560" xr:uid="{AC6D1358-23F5-460D-A942-C3A2AA9DE769}"/>
    <cellStyle name="20% - Accent6 4 2 2 3" xfId="11342" xr:uid="{4EA1EF66-A793-4BB4-836F-6D07F0F7E21B}"/>
    <cellStyle name="20% - Accent6 4 2 3" xfId="4965" xr:uid="{00000000-0005-0000-0000-00009E030000}"/>
    <cellStyle name="20% - Accent6 4 2 3 2" xfId="13415" xr:uid="{FE03FA67-969E-49FA-9664-3BDC07CC49A4}"/>
    <cellStyle name="20% - Accent6 4 2 4" xfId="9197" xr:uid="{E9BB1937-8E17-4C99-8261-73BA08E1C0A4}"/>
    <cellStyle name="20% - Accent6 4 3" xfId="1070" xr:uid="{00000000-0005-0000-0000-00009F030000}"/>
    <cellStyle name="20% - Accent6 4 3 2" xfId="3301" xr:uid="{00000000-0005-0000-0000-0000A0030000}"/>
    <cellStyle name="20% - Accent6 4 3 2 2" xfId="7523" xr:uid="{00000000-0005-0000-0000-0000A1030000}"/>
    <cellStyle name="20% - Accent6 4 3 2 2 2" xfId="15973" xr:uid="{D9FDF650-9539-41FB-A48D-14F2DC64CF8D}"/>
    <cellStyle name="20% - Accent6 4 3 2 3" xfId="11755" xr:uid="{93438217-4E4C-4D3B-B6A7-962DEF9A1C08}"/>
    <cellStyle name="20% - Accent6 4 3 3" xfId="5378" xr:uid="{00000000-0005-0000-0000-0000A2030000}"/>
    <cellStyle name="20% - Accent6 4 3 3 2" xfId="13828" xr:uid="{DD538B08-2EFA-40C1-8734-0DBAECEEC692}"/>
    <cellStyle name="20% - Accent6 4 3 4" xfId="9610" xr:uid="{4B92D36B-17A8-4D0C-85C6-3689708A29D0}"/>
    <cellStyle name="20% - Accent6 4 4" xfId="1484" xr:uid="{00000000-0005-0000-0000-0000A3030000}"/>
    <cellStyle name="20% - Accent6 4 4 2" xfId="3714" xr:uid="{00000000-0005-0000-0000-0000A4030000}"/>
    <cellStyle name="20% - Accent6 4 4 2 2" xfId="7936" xr:uid="{00000000-0005-0000-0000-0000A5030000}"/>
    <cellStyle name="20% - Accent6 4 4 2 2 2" xfId="16386" xr:uid="{42E0CE7D-C70A-42B4-B0DC-C30260F6176C}"/>
    <cellStyle name="20% - Accent6 4 4 2 3" xfId="12168" xr:uid="{E520A8B4-B9E0-4102-A3F2-D62B638E02C4}"/>
    <cellStyle name="20% - Accent6 4 4 3" xfId="5791" xr:uid="{00000000-0005-0000-0000-0000A6030000}"/>
    <cellStyle name="20% - Accent6 4 4 3 2" xfId="14241" xr:uid="{4D857B8B-369A-4978-87ED-0C4DA06FD39A}"/>
    <cellStyle name="20% - Accent6 4 4 4" xfId="10023" xr:uid="{A5C3925A-C0DF-48BE-AED5-2B50E44D6EC0}"/>
    <cellStyle name="20% - Accent6 4 5" xfId="1898" xr:uid="{00000000-0005-0000-0000-0000A7030000}"/>
    <cellStyle name="20% - Accent6 4 5 2" xfId="4127" xr:uid="{00000000-0005-0000-0000-0000A8030000}"/>
    <cellStyle name="20% - Accent6 4 5 2 2" xfId="8349" xr:uid="{00000000-0005-0000-0000-0000A9030000}"/>
    <cellStyle name="20% - Accent6 4 5 2 2 2" xfId="16799" xr:uid="{3DB3B0EA-4476-47A2-B40C-DA197F2B06A8}"/>
    <cellStyle name="20% - Accent6 4 5 2 3" xfId="12581" xr:uid="{F30BFBCE-3F09-4A01-967A-57C58C486FC6}"/>
    <cellStyle name="20% - Accent6 4 5 3" xfId="6204" xr:uid="{00000000-0005-0000-0000-0000AA030000}"/>
    <cellStyle name="20% - Accent6 4 5 3 2" xfId="14654" xr:uid="{9A066726-CBB5-4EC2-BCE6-BEA3EA098A1E}"/>
    <cellStyle name="20% - Accent6 4 5 4" xfId="10436" xr:uid="{1877853F-DA05-48E7-9C6C-032A8FAA781E}"/>
    <cellStyle name="20% - Accent6 4 6" xfId="2311" xr:uid="{00000000-0005-0000-0000-0000AB030000}"/>
    <cellStyle name="20% - Accent6 4 6 2" xfId="6617" xr:uid="{00000000-0005-0000-0000-0000AC030000}"/>
    <cellStyle name="20% - Accent6 4 6 2 2" xfId="15067" xr:uid="{4700E329-5C5C-4477-8DA4-6D4144E775CA}"/>
    <cellStyle name="20% - Accent6 4 6 3" xfId="10849" xr:uid="{F6705C18-BE35-4D73-80C3-CA9A8F8C1A86}"/>
    <cellStyle name="20% - Accent6 4 7" xfId="4551" xr:uid="{00000000-0005-0000-0000-0000AD030000}"/>
    <cellStyle name="20% - Accent6 4 7 2" xfId="13001" xr:uid="{D25F1BAD-AE6A-4FDF-A04E-61B972693A35}"/>
    <cellStyle name="20% - Accent6 4 8" xfId="8783" xr:uid="{FFC59238-6FA3-4B47-AF40-E557EC8C556B}"/>
    <cellStyle name="20% - Accent6 5" xfId="610" xr:uid="{00000000-0005-0000-0000-0000AE030000}"/>
    <cellStyle name="20% - Accent6 5 2" xfId="2881" xr:uid="{00000000-0005-0000-0000-0000AF030000}"/>
    <cellStyle name="20% - Accent6 5 2 2" xfId="7103" xr:uid="{00000000-0005-0000-0000-0000B0030000}"/>
    <cellStyle name="20% - Accent6 5 2 2 2" xfId="15553" xr:uid="{FD6B9880-2BBC-41ED-AAD0-4A67D10200A5}"/>
    <cellStyle name="20% - Accent6 5 2 3" xfId="11335" xr:uid="{4D89BF8D-1F93-43B2-BC3E-870FA4555BDE}"/>
    <cellStyle name="20% - Accent6 5 3" xfId="4958" xr:uid="{00000000-0005-0000-0000-0000B1030000}"/>
    <cellStyle name="20% - Accent6 5 3 2" xfId="13408" xr:uid="{EE04B5AB-CD0F-4083-B614-BE6635B58BB7}"/>
    <cellStyle name="20% - Accent6 5 4" xfId="9190" xr:uid="{69144C44-29CD-4E8B-8B0C-D4807F186859}"/>
    <cellStyle name="20% - Accent6 6" xfId="1063" xr:uid="{00000000-0005-0000-0000-0000B2030000}"/>
    <cellStyle name="20% - Accent6 6 2" xfId="3294" xr:uid="{00000000-0005-0000-0000-0000B3030000}"/>
    <cellStyle name="20% - Accent6 6 2 2" xfId="7516" xr:uid="{00000000-0005-0000-0000-0000B4030000}"/>
    <cellStyle name="20% - Accent6 6 2 2 2" xfId="15966" xr:uid="{997ECFB7-6536-4079-823C-125A9A67D3ED}"/>
    <cellStyle name="20% - Accent6 6 2 3" xfId="11748" xr:uid="{3F837F42-6E9B-4698-99ED-8EBFB6225F56}"/>
    <cellStyle name="20% - Accent6 6 3" xfId="5371" xr:uid="{00000000-0005-0000-0000-0000B5030000}"/>
    <cellStyle name="20% - Accent6 6 3 2" xfId="13821" xr:uid="{455156FD-E53D-432D-BE0B-5543519B7FF8}"/>
    <cellStyle name="20% - Accent6 6 4" xfId="9603" xr:uid="{08AA3890-640B-47B8-83DE-7C9C3953BC20}"/>
    <cellStyle name="20% - Accent6 7" xfId="1477" xr:uid="{00000000-0005-0000-0000-0000B6030000}"/>
    <cellStyle name="20% - Accent6 7 2" xfId="3707" xr:uid="{00000000-0005-0000-0000-0000B7030000}"/>
    <cellStyle name="20% - Accent6 7 2 2" xfId="7929" xr:uid="{00000000-0005-0000-0000-0000B8030000}"/>
    <cellStyle name="20% - Accent6 7 2 2 2" xfId="16379" xr:uid="{AEA38A4E-1912-42E6-B7D7-FB096A0237EB}"/>
    <cellStyle name="20% - Accent6 7 2 3" xfId="12161" xr:uid="{46825E2A-40FB-4128-9963-8F1F95E7B696}"/>
    <cellStyle name="20% - Accent6 7 3" xfId="5784" xr:uid="{00000000-0005-0000-0000-0000B9030000}"/>
    <cellStyle name="20% - Accent6 7 3 2" xfId="14234" xr:uid="{48B593C1-362F-4339-A33B-83ED97934973}"/>
    <cellStyle name="20% - Accent6 7 4" xfId="10016" xr:uid="{7670486F-7EA0-48DA-9121-0E4CC7ECE8F7}"/>
    <cellStyle name="20% - Accent6 8" xfId="1891" xr:uid="{00000000-0005-0000-0000-0000BA030000}"/>
    <cellStyle name="20% - Accent6 8 2" xfId="4120" xr:uid="{00000000-0005-0000-0000-0000BB030000}"/>
    <cellStyle name="20% - Accent6 8 2 2" xfId="8342" xr:uid="{00000000-0005-0000-0000-0000BC030000}"/>
    <cellStyle name="20% - Accent6 8 2 2 2" xfId="16792" xr:uid="{9517ED6C-B454-4759-8512-41ABB2FBE2C8}"/>
    <cellStyle name="20% - Accent6 8 2 3" xfId="12574" xr:uid="{632E0509-EFE9-4575-B838-5ACEB7450074}"/>
    <cellStyle name="20% - Accent6 8 3" xfId="6197" xr:uid="{00000000-0005-0000-0000-0000BD030000}"/>
    <cellStyle name="20% - Accent6 8 3 2" xfId="14647" xr:uid="{AF0433F1-9C3F-44B7-9D14-A2D85E113834}"/>
    <cellStyle name="20% - Accent6 8 4" xfId="10429" xr:uid="{C3FF77B9-9A55-4ADB-AE4A-683B65AB1FFC}"/>
    <cellStyle name="20% - Accent6 9" xfId="2304" xr:uid="{00000000-0005-0000-0000-0000BE030000}"/>
    <cellStyle name="20% - Accent6 9 2" xfId="6610" xr:uid="{00000000-0005-0000-0000-0000BF030000}"/>
    <cellStyle name="20% - Accent6 9 2 2" xfId="15060" xr:uid="{9609993B-8D62-4CDE-8C9F-8E4B528EA1FE}"/>
    <cellStyle name="20% - Accent6 9 3" xfId="10842" xr:uid="{954C029E-2033-4CAB-989D-689991E5C43B}"/>
    <cellStyle name="40% - Accent1" xfId="49" builtinId="31" customBuiltin="1"/>
    <cellStyle name="40% - Accent1 10" xfId="4552" xr:uid="{00000000-0005-0000-0000-0000C1030000}"/>
    <cellStyle name="40% - Accent1 10 2" xfId="13002" xr:uid="{13C9D86F-2554-448C-AEC6-544DF2F5D4A7}"/>
    <cellStyle name="40% - Accent1 11" xfId="8784" xr:uid="{FE8F000B-2EF1-4329-9100-7B79414FF91A}"/>
    <cellStyle name="40% - Accent1 2" xfId="50" xr:uid="{00000000-0005-0000-0000-0000C2030000}"/>
    <cellStyle name="40% - Accent1 2 10" xfId="8785" xr:uid="{0D796DCC-0913-4E3E-B236-EA116EDD0257}"/>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5564" xr:uid="{2EC88E39-A742-4390-9EA1-D7D885A5339C}"/>
    <cellStyle name="40% - Accent1 2 2 2 2 2 3" xfId="11346" xr:uid="{A1AF2F51-A260-47EA-AA9C-A3DDC570E0F6}"/>
    <cellStyle name="40% - Accent1 2 2 2 2 3" xfId="4969" xr:uid="{00000000-0005-0000-0000-0000C8030000}"/>
    <cellStyle name="40% - Accent1 2 2 2 2 3 2" xfId="13419" xr:uid="{CEE9FE85-0809-4E92-8183-D22244D089BA}"/>
    <cellStyle name="40% - Accent1 2 2 2 2 4" xfId="9201" xr:uid="{8C983B7F-C814-4F83-9DF3-4A10538859CA}"/>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5977" xr:uid="{F9965A97-0D20-444B-A967-5F4ED3FC2141}"/>
    <cellStyle name="40% - Accent1 2 2 2 3 2 3" xfId="11759" xr:uid="{00883A79-5015-4A17-8040-C2109CE048FC}"/>
    <cellStyle name="40% - Accent1 2 2 2 3 3" xfId="5382" xr:uid="{00000000-0005-0000-0000-0000CC030000}"/>
    <cellStyle name="40% - Accent1 2 2 2 3 3 2" xfId="13832" xr:uid="{F146135B-2C87-47D7-A4BE-031C58B3E393}"/>
    <cellStyle name="40% - Accent1 2 2 2 3 4" xfId="9614" xr:uid="{F7657D0E-FE65-4CC7-B121-99C8BB7286EA}"/>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6390" xr:uid="{98654713-1FC7-4241-92E8-FB4EE7078CC0}"/>
    <cellStyle name="40% - Accent1 2 2 2 4 2 3" xfId="12172" xr:uid="{EB8C11D2-0C94-40B9-A5E9-88600989E817}"/>
    <cellStyle name="40% - Accent1 2 2 2 4 3" xfId="5795" xr:uid="{00000000-0005-0000-0000-0000D0030000}"/>
    <cellStyle name="40% - Accent1 2 2 2 4 3 2" xfId="14245" xr:uid="{B226423D-643F-4A05-A991-2D5A34AE9BB2}"/>
    <cellStyle name="40% - Accent1 2 2 2 4 4" xfId="10027" xr:uid="{668B45AF-3D5A-43AC-BBBA-93EAD87BA63D}"/>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6803" xr:uid="{A887EC6D-F956-4169-85C0-B77CDEEF6B6E}"/>
    <cellStyle name="40% - Accent1 2 2 2 5 2 3" xfId="12585" xr:uid="{0025F148-2E4F-4338-B23D-7D5E743C1389}"/>
    <cellStyle name="40% - Accent1 2 2 2 5 3" xfId="6208" xr:uid="{00000000-0005-0000-0000-0000D4030000}"/>
    <cellStyle name="40% - Accent1 2 2 2 5 3 2" xfId="14658" xr:uid="{15A1B405-FA5E-4BCF-BCE5-312B949465BE}"/>
    <cellStyle name="40% - Accent1 2 2 2 5 4" xfId="10440" xr:uid="{BE6A3F7C-DFD8-4B84-B09E-7AD39060DBEB}"/>
    <cellStyle name="40% - Accent1 2 2 2 6" xfId="2315" xr:uid="{00000000-0005-0000-0000-0000D5030000}"/>
    <cellStyle name="40% - Accent1 2 2 2 6 2" xfId="6621" xr:uid="{00000000-0005-0000-0000-0000D6030000}"/>
    <cellStyle name="40% - Accent1 2 2 2 6 2 2" xfId="15071" xr:uid="{550A40DE-4BA3-44F1-B2FC-9E118850044C}"/>
    <cellStyle name="40% - Accent1 2 2 2 6 3" xfId="10853" xr:uid="{8C4BBC4E-4772-41D5-A001-3A4F9969FBB0}"/>
    <cellStyle name="40% - Accent1 2 2 2 7" xfId="4555" xr:uid="{00000000-0005-0000-0000-0000D7030000}"/>
    <cellStyle name="40% - Accent1 2 2 2 7 2" xfId="13005" xr:uid="{5FABEB5C-40CB-45B9-9BE7-1DC6167D4A5C}"/>
    <cellStyle name="40% - Accent1 2 2 2 8" xfId="8787" xr:uid="{6D0DC299-3181-4463-95BF-16658DB74F0C}"/>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5563" xr:uid="{F4559251-88F0-4364-B0F9-A7D7BA5D82E0}"/>
    <cellStyle name="40% - Accent1 2 2 3 2 3" xfId="11345" xr:uid="{B914F68C-473E-42FA-A953-2E33D65A3B05}"/>
    <cellStyle name="40% - Accent1 2 2 3 3" xfId="4968" xr:uid="{00000000-0005-0000-0000-0000DB030000}"/>
    <cellStyle name="40% - Accent1 2 2 3 3 2" xfId="13418" xr:uid="{BC9ED0EC-237E-4FDD-8259-70EB83FE5797}"/>
    <cellStyle name="40% - Accent1 2 2 3 4" xfId="9200" xr:uid="{7DD0504B-ACA5-44B3-AFDD-B212ACA0B7B2}"/>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5976" xr:uid="{DAE860E4-1D67-43A2-AEB2-4DBFDCD0D25E}"/>
    <cellStyle name="40% - Accent1 2 2 4 2 3" xfId="11758" xr:uid="{0A7BB020-5F90-471B-B4A8-F9B01F37B5F1}"/>
    <cellStyle name="40% - Accent1 2 2 4 3" xfId="5381" xr:uid="{00000000-0005-0000-0000-0000DF030000}"/>
    <cellStyle name="40% - Accent1 2 2 4 3 2" xfId="13831" xr:uid="{9C9ACC5B-FAE2-47AB-8F1A-9611D6974F5C}"/>
    <cellStyle name="40% - Accent1 2 2 4 4" xfId="9613" xr:uid="{9162AFA9-2194-4312-AE96-C746FDA53BD3}"/>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6389" xr:uid="{E2680572-D2B9-428C-B270-174AA7957CB5}"/>
    <cellStyle name="40% - Accent1 2 2 5 2 3" xfId="12171" xr:uid="{4D27D1B1-B9DA-46D4-B2DB-83F4D77C1C7C}"/>
    <cellStyle name="40% - Accent1 2 2 5 3" xfId="5794" xr:uid="{00000000-0005-0000-0000-0000E3030000}"/>
    <cellStyle name="40% - Accent1 2 2 5 3 2" xfId="14244" xr:uid="{E8C1E7E2-9BAD-4E1E-AC9A-EE96FF0A64ED}"/>
    <cellStyle name="40% - Accent1 2 2 5 4" xfId="10026" xr:uid="{7DBC80BC-AD38-4A84-89CA-263C7B28E099}"/>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6802" xr:uid="{1BE60131-D534-4C02-B726-448A92FF5C92}"/>
    <cellStyle name="40% - Accent1 2 2 6 2 3" xfId="12584" xr:uid="{FDC337D7-D029-4AD6-993B-E16E52625128}"/>
    <cellStyle name="40% - Accent1 2 2 6 3" xfId="6207" xr:uid="{00000000-0005-0000-0000-0000E7030000}"/>
    <cellStyle name="40% - Accent1 2 2 6 3 2" xfId="14657" xr:uid="{A410AE2C-75B5-4DF1-BEFA-DB89191E66EE}"/>
    <cellStyle name="40% - Accent1 2 2 6 4" xfId="10439" xr:uid="{70D14B61-BE92-44B5-ABEF-91C4031373DF}"/>
    <cellStyle name="40% - Accent1 2 2 7" xfId="2314" xr:uid="{00000000-0005-0000-0000-0000E8030000}"/>
    <cellStyle name="40% - Accent1 2 2 7 2" xfId="6620" xr:uid="{00000000-0005-0000-0000-0000E9030000}"/>
    <cellStyle name="40% - Accent1 2 2 7 2 2" xfId="15070" xr:uid="{F59CB75C-3403-409F-85BE-C5EA3EE9E4CF}"/>
    <cellStyle name="40% - Accent1 2 2 7 3" xfId="10852" xr:uid="{94C5F4AA-2A37-44CC-AFD9-A86BFE9CB915}"/>
    <cellStyle name="40% - Accent1 2 2 8" xfId="4554" xr:uid="{00000000-0005-0000-0000-0000EA030000}"/>
    <cellStyle name="40% - Accent1 2 2 8 2" xfId="13004" xr:uid="{195F53EE-0C38-4B21-BBC8-2C0EF8A333F5}"/>
    <cellStyle name="40% - Accent1 2 2 9" xfId="8786" xr:uid="{4E058C07-3C1A-4EBA-B805-7A208415DC1A}"/>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5565" xr:uid="{00C9F3D7-BA6B-400D-8C0E-4C9FA45D680D}"/>
    <cellStyle name="40% - Accent1 2 3 2 2 3" xfId="11347" xr:uid="{CF8259F4-AD5A-4FDD-B42F-9906B179321E}"/>
    <cellStyle name="40% - Accent1 2 3 2 3" xfId="4970" xr:uid="{00000000-0005-0000-0000-0000EF030000}"/>
    <cellStyle name="40% - Accent1 2 3 2 3 2" xfId="13420" xr:uid="{18ECD073-5D7A-48C2-A614-5CD01B689852}"/>
    <cellStyle name="40% - Accent1 2 3 2 4" xfId="9202" xr:uid="{F31F7ADB-3CE5-45F0-9A01-A8A28DDEC391}"/>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5978" xr:uid="{AA799AE5-F3BA-434E-A739-B3BA13BFC37E}"/>
    <cellStyle name="40% - Accent1 2 3 3 2 3" xfId="11760" xr:uid="{A35676B4-D6D1-48C3-9ED7-105ED0B30802}"/>
    <cellStyle name="40% - Accent1 2 3 3 3" xfId="5383" xr:uid="{00000000-0005-0000-0000-0000F3030000}"/>
    <cellStyle name="40% - Accent1 2 3 3 3 2" xfId="13833" xr:uid="{E77B51D3-4953-4DAB-90B9-2CD931F8C09D}"/>
    <cellStyle name="40% - Accent1 2 3 3 4" xfId="9615" xr:uid="{3C1984FD-AD06-4C37-9843-878A61EF6470}"/>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6391" xr:uid="{91B3F44B-D3D9-448B-A272-6101D0A81CA0}"/>
    <cellStyle name="40% - Accent1 2 3 4 2 3" xfId="12173" xr:uid="{C5AD16B2-9156-4D69-BBFF-6A7EDBD426BC}"/>
    <cellStyle name="40% - Accent1 2 3 4 3" xfId="5796" xr:uid="{00000000-0005-0000-0000-0000F7030000}"/>
    <cellStyle name="40% - Accent1 2 3 4 3 2" xfId="14246" xr:uid="{8D297296-CBD8-40DE-A1F8-7E7C2AAD15C1}"/>
    <cellStyle name="40% - Accent1 2 3 4 4" xfId="10028" xr:uid="{09D20DDB-D385-4678-A68B-96626B0B67DF}"/>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6804" xr:uid="{43B99F3D-AF66-4E44-BE84-600CA041BEDA}"/>
    <cellStyle name="40% - Accent1 2 3 5 2 3" xfId="12586" xr:uid="{D53364BB-5493-4C8E-9E2A-ED6F1AD282E2}"/>
    <cellStyle name="40% - Accent1 2 3 5 3" xfId="6209" xr:uid="{00000000-0005-0000-0000-0000FB030000}"/>
    <cellStyle name="40% - Accent1 2 3 5 3 2" xfId="14659" xr:uid="{311D2B73-84D2-4CE5-ACBD-165166B931E6}"/>
    <cellStyle name="40% - Accent1 2 3 5 4" xfId="10441" xr:uid="{4EC9C05E-B3C0-4BA3-A6B0-D6F386166619}"/>
    <cellStyle name="40% - Accent1 2 3 6" xfId="2316" xr:uid="{00000000-0005-0000-0000-0000FC030000}"/>
    <cellStyle name="40% - Accent1 2 3 6 2" xfId="6622" xr:uid="{00000000-0005-0000-0000-0000FD030000}"/>
    <cellStyle name="40% - Accent1 2 3 6 2 2" xfId="15072" xr:uid="{B96D7B90-DC8B-4B59-A73C-DDD8FD48FED0}"/>
    <cellStyle name="40% - Accent1 2 3 6 3" xfId="10854" xr:uid="{9094615E-95FE-4D9A-8FEC-5B58E1D5DDBE}"/>
    <cellStyle name="40% - Accent1 2 3 7" xfId="4556" xr:uid="{00000000-0005-0000-0000-0000FE030000}"/>
    <cellStyle name="40% - Accent1 2 3 7 2" xfId="13006" xr:uid="{E79A777C-4F1A-44EE-AF21-C82422AE57D3}"/>
    <cellStyle name="40% - Accent1 2 3 8" xfId="8788" xr:uid="{5A0D18E7-5F10-4057-BE08-56457BFA66F2}"/>
    <cellStyle name="40% - Accent1 2 4" xfId="619" xr:uid="{00000000-0005-0000-0000-0000FF030000}"/>
    <cellStyle name="40% - Accent1 2 4 2" xfId="2890" xr:uid="{00000000-0005-0000-0000-000000040000}"/>
    <cellStyle name="40% - Accent1 2 4 2 2" xfId="7112" xr:uid="{00000000-0005-0000-0000-000001040000}"/>
    <cellStyle name="40% - Accent1 2 4 2 2 2" xfId="15562" xr:uid="{D42BA93D-0D63-4457-8640-FD105BC1AC5D}"/>
    <cellStyle name="40% - Accent1 2 4 2 3" xfId="11344" xr:uid="{0550796F-7CEC-4D51-8C79-EAA09F38B868}"/>
    <cellStyle name="40% - Accent1 2 4 3" xfId="4967" xr:uid="{00000000-0005-0000-0000-000002040000}"/>
    <cellStyle name="40% - Accent1 2 4 3 2" xfId="13417" xr:uid="{048C0DBE-134B-4CDB-8E9B-F11CE53F7179}"/>
    <cellStyle name="40% - Accent1 2 4 4" xfId="9199" xr:uid="{08F45CE8-BFDB-4E35-BF1E-166AEEC60E34}"/>
    <cellStyle name="40% - Accent1 2 5" xfId="1072" xr:uid="{00000000-0005-0000-0000-000003040000}"/>
    <cellStyle name="40% - Accent1 2 5 2" xfId="3303" xr:uid="{00000000-0005-0000-0000-000004040000}"/>
    <cellStyle name="40% - Accent1 2 5 2 2" xfId="7525" xr:uid="{00000000-0005-0000-0000-000005040000}"/>
    <cellStyle name="40% - Accent1 2 5 2 2 2" xfId="15975" xr:uid="{26E4BB46-3318-4E4C-88F4-EA94B97D5567}"/>
    <cellStyle name="40% - Accent1 2 5 2 3" xfId="11757" xr:uid="{1A5D81BA-B616-4942-AE54-7913F5D21F08}"/>
    <cellStyle name="40% - Accent1 2 5 3" xfId="5380" xr:uid="{00000000-0005-0000-0000-000006040000}"/>
    <cellStyle name="40% - Accent1 2 5 3 2" xfId="13830" xr:uid="{BCF86A0F-8C31-48AC-8B49-B38E0F71283B}"/>
    <cellStyle name="40% - Accent1 2 5 4" xfId="9612" xr:uid="{7E1E0222-D89E-49AE-A0F0-FE61CEF2D280}"/>
    <cellStyle name="40% - Accent1 2 6" xfId="1486" xr:uid="{00000000-0005-0000-0000-000007040000}"/>
    <cellStyle name="40% - Accent1 2 6 2" xfId="3716" xr:uid="{00000000-0005-0000-0000-000008040000}"/>
    <cellStyle name="40% - Accent1 2 6 2 2" xfId="7938" xr:uid="{00000000-0005-0000-0000-000009040000}"/>
    <cellStyle name="40% - Accent1 2 6 2 2 2" xfId="16388" xr:uid="{89B425B5-FD98-4D49-B21A-A425EF1494BF}"/>
    <cellStyle name="40% - Accent1 2 6 2 3" xfId="12170" xr:uid="{2D5416A9-5F14-4123-BEC9-8F69E3E9095E}"/>
    <cellStyle name="40% - Accent1 2 6 3" xfId="5793" xr:uid="{00000000-0005-0000-0000-00000A040000}"/>
    <cellStyle name="40% - Accent1 2 6 3 2" xfId="14243" xr:uid="{846A4577-F4DF-4E90-A664-3171400D45CA}"/>
    <cellStyle name="40% - Accent1 2 6 4" xfId="10025" xr:uid="{9769405A-DD4D-4203-B95E-E1836D5A8CB6}"/>
    <cellStyle name="40% - Accent1 2 7" xfId="1900" xr:uid="{00000000-0005-0000-0000-00000B040000}"/>
    <cellStyle name="40% - Accent1 2 7 2" xfId="4129" xr:uid="{00000000-0005-0000-0000-00000C040000}"/>
    <cellStyle name="40% - Accent1 2 7 2 2" xfId="8351" xr:uid="{00000000-0005-0000-0000-00000D040000}"/>
    <cellStyle name="40% - Accent1 2 7 2 2 2" xfId="16801" xr:uid="{8034B986-2C17-44C4-8CAB-3AE5537FF4DA}"/>
    <cellStyle name="40% - Accent1 2 7 2 3" xfId="12583" xr:uid="{8B212571-5A61-4ED2-BBFC-3FC91D0369EC}"/>
    <cellStyle name="40% - Accent1 2 7 3" xfId="6206" xr:uid="{00000000-0005-0000-0000-00000E040000}"/>
    <cellStyle name="40% - Accent1 2 7 3 2" xfId="14656" xr:uid="{A7AAA938-E03F-4E82-B991-51A5EA2ED34A}"/>
    <cellStyle name="40% - Accent1 2 7 4" xfId="10438" xr:uid="{00A35696-85D4-4254-A97E-510A824C733E}"/>
    <cellStyle name="40% - Accent1 2 8" xfId="2313" xr:uid="{00000000-0005-0000-0000-00000F040000}"/>
    <cellStyle name="40% - Accent1 2 8 2" xfId="6619" xr:uid="{00000000-0005-0000-0000-000010040000}"/>
    <cellStyle name="40% - Accent1 2 8 2 2" xfId="15069" xr:uid="{68D775CF-6324-476F-A3B7-39860892DC85}"/>
    <cellStyle name="40% - Accent1 2 8 3" xfId="10851" xr:uid="{FE64D7D6-0594-4117-A1F4-FFE4B1643B84}"/>
    <cellStyle name="40% - Accent1 2 9" xfId="4553" xr:uid="{00000000-0005-0000-0000-000011040000}"/>
    <cellStyle name="40% - Accent1 2 9 2" xfId="13003" xr:uid="{F01C4C82-C0DD-49A3-A111-2C70D3D8C902}"/>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5567" xr:uid="{3FAFF20B-3302-4468-B450-D6A191299898}"/>
    <cellStyle name="40% - Accent1 3 2 2 2 3" xfId="11349" xr:uid="{8EE6E364-F234-4D16-BDC1-1D7D87609934}"/>
    <cellStyle name="40% - Accent1 3 2 2 3" xfId="4972" xr:uid="{00000000-0005-0000-0000-000017040000}"/>
    <cellStyle name="40% - Accent1 3 2 2 3 2" xfId="13422" xr:uid="{FD595C95-B6E1-4E85-96FC-C01DC3A45979}"/>
    <cellStyle name="40% - Accent1 3 2 2 4" xfId="9204" xr:uid="{27ECC58E-1281-469C-A281-A40E050F2890}"/>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5980" xr:uid="{835DD4A9-746B-4C14-B8E9-1B156C0726CB}"/>
    <cellStyle name="40% - Accent1 3 2 3 2 3" xfId="11762" xr:uid="{CAB16680-5DC8-404D-A90D-04DB4C4310F1}"/>
    <cellStyle name="40% - Accent1 3 2 3 3" xfId="5385" xr:uid="{00000000-0005-0000-0000-00001B040000}"/>
    <cellStyle name="40% - Accent1 3 2 3 3 2" xfId="13835" xr:uid="{7F74B09E-D6DF-4571-92B9-5E553385BB82}"/>
    <cellStyle name="40% - Accent1 3 2 3 4" xfId="9617" xr:uid="{89C9BAA1-B378-4A41-8B22-F791EAA72B4A}"/>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6393" xr:uid="{69ADB7CD-0C8F-4155-A11F-F7CF1EF92261}"/>
    <cellStyle name="40% - Accent1 3 2 4 2 3" xfId="12175" xr:uid="{F304E2AE-DB6A-40BC-AE32-A221CB696010}"/>
    <cellStyle name="40% - Accent1 3 2 4 3" xfId="5798" xr:uid="{00000000-0005-0000-0000-00001F040000}"/>
    <cellStyle name="40% - Accent1 3 2 4 3 2" xfId="14248" xr:uid="{E00F9974-5435-41AF-AD4C-2C4C0E56C2B4}"/>
    <cellStyle name="40% - Accent1 3 2 4 4" xfId="10030" xr:uid="{77DD1E6E-ECFE-4EEF-A80D-0BBA61E3CAB5}"/>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6806" xr:uid="{701C58D1-6129-43E3-8884-7727AC70FACD}"/>
    <cellStyle name="40% - Accent1 3 2 5 2 3" xfId="12588" xr:uid="{FFF35CFB-8028-4413-8845-6A40AE97379F}"/>
    <cellStyle name="40% - Accent1 3 2 5 3" xfId="6211" xr:uid="{00000000-0005-0000-0000-000023040000}"/>
    <cellStyle name="40% - Accent1 3 2 5 3 2" xfId="14661" xr:uid="{D3BA6152-51BB-4AFE-8E49-C7DD5185551D}"/>
    <cellStyle name="40% - Accent1 3 2 5 4" xfId="10443" xr:uid="{2421E163-DB7F-45E8-8B2D-38425EE62360}"/>
    <cellStyle name="40% - Accent1 3 2 6" xfId="2318" xr:uid="{00000000-0005-0000-0000-000024040000}"/>
    <cellStyle name="40% - Accent1 3 2 6 2" xfId="6624" xr:uid="{00000000-0005-0000-0000-000025040000}"/>
    <cellStyle name="40% - Accent1 3 2 6 2 2" xfId="15074" xr:uid="{D5EA2009-0118-4395-8845-FF74F62487EC}"/>
    <cellStyle name="40% - Accent1 3 2 6 3" xfId="10856" xr:uid="{54159C0B-1118-42C9-8EF6-43C91C5C45C1}"/>
    <cellStyle name="40% - Accent1 3 2 7" xfId="4558" xr:uid="{00000000-0005-0000-0000-000026040000}"/>
    <cellStyle name="40% - Accent1 3 2 7 2" xfId="13008" xr:uid="{4B3794B9-CA5E-43A6-AD56-C313CFB6B8A1}"/>
    <cellStyle name="40% - Accent1 3 2 8" xfId="8790" xr:uid="{24EA717B-D3E3-42AE-8B8A-00E64CEA5EC5}"/>
    <cellStyle name="40% - Accent1 3 3" xfId="623" xr:uid="{00000000-0005-0000-0000-000027040000}"/>
    <cellStyle name="40% - Accent1 3 3 2" xfId="2894" xr:uid="{00000000-0005-0000-0000-000028040000}"/>
    <cellStyle name="40% - Accent1 3 3 2 2" xfId="7116" xr:uid="{00000000-0005-0000-0000-000029040000}"/>
    <cellStyle name="40% - Accent1 3 3 2 2 2" xfId="15566" xr:uid="{38A2BF9D-8380-4678-B0F8-ADC7EC2AFB5B}"/>
    <cellStyle name="40% - Accent1 3 3 2 3" xfId="11348" xr:uid="{A9794DF6-B057-4189-95B6-5A1D49098EA6}"/>
    <cellStyle name="40% - Accent1 3 3 3" xfId="4971" xr:uid="{00000000-0005-0000-0000-00002A040000}"/>
    <cellStyle name="40% - Accent1 3 3 3 2" xfId="13421" xr:uid="{C3984D91-4EA7-4C14-8BFE-D5609C14D983}"/>
    <cellStyle name="40% - Accent1 3 3 4" xfId="9203" xr:uid="{F0475906-7916-4F34-B802-31D35AA21FC9}"/>
    <cellStyle name="40% - Accent1 3 4" xfId="1076" xr:uid="{00000000-0005-0000-0000-00002B040000}"/>
    <cellStyle name="40% - Accent1 3 4 2" xfId="3307" xr:uid="{00000000-0005-0000-0000-00002C040000}"/>
    <cellStyle name="40% - Accent1 3 4 2 2" xfId="7529" xr:uid="{00000000-0005-0000-0000-00002D040000}"/>
    <cellStyle name="40% - Accent1 3 4 2 2 2" xfId="15979" xr:uid="{70457118-3FB2-4913-8EBE-741941E85445}"/>
    <cellStyle name="40% - Accent1 3 4 2 3" xfId="11761" xr:uid="{4272E2D4-3030-4AD8-AC6F-85768DC4C07F}"/>
    <cellStyle name="40% - Accent1 3 4 3" xfId="5384" xr:uid="{00000000-0005-0000-0000-00002E040000}"/>
    <cellStyle name="40% - Accent1 3 4 3 2" xfId="13834" xr:uid="{52741B9B-C36C-4DD5-AA56-BDB31E7C3378}"/>
    <cellStyle name="40% - Accent1 3 4 4" xfId="9616" xr:uid="{8DDD94EF-F342-4962-B584-E7BB5DFA073D}"/>
    <cellStyle name="40% - Accent1 3 5" xfId="1490" xr:uid="{00000000-0005-0000-0000-00002F040000}"/>
    <cellStyle name="40% - Accent1 3 5 2" xfId="3720" xr:uid="{00000000-0005-0000-0000-000030040000}"/>
    <cellStyle name="40% - Accent1 3 5 2 2" xfId="7942" xr:uid="{00000000-0005-0000-0000-000031040000}"/>
    <cellStyle name="40% - Accent1 3 5 2 2 2" xfId="16392" xr:uid="{553FC7AE-1710-4BC9-B620-16028CA4AF71}"/>
    <cellStyle name="40% - Accent1 3 5 2 3" xfId="12174" xr:uid="{556BE4D1-1BDA-4617-BAA1-B07FF54B9A8B}"/>
    <cellStyle name="40% - Accent1 3 5 3" xfId="5797" xr:uid="{00000000-0005-0000-0000-000032040000}"/>
    <cellStyle name="40% - Accent1 3 5 3 2" xfId="14247" xr:uid="{2722EDD8-CF15-4890-ABB7-EF8B68F244DA}"/>
    <cellStyle name="40% - Accent1 3 5 4" xfId="10029" xr:uid="{897DD2B4-FF15-42CF-BFEC-2199B46C4A22}"/>
    <cellStyle name="40% - Accent1 3 6" xfId="1904" xr:uid="{00000000-0005-0000-0000-000033040000}"/>
    <cellStyle name="40% - Accent1 3 6 2" xfId="4133" xr:uid="{00000000-0005-0000-0000-000034040000}"/>
    <cellStyle name="40% - Accent1 3 6 2 2" xfId="8355" xr:uid="{00000000-0005-0000-0000-000035040000}"/>
    <cellStyle name="40% - Accent1 3 6 2 2 2" xfId="16805" xr:uid="{3DA5A11B-BC52-4981-8B79-4E1FFFB4B8DE}"/>
    <cellStyle name="40% - Accent1 3 6 2 3" xfId="12587" xr:uid="{870C1C37-61C6-41C6-8D69-AF56B4EDFC95}"/>
    <cellStyle name="40% - Accent1 3 6 3" xfId="6210" xr:uid="{00000000-0005-0000-0000-000036040000}"/>
    <cellStyle name="40% - Accent1 3 6 3 2" xfId="14660" xr:uid="{DFF5238B-CD3A-441D-BAF0-9B5450EEABAD}"/>
    <cellStyle name="40% - Accent1 3 6 4" xfId="10442" xr:uid="{735049BD-34E0-420C-B0DE-26CDB6F40B92}"/>
    <cellStyle name="40% - Accent1 3 7" xfId="2317" xr:uid="{00000000-0005-0000-0000-000037040000}"/>
    <cellStyle name="40% - Accent1 3 7 2" xfId="6623" xr:uid="{00000000-0005-0000-0000-000038040000}"/>
    <cellStyle name="40% - Accent1 3 7 2 2" xfId="15073" xr:uid="{0F05E6FE-3EA0-4459-9B0A-C1C6DF535C18}"/>
    <cellStyle name="40% - Accent1 3 7 3" xfId="10855" xr:uid="{AB7AD0E3-27B4-46B2-A976-60E6D17858A9}"/>
    <cellStyle name="40% - Accent1 3 8" xfId="4557" xr:uid="{00000000-0005-0000-0000-000039040000}"/>
    <cellStyle name="40% - Accent1 3 8 2" xfId="13007" xr:uid="{A188C95D-9449-4488-A44E-C84AD10C1B8C}"/>
    <cellStyle name="40% - Accent1 3 9" xfId="8789" xr:uid="{D5FD1372-A93D-40FD-BADF-132862192A7B}"/>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5568" xr:uid="{851A22A7-3909-415F-842F-314D84D0BBAF}"/>
    <cellStyle name="40% - Accent1 4 2 2 3" xfId="11350" xr:uid="{092CA750-59DA-46E2-BCC0-50ACE80098B4}"/>
    <cellStyle name="40% - Accent1 4 2 3" xfId="4973" xr:uid="{00000000-0005-0000-0000-00003E040000}"/>
    <cellStyle name="40% - Accent1 4 2 3 2" xfId="13423" xr:uid="{DB4B1D35-E273-43F8-85CD-E4B4503C48BB}"/>
    <cellStyle name="40% - Accent1 4 2 4" xfId="9205" xr:uid="{2BBAE597-7E48-405C-BB2E-A370486D6D3A}"/>
    <cellStyle name="40% - Accent1 4 3" xfId="1078" xr:uid="{00000000-0005-0000-0000-00003F040000}"/>
    <cellStyle name="40% - Accent1 4 3 2" xfId="3309" xr:uid="{00000000-0005-0000-0000-000040040000}"/>
    <cellStyle name="40% - Accent1 4 3 2 2" xfId="7531" xr:uid="{00000000-0005-0000-0000-000041040000}"/>
    <cellStyle name="40% - Accent1 4 3 2 2 2" xfId="15981" xr:uid="{8A275713-9B35-4E08-946E-EE494049C795}"/>
    <cellStyle name="40% - Accent1 4 3 2 3" xfId="11763" xr:uid="{BF01F4AD-0C30-4673-A8A1-3F69009BDAA9}"/>
    <cellStyle name="40% - Accent1 4 3 3" xfId="5386" xr:uid="{00000000-0005-0000-0000-000042040000}"/>
    <cellStyle name="40% - Accent1 4 3 3 2" xfId="13836" xr:uid="{92AED98A-02BF-4759-B303-206CEB589438}"/>
    <cellStyle name="40% - Accent1 4 3 4" xfId="9618" xr:uid="{8746FBD0-ADC8-47F6-8B93-043B48B03CA8}"/>
    <cellStyle name="40% - Accent1 4 4" xfId="1492" xr:uid="{00000000-0005-0000-0000-000043040000}"/>
    <cellStyle name="40% - Accent1 4 4 2" xfId="3722" xr:uid="{00000000-0005-0000-0000-000044040000}"/>
    <cellStyle name="40% - Accent1 4 4 2 2" xfId="7944" xr:uid="{00000000-0005-0000-0000-000045040000}"/>
    <cellStyle name="40% - Accent1 4 4 2 2 2" xfId="16394" xr:uid="{C0F57883-76BD-408B-9929-934E9056F71A}"/>
    <cellStyle name="40% - Accent1 4 4 2 3" xfId="12176" xr:uid="{92C0B194-43D5-4DC2-A2E4-E6A1E3DFB82B}"/>
    <cellStyle name="40% - Accent1 4 4 3" xfId="5799" xr:uid="{00000000-0005-0000-0000-000046040000}"/>
    <cellStyle name="40% - Accent1 4 4 3 2" xfId="14249" xr:uid="{EFCE8053-8087-43E7-839A-98AAC8D42AC9}"/>
    <cellStyle name="40% - Accent1 4 4 4" xfId="10031" xr:uid="{446F191E-EEE8-4BC4-A1C1-F3E48F654388}"/>
    <cellStyle name="40% - Accent1 4 5" xfId="1906" xr:uid="{00000000-0005-0000-0000-000047040000}"/>
    <cellStyle name="40% - Accent1 4 5 2" xfId="4135" xr:uid="{00000000-0005-0000-0000-000048040000}"/>
    <cellStyle name="40% - Accent1 4 5 2 2" xfId="8357" xr:uid="{00000000-0005-0000-0000-000049040000}"/>
    <cellStyle name="40% - Accent1 4 5 2 2 2" xfId="16807" xr:uid="{4E0A3283-8322-4884-A2FB-9CAE056A2A03}"/>
    <cellStyle name="40% - Accent1 4 5 2 3" xfId="12589" xr:uid="{8FFC71E5-61C5-4A6E-9D11-CA0F7A082DBD}"/>
    <cellStyle name="40% - Accent1 4 5 3" xfId="6212" xr:uid="{00000000-0005-0000-0000-00004A040000}"/>
    <cellStyle name="40% - Accent1 4 5 3 2" xfId="14662" xr:uid="{65FFFFB8-DA25-41A4-BE43-A1603D16207A}"/>
    <cellStyle name="40% - Accent1 4 5 4" xfId="10444" xr:uid="{956E64A7-C3BE-4F1C-9198-F5B10A9473EC}"/>
    <cellStyle name="40% - Accent1 4 6" xfId="2319" xr:uid="{00000000-0005-0000-0000-00004B040000}"/>
    <cellStyle name="40% - Accent1 4 6 2" xfId="6625" xr:uid="{00000000-0005-0000-0000-00004C040000}"/>
    <cellStyle name="40% - Accent1 4 6 2 2" xfId="15075" xr:uid="{57CC3257-8665-4248-B293-A7A9BBA6BFB9}"/>
    <cellStyle name="40% - Accent1 4 6 3" xfId="10857" xr:uid="{5752F2FB-ACB7-4236-ADB2-D52F9BD0FA04}"/>
    <cellStyle name="40% - Accent1 4 7" xfId="4559" xr:uid="{00000000-0005-0000-0000-00004D040000}"/>
    <cellStyle name="40% - Accent1 4 7 2" xfId="13009" xr:uid="{B7054C31-A231-47E7-9F29-52FCCE9A15CA}"/>
    <cellStyle name="40% - Accent1 4 8" xfId="8791" xr:uid="{C6EFCA32-7045-40FF-B5BC-F706639E8A66}"/>
    <cellStyle name="40% - Accent1 5" xfId="618" xr:uid="{00000000-0005-0000-0000-00004E040000}"/>
    <cellStyle name="40% - Accent1 5 2" xfId="2889" xr:uid="{00000000-0005-0000-0000-00004F040000}"/>
    <cellStyle name="40% - Accent1 5 2 2" xfId="7111" xr:uid="{00000000-0005-0000-0000-000050040000}"/>
    <cellStyle name="40% - Accent1 5 2 2 2" xfId="15561" xr:uid="{235205E6-7945-491D-B0B1-87C46536B9BF}"/>
    <cellStyle name="40% - Accent1 5 2 3" xfId="11343" xr:uid="{FBBE766B-C3CB-4A26-864E-93986B48D2DA}"/>
    <cellStyle name="40% - Accent1 5 3" xfId="4966" xr:uid="{00000000-0005-0000-0000-000051040000}"/>
    <cellStyle name="40% - Accent1 5 3 2" xfId="13416" xr:uid="{0134651E-997C-4F67-9997-55A0DF4E775D}"/>
    <cellStyle name="40% - Accent1 5 4" xfId="9198" xr:uid="{E811A077-D423-4510-8E50-CD3918BFC84F}"/>
    <cellStyle name="40% - Accent1 6" xfId="1071" xr:uid="{00000000-0005-0000-0000-000052040000}"/>
    <cellStyle name="40% - Accent1 6 2" xfId="3302" xr:uid="{00000000-0005-0000-0000-000053040000}"/>
    <cellStyle name="40% - Accent1 6 2 2" xfId="7524" xr:uid="{00000000-0005-0000-0000-000054040000}"/>
    <cellStyle name="40% - Accent1 6 2 2 2" xfId="15974" xr:uid="{07E23233-A187-4453-8A54-BB38EB2F159E}"/>
    <cellStyle name="40% - Accent1 6 2 3" xfId="11756" xr:uid="{68C21236-E03A-409E-8ACD-52330ED1A972}"/>
    <cellStyle name="40% - Accent1 6 3" xfId="5379" xr:uid="{00000000-0005-0000-0000-000055040000}"/>
    <cellStyle name="40% - Accent1 6 3 2" xfId="13829" xr:uid="{4B4FDD01-2D4C-41D5-8129-8A0DF9204610}"/>
    <cellStyle name="40% - Accent1 6 4" xfId="9611" xr:uid="{E9D705BB-E838-47AB-8F03-A8BF14823EDB}"/>
    <cellStyle name="40% - Accent1 7" xfId="1485" xr:uid="{00000000-0005-0000-0000-000056040000}"/>
    <cellStyle name="40% - Accent1 7 2" xfId="3715" xr:uid="{00000000-0005-0000-0000-000057040000}"/>
    <cellStyle name="40% - Accent1 7 2 2" xfId="7937" xr:uid="{00000000-0005-0000-0000-000058040000}"/>
    <cellStyle name="40% - Accent1 7 2 2 2" xfId="16387" xr:uid="{F75CD3E7-C254-41C4-86E8-329BE922AB66}"/>
    <cellStyle name="40% - Accent1 7 2 3" xfId="12169" xr:uid="{EDD6F70A-5E00-46D8-8932-C0B113BC5096}"/>
    <cellStyle name="40% - Accent1 7 3" xfId="5792" xr:uid="{00000000-0005-0000-0000-000059040000}"/>
    <cellStyle name="40% - Accent1 7 3 2" xfId="14242" xr:uid="{58BC5916-A22D-42E3-8A38-0E5FDB235900}"/>
    <cellStyle name="40% - Accent1 7 4" xfId="10024" xr:uid="{0684DA43-FDA1-4191-ACF0-B6811C991CBF}"/>
    <cellStyle name="40% - Accent1 8" xfId="1899" xr:uid="{00000000-0005-0000-0000-00005A040000}"/>
    <cellStyle name="40% - Accent1 8 2" xfId="4128" xr:uid="{00000000-0005-0000-0000-00005B040000}"/>
    <cellStyle name="40% - Accent1 8 2 2" xfId="8350" xr:uid="{00000000-0005-0000-0000-00005C040000}"/>
    <cellStyle name="40% - Accent1 8 2 2 2" xfId="16800" xr:uid="{901A6167-23D9-49A8-9256-736FF2132616}"/>
    <cellStyle name="40% - Accent1 8 2 3" xfId="12582" xr:uid="{4CF9D12C-F545-45B3-9E77-28AACBFD2CA8}"/>
    <cellStyle name="40% - Accent1 8 3" xfId="6205" xr:uid="{00000000-0005-0000-0000-00005D040000}"/>
    <cellStyle name="40% - Accent1 8 3 2" xfId="14655" xr:uid="{38E53420-F0DB-4EE1-8F6A-9445746A157E}"/>
    <cellStyle name="40% - Accent1 8 4" xfId="10437" xr:uid="{1EAB299F-D5EF-4793-861F-BA8EBA38B1DC}"/>
    <cellStyle name="40% - Accent1 9" xfId="2312" xr:uid="{00000000-0005-0000-0000-00005E040000}"/>
    <cellStyle name="40% - Accent1 9 2" xfId="6618" xr:uid="{00000000-0005-0000-0000-00005F040000}"/>
    <cellStyle name="40% - Accent1 9 2 2" xfId="15068" xr:uid="{023751D9-EEDD-4641-A537-05A6394EEB62}"/>
    <cellStyle name="40% - Accent1 9 3" xfId="10850" xr:uid="{6A6487C4-098A-44F3-A158-B3C8E49791C5}"/>
    <cellStyle name="40% - Accent2" xfId="57" builtinId="35" customBuiltin="1"/>
    <cellStyle name="40% - Accent2 10" xfId="4560" xr:uid="{00000000-0005-0000-0000-000061040000}"/>
    <cellStyle name="40% - Accent2 10 2" xfId="13010" xr:uid="{34EB28EC-BD7A-47A5-A777-FF293852F8FA}"/>
    <cellStyle name="40% - Accent2 11" xfId="8792" xr:uid="{3A2FB143-758E-4E97-984C-BD8A6EB62752}"/>
    <cellStyle name="40% - Accent2 2" xfId="58" xr:uid="{00000000-0005-0000-0000-000062040000}"/>
    <cellStyle name="40% - Accent2 2 10" xfId="8793" xr:uid="{5574C095-25CE-49C1-8420-C606E0869E33}"/>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5572" xr:uid="{8E0FA83F-3E67-4151-9F6C-6664B0A0842E}"/>
    <cellStyle name="40% - Accent2 2 2 2 2 2 3" xfId="11354" xr:uid="{942A1BB9-39D2-4813-A706-50797ECFDF57}"/>
    <cellStyle name="40% - Accent2 2 2 2 2 3" xfId="4977" xr:uid="{00000000-0005-0000-0000-000068040000}"/>
    <cellStyle name="40% - Accent2 2 2 2 2 3 2" xfId="13427" xr:uid="{50812095-9DAF-4649-9BB6-7E2455E690E3}"/>
    <cellStyle name="40% - Accent2 2 2 2 2 4" xfId="9209" xr:uid="{CCB71DF7-AEC5-42C2-8823-329C6E5800DE}"/>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5985" xr:uid="{E61B388C-11D1-4663-B76F-FA6196D5574B}"/>
    <cellStyle name="40% - Accent2 2 2 2 3 2 3" xfId="11767" xr:uid="{5AEDA77B-8C6C-4E54-BAF8-CE11C8E0C131}"/>
    <cellStyle name="40% - Accent2 2 2 2 3 3" xfId="5390" xr:uid="{00000000-0005-0000-0000-00006C040000}"/>
    <cellStyle name="40% - Accent2 2 2 2 3 3 2" xfId="13840" xr:uid="{2D4819C3-5652-43CE-B718-F2FA7CC40D4A}"/>
    <cellStyle name="40% - Accent2 2 2 2 3 4" xfId="9622" xr:uid="{38A761DD-1ABE-4790-9334-2F911B3CE051}"/>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6398" xr:uid="{E20F346C-7BF4-4592-B3A6-540B27C01B57}"/>
    <cellStyle name="40% - Accent2 2 2 2 4 2 3" xfId="12180" xr:uid="{D0412EE2-6C56-41EE-A1EA-CA59B0FC55B9}"/>
    <cellStyle name="40% - Accent2 2 2 2 4 3" xfId="5803" xr:uid="{00000000-0005-0000-0000-000070040000}"/>
    <cellStyle name="40% - Accent2 2 2 2 4 3 2" xfId="14253" xr:uid="{DDF9FB08-28B4-4141-94E6-BF344AD455D2}"/>
    <cellStyle name="40% - Accent2 2 2 2 4 4" xfId="10035" xr:uid="{075336EB-B4C0-4DA6-893E-1DE575B99886}"/>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6811" xr:uid="{CC1E9CBF-1E40-4BE9-A422-E5DDB7A96C37}"/>
    <cellStyle name="40% - Accent2 2 2 2 5 2 3" xfId="12593" xr:uid="{80D0C45C-C3AA-428E-B69F-01C44E94BE41}"/>
    <cellStyle name="40% - Accent2 2 2 2 5 3" xfId="6216" xr:uid="{00000000-0005-0000-0000-000074040000}"/>
    <cellStyle name="40% - Accent2 2 2 2 5 3 2" xfId="14666" xr:uid="{7AB05457-A77B-47F5-8816-5163BA698860}"/>
    <cellStyle name="40% - Accent2 2 2 2 5 4" xfId="10448" xr:uid="{5D7DA8A6-8AB9-4896-835C-4F90EED0C892}"/>
    <cellStyle name="40% - Accent2 2 2 2 6" xfId="2323" xr:uid="{00000000-0005-0000-0000-000075040000}"/>
    <cellStyle name="40% - Accent2 2 2 2 6 2" xfId="6629" xr:uid="{00000000-0005-0000-0000-000076040000}"/>
    <cellStyle name="40% - Accent2 2 2 2 6 2 2" xfId="15079" xr:uid="{B468351D-ED49-47B0-98D1-0C9E0322F4A6}"/>
    <cellStyle name="40% - Accent2 2 2 2 6 3" xfId="10861" xr:uid="{F40C400D-FADC-41E2-9449-2CE170B424F3}"/>
    <cellStyle name="40% - Accent2 2 2 2 7" xfId="4563" xr:uid="{00000000-0005-0000-0000-000077040000}"/>
    <cellStyle name="40% - Accent2 2 2 2 7 2" xfId="13013" xr:uid="{DA9783BF-60D8-4728-ABF9-B4C10F2B7B26}"/>
    <cellStyle name="40% - Accent2 2 2 2 8" xfId="8795" xr:uid="{47D21B54-6AF5-494C-B04F-44308BAAC30A}"/>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5571" xr:uid="{91021B2C-0A9D-4574-A37C-638ACAA495BB}"/>
    <cellStyle name="40% - Accent2 2 2 3 2 3" xfId="11353" xr:uid="{AEE4B2B5-DC8B-46A4-B65D-E799F5E340A3}"/>
    <cellStyle name="40% - Accent2 2 2 3 3" xfId="4976" xr:uid="{00000000-0005-0000-0000-00007B040000}"/>
    <cellStyle name="40% - Accent2 2 2 3 3 2" xfId="13426" xr:uid="{84956BD9-C748-4CD0-BBB0-890F55FB3510}"/>
    <cellStyle name="40% - Accent2 2 2 3 4" xfId="9208" xr:uid="{74096961-3E22-4F0B-BE50-B9D5112CA1B0}"/>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5984" xr:uid="{27B1745D-1DD0-4E58-A5D4-001F487ABC47}"/>
    <cellStyle name="40% - Accent2 2 2 4 2 3" xfId="11766" xr:uid="{6431004C-497D-4258-ADC4-8F041465229B}"/>
    <cellStyle name="40% - Accent2 2 2 4 3" xfId="5389" xr:uid="{00000000-0005-0000-0000-00007F040000}"/>
    <cellStyle name="40% - Accent2 2 2 4 3 2" xfId="13839" xr:uid="{9F0DFA46-830F-4796-A8E0-E30F5E2C3616}"/>
    <cellStyle name="40% - Accent2 2 2 4 4" xfId="9621" xr:uid="{534992AD-5416-4F11-877B-2F3555D0073A}"/>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6397" xr:uid="{01903C53-5E5D-4A00-A3D8-6C0FE204E8C9}"/>
    <cellStyle name="40% - Accent2 2 2 5 2 3" xfId="12179" xr:uid="{CA4141E8-951C-4848-B0E0-7646C07B4CB9}"/>
    <cellStyle name="40% - Accent2 2 2 5 3" xfId="5802" xr:uid="{00000000-0005-0000-0000-000083040000}"/>
    <cellStyle name="40% - Accent2 2 2 5 3 2" xfId="14252" xr:uid="{0B221868-3E41-4912-88E3-39A2FF7A7390}"/>
    <cellStyle name="40% - Accent2 2 2 5 4" xfId="10034" xr:uid="{DDD397D9-CA19-47D4-96FB-C651AA8086F4}"/>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6810" xr:uid="{274D96EF-9E23-4D7C-967E-A015FA0BA5B0}"/>
    <cellStyle name="40% - Accent2 2 2 6 2 3" xfId="12592" xr:uid="{40D8178E-C9D2-45D5-B946-35F220A27303}"/>
    <cellStyle name="40% - Accent2 2 2 6 3" xfId="6215" xr:uid="{00000000-0005-0000-0000-000087040000}"/>
    <cellStyle name="40% - Accent2 2 2 6 3 2" xfId="14665" xr:uid="{CDFDF8C7-07A8-4F5B-A0F4-29E9358D43E0}"/>
    <cellStyle name="40% - Accent2 2 2 6 4" xfId="10447" xr:uid="{55FE0FAB-270D-4CB2-87E2-AD8E8B881E14}"/>
    <cellStyle name="40% - Accent2 2 2 7" xfId="2322" xr:uid="{00000000-0005-0000-0000-000088040000}"/>
    <cellStyle name="40% - Accent2 2 2 7 2" xfId="6628" xr:uid="{00000000-0005-0000-0000-000089040000}"/>
    <cellStyle name="40% - Accent2 2 2 7 2 2" xfId="15078" xr:uid="{AC174152-BA3D-43A1-8618-0D70E956AE0C}"/>
    <cellStyle name="40% - Accent2 2 2 7 3" xfId="10860" xr:uid="{57B9B712-56FD-4520-BAB2-6504C3E48545}"/>
    <cellStyle name="40% - Accent2 2 2 8" xfId="4562" xr:uid="{00000000-0005-0000-0000-00008A040000}"/>
    <cellStyle name="40% - Accent2 2 2 8 2" xfId="13012" xr:uid="{04A5A7C1-93C4-4973-96D5-D1F67E68B091}"/>
    <cellStyle name="40% - Accent2 2 2 9" xfId="8794" xr:uid="{DFA1DEE7-3C7A-4CF9-A757-968B9D788122}"/>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5573" xr:uid="{9FE32FC3-EE6A-4625-A921-EF0AEC98C2E5}"/>
    <cellStyle name="40% - Accent2 2 3 2 2 3" xfId="11355" xr:uid="{277E54C3-133C-4EA7-8CBA-4C0FF150289B}"/>
    <cellStyle name="40% - Accent2 2 3 2 3" xfId="4978" xr:uid="{00000000-0005-0000-0000-00008F040000}"/>
    <cellStyle name="40% - Accent2 2 3 2 3 2" xfId="13428" xr:uid="{0DABE7EF-100A-4931-BDFB-3E88AED3D7EC}"/>
    <cellStyle name="40% - Accent2 2 3 2 4" xfId="9210" xr:uid="{CEFF0CA5-C43A-4652-870F-5AB1E8D28ABD}"/>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5986" xr:uid="{8D888973-254D-4183-BF6B-668632F07878}"/>
    <cellStyle name="40% - Accent2 2 3 3 2 3" xfId="11768" xr:uid="{F62D8245-074D-4C09-8E7E-865B78A61B12}"/>
    <cellStyle name="40% - Accent2 2 3 3 3" xfId="5391" xr:uid="{00000000-0005-0000-0000-000093040000}"/>
    <cellStyle name="40% - Accent2 2 3 3 3 2" xfId="13841" xr:uid="{BEFBAB33-04E6-4010-AA20-598840C4C026}"/>
    <cellStyle name="40% - Accent2 2 3 3 4" xfId="9623" xr:uid="{0F3FCF9C-1CA9-4834-B563-CD2188C98F8B}"/>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6399" xr:uid="{60F512A7-E982-4E00-88AA-88CEC2148ADD}"/>
    <cellStyle name="40% - Accent2 2 3 4 2 3" xfId="12181" xr:uid="{68D1E16B-21D9-4C99-A0F6-EAF951EFD6BD}"/>
    <cellStyle name="40% - Accent2 2 3 4 3" xfId="5804" xr:uid="{00000000-0005-0000-0000-000097040000}"/>
    <cellStyle name="40% - Accent2 2 3 4 3 2" xfId="14254" xr:uid="{B557F754-A718-4437-A311-A7326ECC0ADC}"/>
    <cellStyle name="40% - Accent2 2 3 4 4" xfId="10036" xr:uid="{A1973D6F-0165-4385-8065-83C110BA2CC1}"/>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6812" xr:uid="{A82F65CA-1634-43E2-8957-1C61DF4429BF}"/>
    <cellStyle name="40% - Accent2 2 3 5 2 3" xfId="12594" xr:uid="{E2468097-EBD0-4018-8596-D7B70AA895E8}"/>
    <cellStyle name="40% - Accent2 2 3 5 3" xfId="6217" xr:uid="{00000000-0005-0000-0000-00009B040000}"/>
    <cellStyle name="40% - Accent2 2 3 5 3 2" xfId="14667" xr:uid="{5228EE18-8164-44F1-828F-E5BC50220B87}"/>
    <cellStyle name="40% - Accent2 2 3 5 4" xfId="10449" xr:uid="{D2C286E5-0059-47B0-9414-15F821D3245F}"/>
    <cellStyle name="40% - Accent2 2 3 6" xfId="2324" xr:uid="{00000000-0005-0000-0000-00009C040000}"/>
    <cellStyle name="40% - Accent2 2 3 6 2" xfId="6630" xr:uid="{00000000-0005-0000-0000-00009D040000}"/>
    <cellStyle name="40% - Accent2 2 3 6 2 2" xfId="15080" xr:uid="{F64ACD06-F9CC-45B7-901F-9E3B686F855D}"/>
    <cellStyle name="40% - Accent2 2 3 6 3" xfId="10862" xr:uid="{6F879033-54AB-4A5E-B465-FEFF60F024E3}"/>
    <cellStyle name="40% - Accent2 2 3 7" xfId="4564" xr:uid="{00000000-0005-0000-0000-00009E040000}"/>
    <cellStyle name="40% - Accent2 2 3 7 2" xfId="13014" xr:uid="{240648F3-5261-4092-B0F4-787E9309AA95}"/>
    <cellStyle name="40% - Accent2 2 3 8" xfId="8796" xr:uid="{3450C070-049F-44F7-BBA0-BAFD6D014897}"/>
    <cellStyle name="40% - Accent2 2 4" xfId="627" xr:uid="{00000000-0005-0000-0000-00009F040000}"/>
    <cellStyle name="40% - Accent2 2 4 2" xfId="2898" xr:uid="{00000000-0005-0000-0000-0000A0040000}"/>
    <cellStyle name="40% - Accent2 2 4 2 2" xfId="7120" xr:uid="{00000000-0005-0000-0000-0000A1040000}"/>
    <cellStyle name="40% - Accent2 2 4 2 2 2" xfId="15570" xr:uid="{BCD101E1-454A-438D-A5C7-7629B2703D9C}"/>
    <cellStyle name="40% - Accent2 2 4 2 3" xfId="11352" xr:uid="{3D2D52BA-8110-45AB-8674-29A5035B3858}"/>
    <cellStyle name="40% - Accent2 2 4 3" xfId="4975" xr:uid="{00000000-0005-0000-0000-0000A2040000}"/>
    <cellStyle name="40% - Accent2 2 4 3 2" xfId="13425" xr:uid="{ED5DADE5-F84B-49BA-8758-88BB69813BFD}"/>
    <cellStyle name="40% - Accent2 2 4 4" xfId="9207" xr:uid="{F8CCC37F-63FC-43C9-933E-A9DA2B2D0FB0}"/>
    <cellStyle name="40% - Accent2 2 5" xfId="1080" xr:uid="{00000000-0005-0000-0000-0000A3040000}"/>
    <cellStyle name="40% - Accent2 2 5 2" xfId="3311" xr:uid="{00000000-0005-0000-0000-0000A4040000}"/>
    <cellStyle name="40% - Accent2 2 5 2 2" xfId="7533" xr:uid="{00000000-0005-0000-0000-0000A5040000}"/>
    <cellStyle name="40% - Accent2 2 5 2 2 2" xfId="15983" xr:uid="{B73CCC92-784B-4E33-B807-098EDEE81B0E}"/>
    <cellStyle name="40% - Accent2 2 5 2 3" xfId="11765" xr:uid="{56134195-C40C-40E8-AFDE-C7B9C284EDB8}"/>
    <cellStyle name="40% - Accent2 2 5 3" xfId="5388" xr:uid="{00000000-0005-0000-0000-0000A6040000}"/>
    <cellStyle name="40% - Accent2 2 5 3 2" xfId="13838" xr:uid="{17796D30-C3B2-4963-B3C5-6C78C276D291}"/>
    <cellStyle name="40% - Accent2 2 5 4" xfId="9620" xr:uid="{7AC3A892-E2F2-4724-9B96-725D51F1CA55}"/>
    <cellStyle name="40% - Accent2 2 6" xfId="1494" xr:uid="{00000000-0005-0000-0000-0000A7040000}"/>
    <cellStyle name="40% - Accent2 2 6 2" xfId="3724" xr:uid="{00000000-0005-0000-0000-0000A8040000}"/>
    <cellStyle name="40% - Accent2 2 6 2 2" xfId="7946" xr:uid="{00000000-0005-0000-0000-0000A9040000}"/>
    <cellStyle name="40% - Accent2 2 6 2 2 2" xfId="16396" xr:uid="{F77E735B-F481-4378-949F-03976FDFA0BD}"/>
    <cellStyle name="40% - Accent2 2 6 2 3" xfId="12178" xr:uid="{BAFFFDC6-63F1-4EAB-BE5C-680CA344EEB2}"/>
    <cellStyle name="40% - Accent2 2 6 3" xfId="5801" xr:uid="{00000000-0005-0000-0000-0000AA040000}"/>
    <cellStyle name="40% - Accent2 2 6 3 2" xfId="14251" xr:uid="{063AC9FF-C32E-477B-803D-F483D99E9C39}"/>
    <cellStyle name="40% - Accent2 2 6 4" xfId="10033" xr:uid="{FE34C2D8-94C5-47E5-8A82-D6763568BC12}"/>
    <cellStyle name="40% - Accent2 2 7" xfId="1908" xr:uid="{00000000-0005-0000-0000-0000AB040000}"/>
    <cellStyle name="40% - Accent2 2 7 2" xfId="4137" xr:uid="{00000000-0005-0000-0000-0000AC040000}"/>
    <cellStyle name="40% - Accent2 2 7 2 2" xfId="8359" xr:uid="{00000000-0005-0000-0000-0000AD040000}"/>
    <cellStyle name="40% - Accent2 2 7 2 2 2" xfId="16809" xr:uid="{0B8EB552-B8F1-4592-9B75-1BBE6ACB1024}"/>
    <cellStyle name="40% - Accent2 2 7 2 3" xfId="12591" xr:uid="{A3D0C738-A24C-4ED3-B220-97DED65CB26F}"/>
    <cellStyle name="40% - Accent2 2 7 3" xfId="6214" xr:uid="{00000000-0005-0000-0000-0000AE040000}"/>
    <cellStyle name="40% - Accent2 2 7 3 2" xfId="14664" xr:uid="{DF1265C0-B76D-4981-94E5-6458694A11E4}"/>
    <cellStyle name="40% - Accent2 2 7 4" xfId="10446" xr:uid="{7205642B-7F9D-43E2-AD2D-16794FCED6FA}"/>
    <cellStyle name="40% - Accent2 2 8" xfId="2321" xr:uid="{00000000-0005-0000-0000-0000AF040000}"/>
    <cellStyle name="40% - Accent2 2 8 2" xfId="6627" xr:uid="{00000000-0005-0000-0000-0000B0040000}"/>
    <cellStyle name="40% - Accent2 2 8 2 2" xfId="15077" xr:uid="{65A2E6D2-B00B-48F0-AFFA-487BF9520C81}"/>
    <cellStyle name="40% - Accent2 2 8 3" xfId="10859" xr:uid="{39C4F07E-6547-49EE-A0B6-C1D8C06815D5}"/>
    <cellStyle name="40% - Accent2 2 9" xfId="4561" xr:uid="{00000000-0005-0000-0000-0000B1040000}"/>
    <cellStyle name="40% - Accent2 2 9 2" xfId="13011" xr:uid="{8261D04F-5394-425F-B0DE-5EF90C87445C}"/>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5575" xr:uid="{C06399B4-26C7-4500-A09D-7228B59A2340}"/>
    <cellStyle name="40% - Accent2 3 2 2 2 3" xfId="11357" xr:uid="{57D0A800-6762-4CCA-A95E-4D7F350A0FB0}"/>
    <cellStyle name="40% - Accent2 3 2 2 3" xfId="4980" xr:uid="{00000000-0005-0000-0000-0000B7040000}"/>
    <cellStyle name="40% - Accent2 3 2 2 3 2" xfId="13430" xr:uid="{1A54E0C6-F3D0-4C89-A4B0-0F6D330817DB}"/>
    <cellStyle name="40% - Accent2 3 2 2 4" xfId="9212" xr:uid="{ACD36DCD-83A8-48B6-A505-8ED319E387E6}"/>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5988" xr:uid="{6B75993D-0996-4638-AEC6-F1D200EEAAD0}"/>
    <cellStyle name="40% - Accent2 3 2 3 2 3" xfId="11770" xr:uid="{BB85010E-4422-4F16-86BC-723114337E29}"/>
    <cellStyle name="40% - Accent2 3 2 3 3" xfId="5393" xr:uid="{00000000-0005-0000-0000-0000BB040000}"/>
    <cellStyle name="40% - Accent2 3 2 3 3 2" xfId="13843" xr:uid="{7B6E70ED-9E7D-4FD3-92ED-EF7CB80FBE06}"/>
    <cellStyle name="40% - Accent2 3 2 3 4" xfId="9625" xr:uid="{EC03F492-68A7-440C-B6EE-7177428A5D52}"/>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6401" xr:uid="{8F9CC8B3-A742-4D20-8B6C-56AE1BB04B8D}"/>
    <cellStyle name="40% - Accent2 3 2 4 2 3" xfId="12183" xr:uid="{84FB0F2B-8B99-4056-8C58-F92F3DE21965}"/>
    <cellStyle name="40% - Accent2 3 2 4 3" xfId="5806" xr:uid="{00000000-0005-0000-0000-0000BF040000}"/>
    <cellStyle name="40% - Accent2 3 2 4 3 2" xfId="14256" xr:uid="{EBE76CF5-5B50-45A2-9F24-737100806455}"/>
    <cellStyle name="40% - Accent2 3 2 4 4" xfId="10038" xr:uid="{EFD6EFA1-58ED-4FE4-8CB2-7A30033EAF06}"/>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6814" xr:uid="{1D016492-3085-4721-9B81-A2C953203B67}"/>
    <cellStyle name="40% - Accent2 3 2 5 2 3" xfId="12596" xr:uid="{ED407EB6-C6DD-4296-A04F-870DCB900F21}"/>
    <cellStyle name="40% - Accent2 3 2 5 3" xfId="6219" xr:uid="{00000000-0005-0000-0000-0000C3040000}"/>
    <cellStyle name="40% - Accent2 3 2 5 3 2" xfId="14669" xr:uid="{5D0BF177-7696-4E18-A45D-4DAA329F10CF}"/>
    <cellStyle name="40% - Accent2 3 2 5 4" xfId="10451" xr:uid="{CA69CE39-85BF-4F8E-B995-A329E469DF61}"/>
    <cellStyle name="40% - Accent2 3 2 6" xfId="2326" xr:uid="{00000000-0005-0000-0000-0000C4040000}"/>
    <cellStyle name="40% - Accent2 3 2 6 2" xfId="6632" xr:uid="{00000000-0005-0000-0000-0000C5040000}"/>
    <cellStyle name="40% - Accent2 3 2 6 2 2" xfId="15082" xr:uid="{A0FE60EA-EDF6-4B64-A1DC-EF19C24541D0}"/>
    <cellStyle name="40% - Accent2 3 2 6 3" xfId="10864" xr:uid="{6D049F60-9145-46D1-A939-8F91E5ED735C}"/>
    <cellStyle name="40% - Accent2 3 2 7" xfId="4566" xr:uid="{00000000-0005-0000-0000-0000C6040000}"/>
    <cellStyle name="40% - Accent2 3 2 7 2" xfId="13016" xr:uid="{49776ABA-EC75-410D-BF19-9F5453C15073}"/>
    <cellStyle name="40% - Accent2 3 2 8" xfId="8798" xr:uid="{7D329969-41B6-480D-931F-55E6AE38BD9B}"/>
    <cellStyle name="40% - Accent2 3 3" xfId="631" xr:uid="{00000000-0005-0000-0000-0000C7040000}"/>
    <cellStyle name="40% - Accent2 3 3 2" xfId="2902" xr:uid="{00000000-0005-0000-0000-0000C8040000}"/>
    <cellStyle name="40% - Accent2 3 3 2 2" xfId="7124" xr:uid="{00000000-0005-0000-0000-0000C9040000}"/>
    <cellStyle name="40% - Accent2 3 3 2 2 2" xfId="15574" xr:uid="{048DEE32-BF69-4064-9E98-6ECC8A39BFDA}"/>
    <cellStyle name="40% - Accent2 3 3 2 3" xfId="11356" xr:uid="{F4D15B9B-13AE-43EC-8AF3-3BB494AAE349}"/>
    <cellStyle name="40% - Accent2 3 3 3" xfId="4979" xr:uid="{00000000-0005-0000-0000-0000CA040000}"/>
    <cellStyle name="40% - Accent2 3 3 3 2" xfId="13429" xr:uid="{411896C5-B72F-453C-831B-4BF3201F5E63}"/>
    <cellStyle name="40% - Accent2 3 3 4" xfId="9211" xr:uid="{7F407761-9754-4508-B2AC-DDA98273DB7F}"/>
    <cellStyle name="40% - Accent2 3 4" xfId="1084" xr:uid="{00000000-0005-0000-0000-0000CB040000}"/>
    <cellStyle name="40% - Accent2 3 4 2" xfId="3315" xr:uid="{00000000-0005-0000-0000-0000CC040000}"/>
    <cellStyle name="40% - Accent2 3 4 2 2" xfId="7537" xr:uid="{00000000-0005-0000-0000-0000CD040000}"/>
    <cellStyle name="40% - Accent2 3 4 2 2 2" xfId="15987" xr:uid="{DCD4B42C-4675-4D2A-85CD-8704C937365B}"/>
    <cellStyle name="40% - Accent2 3 4 2 3" xfId="11769" xr:uid="{839925A8-76CB-4584-8335-BC2E7FB156EE}"/>
    <cellStyle name="40% - Accent2 3 4 3" xfId="5392" xr:uid="{00000000-0005-0000-0000-0000CE040000}"/>
    <cellStyle name="40% - Accent2 3 4 3 2" xfId="13842" xr:uid="{D4537DC5-8C3F-40F2-8453-3C4C044607CA}"/>
    <cellStyle name="40% - Accent2 3 4 4" xfId="9624" xr:uid="{302EE33E-EAEB-46B5-AAE5-7531268F3E6A}"/>
    <cellStyle name="40% - Accent2 3 5" xfId="1498" xr:uid="{00000000-0005-0000-0000-0000CF040000}"/>
    <cellStyle name="40% - Accent2 3 5 2" xfId="3728" xr:uid="{00000000-0005-0000-0000-0000D0040000}"/>
    <cellStyle name="40% - Accent2 3 5 2 2" xfId="7950" xr:uid="{00000000-0005-0000-0000-0000D1040000}"/>
    <cellStyle name="40% - Accent2 3 5 2 2 2" xfId="16400" xr:uid="{1222DD8E-162D-4DC1-BAA0-DAC64FE935F2}"/>
    <cellStyle name="40% - Accent2 3 5 2 3" xfId="12182" xr:uid="{42A5F7BF-5221-44CA-A26A-86CAEFD759D4}"/>
    <cellStyle name="40% - Accent2 3 5 3" xfId="5805" xr:uid="{00000000-0005-0000-0000-0000D2040000}"/>
    <cellStyle name="40% - Accent2 3 5 3 2" xfId="14255" xr:uid="{598DE6B3-5699-4762-A6A5-F24C1D1B8438}"/>
    <cellStyle name="40% - Accent2 3 5 4" xfId="10037" xr:uid="{77EED76F-1C70-4971-A706-109171F7F4A6}"/>
    <cellStyle name="40% - Accent2 3 6" xfId="1912" xr:uid="{00000000-0005-0000-0000-0000D3040000}"/>
    <cellStyle name="40% - Accent2 3 6 2" xfId="4141" xr:uid="{00000000-0005-0000-0000-0000D4040000}"/>
    <cellStyle name="40% - Accent2 3 6 2 2" xfId="8363" xr:uid="{00000000-0005-0000-0000-0000D5040000}"/>
    <cellStyle name="40% - Accent2 3 6 2 2 2" xfId="16813" xr:uid="{DCE45114-65D0-417B-A06C-A7159E96A8D9}"/>
    <cellStyle name="40% - Accent2 3 6 2 3" xfId="12595" xr:uid="{5B9BAD72-D0E5-4FAA-9533-1685204760E1}"/>
    <cellStyle name="40% - Accent2 3 6 3" xfId="6218" xr:uid="{00000000-0005-0000-0000-0000D6040000}"/>
    <cellStyle name="40% - Accent2 3 6 3 2" xfId="14668" xr:uid="{101FD58E-65B1-4CE2-A60A-C693C8B4B208}"/>
    <cellStyle name="40% - Accent2 3 6 4" xfId="10450" xr:uid="{9EA41528-E6F2-4708-BE66-72E86D14B827}"/>
    <cellStyle name="40% - Accent2 3 7" xfId="2325" xr:uid="{00000000-0005-0000-0000-0000D7040000}"/>
    <cellStyle name="40% - Accent2 3 7 2" xfId="6631" xr:uid="{00000000-0005-0000-0000-0000D8040000}"/>
    <cellStyle name="40% - Accent2 3 7 2 2" xfId="15081" xr:uid="{D2B00260-2C2F-4355-B04D-268C41AC05DA}"/>
    <cellStyle name="40% - Accent2 3 7 3" xfId="10863" xr:uid="{8069EA0A-0A68-4386-98D8-A407F5FF7D51}"/>
    <cellStyle name="40% - Accent2 3 8" xfId="4565" xr:uid="{00000000-0005-0000-0000-0000D9040000}"/>
    <cellStyle name="40% - Accent2 3 8 2" xfId="13015" xr:uid="{515BC25B-2BD6-4AD3-937B-15038D6A48C8}"/>
    <cellStyle name="40% - Accent2 3 9" xfId="8797" xr:uid="{18E51F5B-0EE5-419D-820B-2F5513D51678}"/>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5576" xr:uid="{B8C84177-FB3F-461D-929C-C6FF093CBB74}"/>
    <cellStyle name="40% - Accent2 4 2 2 3" xfId="11358" xr:uid="{0D42191F-27EE-4167-86D6-7359C3741C02}"/>
    <cellStyle name="40% - Accent2 4 2 3" xfId="4981" xr:uid="{00000000-0005-0000-0000-0000DE040000}"/>
    <cellStyle name="40% - Accent2 4 2 3 2" xfId="13431" xr:uid="{615565E2-F931-49FB-9295-1B03A56D436B}"/>
    <cellStyle name="40% - Accent2 4 2 4" xfId="9213" xr:uid="{13414D25-68AD-4E3F-8EBC-58E1BDA9F66B}"/>
    <cellStyle name="40% - Accent2 4 3" xfId="1086" xr:uid="{00000000-0005-0000-0000-0000DF040000}"/>
    <cellStyle name="40% - Accent2 4 3 2" xfId="3317" xr:uid="{00000000-0005-0000-0000-0000E0040000}"/>
    <cellStyle name="40% - Accent2 4 3 2 2" xfId="7539" xr:uid="{00000000-0005-0000-0000-0000E1040000}"/>
    <cellStyle name="40% - Accent2 4 3 2 2 2" xfId="15989" xr:uid="{CFF8E1CF-837A-4E24-BDC3-003AA4B9EACD}"/>
    <cellStyle name="40% - Accent2 4 3 2 3" xfId="11771" xr:uid="{4D6DA400-E607-435F-96E5-EAD4DE79F76D}"/>
    <cellStyle name="40% - Accent2 4 3 3" xfId="5394" xr:uid="{00000000-0005-0000-0000-0000E2040000}"/>
    <cellStyle name="40% - Accent2 4 3 3 2" xfId="13844" xr:uid="{5CAC0DE9-6909-47B8-94FA-BE6AF23BFB62}"/>
    <cellStyle name="40% - Accent2 4 3 4" xfId="9626" xr:uid="{A2A712B0-58D6-49CB-B41D-552EF2AAF6B1}"/>
    <cellStyle name="40% - Accent2 4 4" xfId="1500" xr:uid="{00000000-0005-0000-0000-0000E3040000}"/>
    <cellStyle name="40% - Accent2 4 4 2" xfId="3730" xr:uid="{00000000-0005-0000-0000-0000E4040000}"/>
    <cellStyle name="40% - Accent2 4 4 2 2" xfId="7952" xr:uid="{00000000-0005-0000-0000-0000E5040000}"/>
    <cellStyle name="40% - Accent2 4 4 2 2 2" xfId="16402" xr:uid="{ACAA3F91-3839-4037-A83B-9A330677E11A}"/>
    <cellStyle name="40% - Accent2 4 4 2 3" xfId="12184" xr:uid="{8ECC133F-C3EB-403D-8BC9-1D54C785DB30}"/>
    <cellStyle name="40% - Accent2 4 4 3" xfId="5807" xr:uid="{00000000-0005-0000-0000-0000E6040000}"/>
    <cellStyle name="40% - Accent2 4 4 3 2" xfId="14257" xr:uid="{81C65F44-4889-4DCF-8849-45AF43A0D1CA}"/>
    <cellStyle name="40% - Accent2 4 4 4" xfId="10039" xr:uid="{76F2D40F-2A4E-425C-8AB9-3CE7D8BE4C4D}"/>
    <cellStyle name="40% - Accent2 4 5" xfId="1914" xr:uid="{00000000-0005-0000-0000-0000E7040000}"/>
    <cellStyle name="40% - Accent2 4 5 2" xfId="4143" xr:uid="{00000000-0005-0000-0000-0000E8040000}"/>
    <cellStyle name="40% - Accent2 4 5 2 2" xfId="8365" xr:uid="{00000000-0005-0000-0000-0000E9040000}"/>
    <cellStyle name="40% - Accent2 4 5 2 2 2" xfId="16815" xr:uid="{CDAE6B63-E74D-43B9-9C16-CEB07E2CFA4E}"/>
    <cellStyle name="40% - Accent2 4 5 2 3" xfId="12597" xr:uid="{BF962316-CF6A-4975-950A-38B25D8C631A}"/>
    <cellStyle name="40% - Accent2 4 5 3" xfId="6220" xr:uid="{00000000-0005-0000-0000-0000EA040000}"/>
    <cellStyle name="40% - Accent2 4 5 3 2" xfId="14670" xr:uid="{1E76C36B-EC47-4185-A3DD-2454B95756C1}"/>
    <cellStyle name="40% - Accent2 4 5 4" xfId="10452" xr:uid="{AC81490A-FCF0-4CCB-A455-95115EBF44DA}"/>
    <cellStyle name="40% - Accent2 4 6" xfId="2327" xr:uid="{00000000-0005-0000-0000-0000EB040000}"/>
    <cellStyle name="40% - Accent2 4 6 2" xfId="6633" xr:uid="{00000000-0005-0000-0000-0000EC040000}"/>
    <cellStyle name="40% - Accent2 4 6 2 2" xfId="15083" xr:uid="{5BB79E4B-7592-46F9-BB1D-42E9F04CD3AF}"/>
    <cellStyle name="40% - Accent2 4 6 3" xfId="10865" xr:uid="{A280D94A-3F58-463D-9321-904DA7C9B7C7}"/>
    <cellStyle name="40% - Accent2 4 7" xfId="4567" xr:uid="{00000000-0005-0000-0000-0000ED040000}"/>
    <cellStyle name="40% - Accent2 4 7 2" xfId="13017" xr:uid="{40EA79DF-F0BB-499B-8635-84385BE1F97D}"/>
    <cellStyle name="40% - Accent2 4 8" xfId="8799" xr:uid="{A60BBA23-5571-4A29-A949-ED2C122C9FBC}"/>
    <cellStyle name="40% - Accent2 5" xfId="626" xr:uid="{00000000-0005-0000-0000-0000EE040000}"/>
    <cellStyle name="40% - Accent2 5 2" xfId="2897" xr:uid="{00000000-0005-0000-0000-0000EF040000}"/>
    <cellStyle name="40% - Accent2 5 2 2" xfId="7119" xr:uid="{00000000-0005-0000-0000-0000F0040000}"/>
    <cellStyle name="40% - Accent2 5 2 2 2" xfId="15569" xr:uid="{F17F47DD-9C67-4B6B-A3BB-F221F6F0457D}"/>
    <cellStyle name="40% - Accent2 5 2 3" xfId="11351" xr:uid="{C7A5FC8D-5F15-4CA3-8B9E-1663901AFC4A}"/>
    <cellStyle name="40% - Accent2 5 3" xfId="4974" xr:uid="{00000000-0005-0000-0000-0000F1040000}"/>
    <cellStyle name="40% - Accent2 5 3 2" xfId="13424" xr:uid="{CCBA67DB-37FD-4782-98D6-366C2F9E7DC2}"/>
    <cellStyle name="40% - Accent2 5 4" xfId="9206" xr:uid="{561DD953-C25F-4906-9760-1539A7B0AE3C}"/>
    <cellStyle name="40% - Accent2 6" xfId="1079" xr:uid="{00000000-0005-0000-0000-0000F2040000}"/>
    <cellStyle name="40% - Accent2 6 2" xfId="3310" xr:uid="{00000000-0005-0000-0000-0000F3040000}"/>
    <cellStyle name="40% - Accent2 6 2 2" xfId="7532" xr:uid="{00000000-0005-0000-0000-0000F4040000}"/>
    <cellStyle name="40% - Accent2 6 2 2 2" xfId="15982" xr:uid="{B1D119D0-19E0-403C-AE45-E7573A865A5D}"/>
    <cellStyle name="40% - Accent2 6 2 3" xfId="11764" xr:uid="{7DB8800C-B008-4DC1-8902-D2D593B540E8}"/>
    <cellStyle name="40% - Accent2 6 3" xfId="5387" xr:uid="{00000000-0005-0000-0000-0000F5040000}"/>
    <cellStyle name="40% - Accent2 6 3 2" xfId="13837" xr:uid="{2FEAF3AE-1581-43AC-95D9-F8D490CCF0CE}"/>
    <cellStyle name="40% - Accent2 6 4" xfId="9619" xr:uid="{62E7F772-A33A-4235-8593-9C420DEBBF3B}"/>
    <cellStyle name="40% - Accent2 7" xfId="1493" xr:uid="{00000000-0005-0000-0000-0000F6040000}"/>
    <cellStyle name="40% - Accent2 7 2" xfId="3723" xr:uid="{00000000-0005-0000-0000-0000F7040000}"/>
    <cellStyle name="40% - Accent2 7 2 2" xfId="7945" xr:uid="{00000000-0005-0000-0000-0000F8040000}"/>
    <cellStyle name="40% - Accent2 7 2 2 2" xfId="16395" xr:uid="{2E48D272-D59A-4E9B-B543-B32762BB1041}"/>
    <cellStyle name="40% - Accent2 7 2 3" xfId="12177" xr:uid="{DBEFEDBC-6B7F-4969-99BC-71A418B927D6}"/>
    <cellStyle name="40% - Accent2 7 3" xfId="5800" xr:uid="{00000000-0005-0000-0000-0000F9040000}"/>
    <cellStyle name="40% - Accent2 7 3 2" xfId="14250" xr:uid="{792ADE8F-8D41-411D-BFE1-BEBBC3B8857D}"/>
    <cellStyle name="40% - Accent2 7 4" xfId="10032" xr:uid="{BCC890EA-20C6-40F8-8395-0683A8D2766C}"/>
    <cellStyle name="40% - Accent2 8" xfId="1907" xr:uid="{00000000-0005-0000-0000-0000FA040000}"/>
    <cellStyle name="40% - Accent2 8 2" xfId="4136" xr:uid="{00000000-0005-0000-0000-0000FB040000}"/>
    <cellStyle name="40% - Accent2 8 2 2" xfId="8358" xr:uid="{00000000-0005-0000-0000-0000FC040000}"/>
    <cellStyle name="40% - Accent2 8 2 2 2" xfId="16808" xr:uid="{9858F8A7-709C-4608-A7BA-284CCE33E4FB}"/>
    <cellStyle name="40% - Accent2 8 2 3" xfId="12590" xr:uid="{889B3ACC-2ACA-4902-A8AB-D1963AE17F25}"/>
    <cellStyle name="40% - Accent2 8 3" xfId="6213" xr:uid="{00000000-0005-0000-0000-0000FD040000}"/>
    <cellStyle name="40% - Accent2 8 3 2" xfId="14663" xr:uid="{45C58F16-BD03-440C-BECB-20FB538B5E38}"/>
    <cellStyle name="40% - Accent2 8 4" xfId="10445" xr:uid="{E51D6B90-B03A-44A7-B9B2-B19C5CBF5FEF}"/>
    <cellStyle name="40% - Accent2 9" xfId="2320" xr:uid="{00000000-0005-0000-0000-0000FE040000}"/>
    <cellStyle name="40% - Accent2 9 2" xfId="6626" xr:uid="{00000000-0005-0000-0000-0000FF040000}"/>
    <cellStyle name="40% - Accent2 9 2 2" xfId="15076" xr:uid="{1663280E-4862-4C6C-89F7-6B480B49DAA2}"/>
    <cellStyle name="40% - Accent2 9 3" xfId="10858" xr:uid="{22866633-FF69-42C8-A65F-9DF876BD6B6D}"/>
    <cellStyle name="40% - Accent3" xfId="65" builtinId="39" customBuiltin="1"/>
    <cellStyle name="40% - Accent3 10" xfId="4568" xr:uid="{00000000-0005-0000-0000-000001050000}"/>
    <cellStyle name="40% - Accent3 10 2" xfId="13018" xr:uid="{4E1DE7F5-4A3A-4565-BC43-A15BFEF9115F}"/>
    <cellStyle name="40% - Accent3 11" xfId="8800" xr:uid="{7C257873-57E8-46EF-9486-86805D60BA32}"/>
    <cellStyle name="40% - Accent3 2" xfId="66" xr:uid="{00000000-0005-0000-0000-000002050000}"/>
    <cellStyle name="40% - Accent3 2 10" xfId="8801" xr:uid="{6D15AF11-E65D-43B9-BB5F-8FCAB635F40C}"/>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5580" xr:uid="{D01E3F5B-1586-44DE-BB39-19A1D81F7129}"/>
    <cellStyle name="40% - Accent3 2 2 2 2 2 3" xfId="11362" xr:uid="{F93BB76C-E41B-45BC-A089-BF2F0C98F3FD}"/>
    <cellStyle name="40% - Accent3 2 2 2 2 3" xfId="4985" xr:uid="{00000000-0005-0000-0000-000008050000}"/>
    <cellStyle name="40% - Accent3 2 2 2 2 3 2" xfId="13435" xr:uid="{E7213C5A-847F-49AA-A865-EBD4A1173823}"/>
    <cellStyle name="40% - Accent3 2 2 2 2 4" xfId="9217" xr:uid="{7E1B5278-F492-4352-83F3-01EAF05B1477}"/>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5993" xr:uid="{60C05D8C-4399-4811-8F69-3E8A245B017E}"/>
    <cellStyle name="40% - Accent3 2 2 2 3 2 3" xfId="11775" xr:uid="{54631AEB-607D-406D-BBD3-2AA302FE7DB9}"/>
    <cellStyle name="40% - Accent3 2 2 2 3 3" xfId="5398" xr:uid="{00000000-0005-0000-0000-00000C050000}"/>
    <cellStyle name="40% - Accent3 2 2 2 3 3 2" xfId="13848" xr:uid="{FA19DA51-EB42-4B0D-ADE8-6C941535427A}"/>
    <cellStyle name="40% - Accent3 2 2 2 3 4" xfId="9630" xr:uid="{FEBA65F2-6453-454A-B4F4-9EFD50D89263}"/>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6406" xr:uid="{A314B977-4912-4694-A5A1-7AA561CC1400}"/>
    <cellStyle name="40% - Accent3 2 2 2 4 2 3" xfId="12188" xr:uid="{6F16F831-B391-4403-9ECD-76DC8EC6D544}"/>
    <cellStyle name="40% - Accent3 2 2 2 4 3" xfId="5811" xr:uid="{00000000-0005-0000-0000-000010050000}"/>
    <cellStyle name="40% - Accent3 2 2 2 4 3 2" xfId="14261" xr:uid="{057381F9-D778-47B8-ACC0-50F88368419B}"/>
    <cellStyle name="40% - Accent3 2 2 2 4 4" xfId="10043" xr:uid="{F241154D-9C9A-4BCB-8225-6AFBF78303ED}"/>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6819" xr:uid="{266A80C0-BC68-48E8-9F46-67FA0EA8E02F}"/>
    <cellStyle name="40% - Accent3 2 2 2 5 2 3" xfId="12601" xr:uid="{F006E99E-A71D-44E5-8C74-3B7920C2D708}"/>
    <cellStyle name="40% - Accent3 2 2 2 5 3" xfId="6224" xr:uid="{00000000-0005-0000-0000-000014050000}"/>
    <cellStyle name="40% - Accent3 2 2 2 5 3 2" xfId="14674" xr:uid="{A820F165-B7CE-42B6-BF95-04411221628B}"/>
    <cellStyle name="40% - Accent3 2 2 2 5 4" xfId="10456" xr:uid="{B1FE4076-25B7-4F3F-B88C-5C614D43F44E}"/>
    <cellStyle name="40% - Accent3 2 2 2 6" xfId="2331" xr:uid="{00000000-0005-0000-0000-000015050000}"/>
    <cellStyle name="40% - Accent3 2 2 2 6 2" xfId="6637" xr:uid="{00000000-0005-0000-0000-000016050000}"/>
    <cellStyle name="40% - Accent3 2 2 2 6 2 2" xfId="15087" xr:uid="{CBE0B25F-B7E6-4FA6-94E4-7C404193381E}"/>
    <cellStyle name="40% - Accent3 2 2 2 6 3" xfId="10869" xr:uid="{A6FFFA46-B27D-484E-99F2-351D3D2D9570}"/>
    <cellStyle name="40% - Accent3 2 2 2 7" xfId="4571" xr:uid="{00000000-0005-0000-0000-000017050000}"/>
    <cellStyle name="40% - Accent3 2 2 2 7 2" xfId="13021" xr:uid="{B4E441DB-4C45-45B6-AB92-1E727C083FDE}"/>
    <cellStyle name="40% - Accent3 2 2 2 8" xfId="8803" xr:uid="{A74796DC-2EC9-4EC7-A61B-EBFDB9789735}"/>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5579" xr:uid="{0EA3F7F5-9C84-4E5A-A196-03157DCB70A0}"/>
    <cellStyle name="40% - Accent3 2 2 3 2 3" xfId="11361" xr:uid="{A912743A-53B7-4E68-AE03-31504EAFCDFC}"/>
    <cellStyle name="40% - Accent3 2 2 3 3" xfId="4984" xr:uid="{00000000-0005-0000-0000-00001B050000}"/>
    <cellStyle name="40% - Accent3 2 2 3 3 2" xfId="13434" xr:uid="{D4C99156-39A9-49BE-B27E-4BB325411F29}"/>
    <cellStyle name="40% - Accent3 2 2 3 4" xfId="9216" xr:uid="{12CA3C6C-C82F-4706-9DD8-142BA654BE45}"/>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5992" xr:uid="{AB3B93C0-B13D-4635-858E-040B0EF36FA4}"/>
    <cellStyle name="40% - Accent3 2 2 4 2 3" xfId="11774" xr:uid="{D55517B2-4398-4C15-B4CB-F33EDDA8C9B6}"/>
    <cellStyle name="40% - Accent3 2 2 4 3" xfId="5397" xr:uid="{00000000-0005-0000-0000-00001F050000}"/>
    <cellStyle name="40% - Accent3 2 2 4 3 2" xfId="13847" xr:uid="{17119D93-2910-46D8-AB5E-166E51C41482}"/>
    <cellStyle name="40% - Accent3 2 2 4 4" xfId="9629" xr:uid="{BAF56CD3-90FA-43C0-B288-4DABE87A285D}"/>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6405" xr:uid="{6F135EB8-776C-40AA-BDFD-753F8F6523CC}"/>
    <cellStyle name="40% - Accent3 2 2 5 2 3" xfId="12187" xr:uid="{8A0D3C74-DD39-4F6B-ABA8-636BA3A9C080}"/>
    <cellStyle name="40% - Accent3 2 2 5 3" xfId="5810" xr:uid="{00000000-0005-0000-0000-000023050000}"/>
    <cellStyle name="40% - Accent3 2 2 5 3 2" xfId="14260" xr:uid="{95BC56D0-9619-4435-9CC1-7AFCD0E8FB5E}"/>
    <cellStyle name="40% - Accent3 2 2 5 4" xfId="10042" xr:uid="{0786DA26-31E2-4377-8FD6-3314874ABA59}"/>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6818" xr:uid="{6100B459-8F38-48AC-909B-D7CBD8980329}"/>
    <cellStyle name="40% - Accent3 2 2 6 2 3" xfId="12600" xr:uid="{B5B1602D-33F6-4138-AC51-768272EA0DD7}"/>
    <cellStyle name="40% - Accent3 2 2 6 3" xfId="6223" xr:uid="{00000000-0005-0000-0000-000027050000}"/>
    <cellStyle name="40% - Accent3 2 2 6 3 2" xfId="14673" xr:uid="{E36BF5E5-C550-4739-8215-FC03411C679D}"/>
    <cellStyle name="40% - Accent3 2 2 6 4" xfId="10455" xr:uid="{6ECD1893-AFDD-4030-8775-273CD8C52FDD}"/>
    <cellStyle name="40% - Accent3 2 2 7" xfId="2330" xr:uid="{00000000-0005-0000-0000-000028050000}"/>
    <cellStyle name="40% - Accent3 2 2 7 2" xfId="6636" xr:uid="{00000000-0005-0000-0000-000029050000}"/>
    <cellStyle name="40% - Accent3 2 2 7 2 2" xfId="15086" xr:uid="{372DD3C2-A9BC-4464-9305-21720EB55C72}"/>
    <cellStyle name="40% - Accent3 2 2 7 3" xfId="10868" xr:uid="{F62AE3C3-6C99-41C5-A2AE-4A89FC2F3339}"/>
    <cellStyle name="40% - Accent3 2 2 8" xfId="4570" xr:uid="{00000000-0005-0000-0000-00002A050000}"/>
    <cellStyle name="40% - Accent3 2 2 8 2" xfId="13020" xr:uid="{96D47841-34EF-48D5-A860-0F560FA0E171}"/>
    <cellStyle name="40% - Accent3 2 2 9" xfId="8802" xr:uid="{84F9021A-70D6-4D49-B587-93145EB373F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5581" xr:uid="{9FE0CAE9-1B84-4F48-B4FF-D0BFB107A3B1}"/>
    <cellStyle name="40% - Accent3 2 3 2 2 3" xfId="11363" xr:uid="{7554B528-17D0-463B-994C-1073896F42B6}"/>
    <cellStyle name="40% - Accent3 2 3 2 3" xfId="4986" xr:uid="{00000000-0005-0000-0000-00002F050000}"/>
    <cellStyle name="40% - Accent3 2 3 2 3 2" xfId="13436" xr:uid="{2038B1E8-87F8-44A0-BF9D-A6542168D477}"/>
    <cellStyle name="40% - Accent3 2 3 2 4" xfId="9218" xr:uid="{579C6FCF-3C71-485B-9991-D9B7843E4DFC}"/>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5994" xr:uid="{ECE2F9C7-252B-4C54-9A48-10DF9FB6E769}"/>
    <cellStyle name="40% - Accent3 2 3 3 2 3" xfId="11776" xr:uid="{0E300C57-B5C5-409A-BE01-D739023B5B40}"/>
    <cellStyle name="40% - Accent3 2 3 3 3" xfId="5399" xr:uid="{00000000-0005-0000-0000-000033050000}"/>
    <cellStyle name="40% - Accent3 2 3 3 3 2" xfId="13849" xr:uid="{35AFF090-03A5-48D0-BD4B-77576BC25D62}"/>
    <cellStyle name="40% - Accent3 2 3 3 4" xfId="9631" xr:uid="{F622F1F2-A7AC-469A-80D4-75EAA63E723F}"/>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6407" xr:uid="{55F6B4F8-C7DE-427A-9BAB-B413C0810C31}"/>
    <cellStyle name="40% - Accent3 2 3 4 2 3" xfId="12189" xr:uid="{36E0B1C4-7667-408A-88CB-9D7DE1EB7A31}"/>
    <cellStyle name="40% - Accent3 2 3 4 3" xfId="5812" xr:uid="{00000000-0005-0000-0000-000037050000}"/>
    <cellStyle name="40% - Accent3 2 3 4 3 2" xfId="14262" xr:uid="{5C73A372-850C-4851-86CC-5DA018C3D556}"/>
    <cellStyle name="40% - Accent3 2 3 4 4" xfId="10044" xr:uid="{8EA748CF-9D45-4B35-8452-1CE794E3FC5A}"/>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6820" xr:uid="{E83E7279-0F41-4354-9D03-2073AA35382B}"/>
    <cellStyle name="40% - Accent3 2 3 5 2 3" xfId="12602" xr:uid="{E67CEA87-D036-4F2D-928D-914FF0430476}"/>
    <cellStyle name="40% - Accent3 2 3 5 3" xfId="6225" xr:uid="{00000000-0005-0000-0000-00003B050000}"/>
    <cellStyle name="40% - Accent3 2 3 5 3 2" xfId="14675" xr:uid="{B84945DD-8C50-49F9-9242-BA5662C57A15}"/>
    <cellStyle name="40% - Accent3 2 3 5 4" xfId="10457" xr:uid="{915AB64C-73BC-462C-BDDE-AA9DEC3CC31A}"/>
    <cellStyle name="40% - Accent3 2 3 6" xfId="2332" xr:uid="{00000000-0005-0000-0000-00003C050000}"/>
    <cellStyle name="40% - Accent3 2 3 6 2" xfId="6638" xr:uid="{00000000-0005-0000-0000-00003D050000}"/>
    <cellStyle name="40% - Accent3 2 3 6 2 2" xfId="15088" xr:uid="{12EC6696-5A61-423F-B378-A858210311A3}"/>
    <cellStyle name="40% - Accent3 2 3 6 3" xfId="10870" xr:uid="{306E8CC3-0F6B-41A6-A993-4205C849F66D}"/>
    <cellStyle name="40% - Accent3 2 3 7" xfId="4572" xr:uid="{00000000-0005-0000-0000-00003E050000}"/>
    <cellStyle name="40% - Accent3 2 3 7 2" xfId="13022" xr:uid="{50055930-79AC-4046-880E-20165592EF0D}"/>
    <cellStyle name="40% - Accent3 2 3 8" xfId="8804" xr:uid="{EC99FA96-60A1-45A9-8158-149F12204EBE}"/>
    <cellStyle name="40% - Accent3 2 4" xfId="635" xr:uid="{00000000-0005-0000-0000-00003F050000}"/>
    <cellStyle name="40% - Accent3 2 4 2" xfId="2906" xr:uid="{00000000-0005-0000-0000-000040050000}"/>
    <cellStyle name="40% - Accent3 2 4 2 2" xfId="7128" xr:uid="{00000000-0005-0000-0000-000041050000}"/>
    <cellStyle name="40% - Accent3 2 4 2 2 2" xfId="15578" xr:uid="{EF3E760C-24D9-40BC-8DAC-6059508B237F}"/>
    <cellStyle name="40% - Accent3 2 4 2 3" xfId="11360" xr:uid="{1F7B8380-34A3-426A-95F8-17FA72A2B480}"/>
    <cellStyle name="40% - Accent3 2 4 3" xfId="4983" xr:uid="{00000000-0005-0000-0000-000042050000}"/>
    <cellStyle name="40% - Accent3 2 4 3 2" xfId="13433" xr:uid="{09DA9BCD-8FDD-4831-9F15-579EBFB2BEF0}"/>
    <cellStyle name="40% - Accent3 2 4 4" xfId="9215" xr:uid="{14ADAFFC-C49A-4970-BC89-9504F715EB16}"/>
    <cellStyle name="40% - Accent3 2 5" xfId="1088" xr:uid="{00000000-0005-0000-0000-000043050000}"/>
    <cellStyle name="40% - Accent3 2 5 2" xfId="3319" xr:uid="{00000000-0005-0000-0000-000044050000}"/>
    <cellStyle name="40% - Accent3 2 5 2 2" xfId="7541" xr:uid="{00000000-0005-0000-0000-000045050000}"/>
    <cellStyle name="40% - Accent3 2 5 2 2 2" xfId="15991" xr:uid="{E91BC006-D061-4B34-BFB2-C08DC1B94B2E}"/>
    <cellStyle name="40% - Accent3 2 5 2 3" xfId="11773" xr:uid="{113F6418-73A2-44DD-98EF-F7198EC64FBF}"/>
    <cellStyle name="40% - Accent3 2 5 3" xfId="5396" xr:uid="{00000000-0005-0000-0000-000046050000}"/>
    <cellStyle name="40% - Accent3 2 5 3 2" xfId="13846" xr:uid="{FDABEAD4-6B00-4146-980B-6B0138825150}"/>
    <cellStyle name="40% - Accent3 2 5 4" xfId="9628" xr:uid="{457AC623-66B0-4725-9BC5-159FE0262552}"/>
    <cellStyle name="40% - Accent3 2 6" xfId="1502" xr:uid="{00000000-0005-0000-0000-000047050000}"/>
    <cellStyle name="40% - Accent3 2 6 2" xfId="3732" xr:uid="{00000000-0005-0000-0000-000048050000}"/>
    <cellStyle name="40% - Accent3 2 6 2 2" xfId="7954" xr:uid="{00000000-0005-0000-0000-000049050000}"/>
    <cellStyle name="40% - Accent3 2 6 2 2 2" xfId="16404" xr:uid="{6F6F4975-008B-4707-8D48-6B91DD810070}"/>
    <cellStyle name="40% - Accent3 2 6 2 3" xfId="12186" xr:uid="{D77C15EE-CBE1-41F8-992E-D0314565A373}"/>
    <cellStyle name="40% - Accent3 2 6 3" xfId="5809" xr:uid="{00000000-0005-0000-0000-00004A050000}"/>
    <cellStyle name="40% - Accent3 2 6 3 2" xfId="14259" xr:uid="{A6BDE6C7-C4CC-4E2C-BE15-FDF39DB0D77A}"/>
    <cellStyle name="40% - Accent3 2 6 4" xfId="10041" xr:uid="{2F4D84F0-2B14-4C21-A7D7-9004161B1893}"/>
    <cellStyle name="40% - Accent3 2 7" xfId="1916" xr:uid="{00000000-0005-0000-0000-00004B050000}"/>
    <cellStyle name="40% - Accent3 2 7 2" xfId="4145" xr:uid="{00000000-0005-0000-0000-00004C050000}"/>
    <cellStyle name="40% - Accent3 2 7 2 2" xfId="8367" xr:uid="{00000000-0005-0000-0000-00004D050000}"/>
    <cellStyle name="40% - Accent3 2 7 2 2 2" xfId="16817" xr:uid="{833FD389-4ABF-4812-9BE6-B4D9C643B5AA}"/>
    <cellStyle name="40% - Accent3 2 7 2 3" xfId="12599" xr:uid="{C7B75FC1-1505-4523-9B87-7B3141E25D7A}"/>
    <cellStyle name="40% - Accent3 2 7 3" xfId="6222" xr:uid="{00000000-0005-0000-0000-00004E050000}"/>
    <cellStyle name="40% - Accent3 2 7 3 2" xfId="14672" xr:uid="{3BC109DF-4738-43A9-9058-2975714B80B7}"/>
    <cellStyle name="40% - Accent3 2 7 4" xfId="10454" xr:uid="{B7D26BF8-B3D4-4B6C-B8F0-B94CE163688C}"/>
    <cellStyle name="40% - Accent3 2 8" xfId="2329" xr:uid="{00000000-0005-0000-0000-00004F050000}"/>
    <cellStyle name="40% - Accent3 2 8 2" xfId="6635" xr:uid="{00000000-0005-0000-0000-000050050000}"/>
    <cellStyle name="40% - Accent3 2 8 2 2" xfId="15085" xr:uid="{69871678-B06E-45AB-8BCA-171C2D5AFA6F}"/>
    <cellStyle name="40% - Accent3 2 8 3" xfId="10867" xr:uid="{8C441D7A-458B-4B5B-9036-880709C2A056}"/>
    <cellStyle name="40% - Accent3 2 9" xfId="4569" xr:uid="{00000000-0005-0000-0000-000051050000}"/>
    <cellStyle name="40% - Accent3 2 9 2" xfId="13019" xr:uid="{0578F7FB-D44F-4E8E-8D40-A48B34B757FC}"/>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5583" xr:uid="{EC4B6EC9-DC97-410C-A06F-684C12BA67AA}"/>
    <cellStyle name="40% - Accent3 3 2 2 2 3" xfId="11365" xr:uid="{A89FDD74-CFE7-435F-A010-DAF77F4C1A28}"/>
    <cellStyle name="40% - Accent3 3 2 2 3" xfId="4988" xr:uid="{00000000-0005-0000-0000-000057050000}"/>
    <cellStyle name="40% - Accent3 3 2 2 3 2" xfId="13438" xr:uid="{CF7B530F-6842-4249-A27D-E588A6C073F1}"/>
    <cellStyle name="40% - Accent3 3 2 2 4" xfId="9220" xr:uid="{5B4BCF93-736D-4F53-9315-1455E0B4E9C8}"/>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5996" xr:uid="{FE398CA7-F46F-4C65-9C91-0581232A0235}"/>
    <cellStyle name="40% - Accent3 3 2 3 2 3" xfId="11778" xr:uid="{07583E3B-7CA3-4839-B9B3-7AD44048C1A8}"/>
    <cellStyle name="40% - Accent3 3 2 3 3" xfId="5401" xr:uid="{00000000-0005-0000-0000-00005B050000}"/>
    <cellStyle name="40% - Accent3 3 2 3 3 2" xfId="13851" xr:uid="{E723C66F-0C7F-4F8C-ABD0-5278D4609EDE}"/>
    <cellStyle name="40% - Accent3 3 2 3 4" xfId="9633" xr:uid="{8C20F36E-91C1-432F-969B-6CF7BD9D3DBA}"/>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6409" xr:uid="{2F890D34-67D1-49B3-93AE-BF364C89A5D3}"/>
    <cellStyle name="40% - Accent3 3 2 4 2 3" xfId="12191" xr:uid="{8C0BE59F-C572-4E4D-8D8F-EF3C537CAAF1}"/>
    <cellStyle name="40% - Accent3 3 2 4 3" xfId="5814" xr:uid="{00000000-0005-0000-0000-00005F050000}"/>
    <cellStyle name="40% - Accent3 3 2 4 3 2" xfId="14264" xr:uid="{0B50E6D7-C3D3-4647-A41F-D5FFEE81F093}"/>
    <cellStyle name="40% - Accent3 3 2 4 4" xfId="10046" xr:uid="{F5786001-8289-4933-A3AC-9B05B2BC2EF7}"/>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6822" xr:uid="{8A688C89-CAAC-4992-A067-1E09FB4AB21E}"/>
    <cellStyle name="40% - Accent3 3 2 5 2 3" xfId="12604" xr:uid="{1A00DFFA-26F4-4208-89BF-3677913D8B75}"/>
    <cellStyle name="40% - Accent3 3 2 5 3" xfId="6227" xr:uid="{00000000-0005-0000-0000-000063050000}"/>
    <cellStyle name="40% - Accent3 3 2 5 3 2" xfId="14677" xr:uid="{DB5FB789-8191-40F0-9BCD-B1D11DF8C9E1}"/>
    <cellStyle name="40% - Accent3 3 2 5 4" xfId="10459" xr:uid="{6184058E-DF9F-4862-864F-BCED45180647}"/>
    <cellStyle name="40% - Accent3 3 2 6" xfId="2334" xr:uid="{00000000-0005-0000-0000-000064050000}"/>
    <cellStyle name="40% - Accent3 3 2 6 2" xfId="6640" xr:uid="{00000000-0005-0000-0000-000065050000}"/>
    <cellStyle name="40% - Accent3 3 2 6 2 2" xfId="15090" xr:uid="{44D0EE95-7539-4DE4-BDD6-9629DF7D8F93}"/>
    <cellStyle name="40% - Accent3 3 2 6 3" xfId="10872" xr:uid="{6CFA501F-D1B8-47BC-AD32-E9BFA2F28831}"/>
    <cellStyle name="40% - Accent3 3 2 7" xfId="4574" xr:uid="{00000000-0005-0000-0000-000066050000}"/>
    <cellStyle name="40% - Accent3 3 2 7 2" xfId="13024" xr:uid="{9C1501A3-30D6-4EC0-B7C6-71CCE19FEAEC}"/>
    <cellStyle name="40% - Accent3 3 2 8" xfId="8806" xr:uid="{0C943520-D97C-45E4-A667-68A1B2E1060A}"/>
    <cellStyle name="40% - Accent3 3 3" xfId="639" xr:uid="{00000000-0005-0000-0000-000067050000}"/>
    <cellStyle name="40% - Accent3 3 3 2" xfId="2910" xr:uid="{00000000-0005-0000-0000-000068050000}"/>
    <cellStyle name="40% - Accent3 3 3 2 2" xfId="7132" xr:uid="{00000000-0005-0000-0000-000069050000}"/>
    <cellStyle name="40% - Accent3 3 3 2 2 2" xfId="15582" xr:uid="{7F375B42-D09C-4C5B-9039-DFD16DEF8DC3}"/>
    <cellStyle name="40% - Accent3 3 3 2 3" xfId="11364" xr:uid="{461CE6ED-D9DB-4371-AB85-7A5062A6541C}"/>
    <cellStyle name="40% - Accent3 3 3 3" xfId="4987" xr:uid="{00000000-0005-0000-0000-00006A050000}"/>
    <cellStyle name="40% - Accent3 3 3 3 2" xfId="13437" xr:uid="{6E87DA37-FD6D-4477-B251-708A62A5B381}"/>
    <cellStyle name="40% - Accent3 3 3 4" xfId="9219" xr:uid="{C0CA32D1-58B9-4E4E-8EEA-31BF172AB118}"/>
    <cellStyle name="40% - Accent3 3 4" xfId="1092" xr:uid="{00000000-0005-0000-0000-00006B050000}"/>
    <cellStyle name="40% - Accent3 3 4 2" xfId="3323" xr:uid="{00000000-0005-0000-0000-00006C050000}"/>
    <cellStyle name="40% - Accent3 3 4 2 2" xfId="7545" xr:uid="{00000000-0005-0000-0000-00006D050000}"/>
    <cellStyle name="40% - Accent3 3 4 2 2 2" xfId="15995" xr:uid="{07904923-F47A-4DBD-B598-927418894F4F}"/>
    <cellStyle name="40% - Accent3 3 4 2 3" xfId="11777" xr:uid="{AFD3486C-8DA8-4AFB-8E49-482B0EA86239}"/>
    <cellStyle name="40% - Accent3 3 4 3" xfId="5400" xr:uid="{00000000-0005-0000-0000-00006E050000}"/>
    <cellStyle name="40% - Accent3 3 4 3 2" xfId="13850" xr:uid="{CD284E88-6A93-4F19-8DDD-437EBA4BAD54}"/>
    <cellStyle name="40% - Accent3 3 4 4" xfId="9632" xr:uid="{7FC957DF-23A2-4B4E-92A3-42E8E382E09E}"/>
    <cellStyle name="40% - Accent3 3 5" xfId="1506" xr:uid="{00000000-0005-0000-0000-00006F050000}"/>
    <cellStyle name="40% - Accent3 3 5 2" xfId="3736" xr:uid="{00000000-0005-0000-0000-000070050000}"/>
    <cellStyle name="40% - Accent3 3 5 2 2" xfId="7958" xr:uid="{00000000-0005-0000-0000-000071050000}"/>
    <cellStyle name="40% - Accent3 3 5 2 2 2" xfId="16408" xr:uid="{0FDF6314-AA25-4D8E-B418-A909C21A1A55}"/>
    <cellStyle name="40% - Accent3 3 5 2 3" xfId="12190" xr:uid="{5CE9B590-2EEF-42B1-B28A-7BDEFC4F0B7E}"/>
    <cellStyle name="40% - Accent3 3 5 3" xfId="5813" xr:uid="{00000000-0005-0000-0000-000072050000}"/>
    <cellStyle name="40% - Accent3 3 5 3 2" xfId="14263" xr:uid="{64F0916C-AF31-4206-A153-F3F1D7559862}"/>
    <cellStyle name="40% - Accent3 3 5 4" xfId="10045" xr:uid="{81351939-FD07-4295-B8F6-A5031904EB55}"/>
    <cellStyle name="40% - Accent3 3 6" xfId="1920" xr:uid="{00000000-0005-0000-0000-000073050000}"/>
    <cellStyle name="40% - Accent3 3 6 2" xfId="4149" xr:uid="{00000000-0005-0000-0000-000074050000}"/>
    <cellStyle name="40% - Accent3 3 6 2 2" xfId="8371" xr:uid="{00000000-0005-0000-0000-000075050000}"/>
    <cellStyle name="40% - Accent3 3 6 2 2 2" xfId="16821" xr:uid="{834D1B62-48E2-45D0-83FD-F19BECB145D9}"/>
    <cellStyle name="40% - Accent3 3 6 2 3" xfId="12603" xr:uid="{02CF330F-2A33-400B-85DB-553D87F1C6FB}"/>
    <cellStyle name="40% - Accent3 3 6 3" xfId="6226" xr:uid="{00000000-0005-0000-0000-000076050000}"/>
    <cellStyle name="40% - Accent3 3 6 3 2" xfId="14676" xr:uid="{1EFAA052-7212-4E75-B9F2-390446762DA1}"/>
    <cellStyle name="40% - Accent3 3 6 4" xfId="10458" xr:uid="{9A613061-2EB2-4A64-8EFF-2A1B1C99DAD0}"/>
    <cellStyle name="40% - Accent3 3 7" xfId="2333" xr:uid="{00000000-0005-0000-0000-000077050000}"/>
    <cellStyle name="40% - Accent3 3 7 2" xfId="6639" xr:uid="{00000000-0005-0000-0000-000078050000}"/>
    <cellStyle name="40% - Accent3 3 7 2 2" xfId="15089" xr:uid="{5F27351E-A688-446A-9FE4-C18A7D39FAAE}"/>
    <cellStyle name="40% - Accent3 3 7 3" xfId="10871" xr:uid="{698818C3-736E-4778-97F0-D5D83EFE1F9F}"/>
    <cellStyle name="40% - Accent3 3 8" xfId="4573" xr:uid="{00000000-0005-0000-0000-000079050000}"/>
    <cellStyle name="40% - Accent3 3 8 2" xfId="13023" xr:uid="{D4D93992-1454-4B35-81D5-EEF87C826997}"/>
    <cellStyle name="40% - Accent3 3 9" xfId="8805" xr:uid="{8FFDBEBA-CC7F-4E4D-9436-A6A46C6FD322}"/>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5584" xr:uid="{E33B9BA4-DDD2-458F-B025-891D556F073D}"/>
    <cellStyle name="40% - Accent3 4 2 2 3" xfId="11366" xr:uid="{AEE9F9EC-3048-472A-89D2-EAD5D0D83DD9}"/>
    <cellStyle name="40% - Accent3 4 2 3" xfId="4989" xr:uid="{00000000-0005-0000-0000-00007E050000}"/>
    <cellStyle name="40% - Accent3 4 2 3 2" xfId="13439" xr:uid="{E2C4A870-26F8-4A00-8531-6E57BFEB44B7}"/>
    <cellStyle name="40% - Accent3 4 2 4" xfId="9221" xr:uid="{245D470B-49EA-4BCB-B3A5-C0EE629D1EE3}"/>
    <cellStyle name="40% - Accent3 4 3" xfId="1094" xr:uid="{00000000-0005-0000-0000-00007F050000}"/>
    <cellStyle name="40% - Accent3 4 3 2" xfId="3325" xr:uid="{00000000-0005-0000-0000-000080050000}"/>
    <cellStyle name="40% - Accent3 4 3 2 2" xfId="7547" xr:uid="{00000000-0005-0000-0000-000081050000}"/>
    <cellStyle name="40% - Accent3 4 3 2 2 2" xfId="15997" xr:uid="{8887F5C6-ED00-4477-8C81-E9EA286B72A0}"/>
    <cellStyle name="40% - Accent3 4 3 2 3" xfId="11779" xr:uid="{B1E2E483-E704-46C0-B9C9-1DDABDA0DF36}"/>
    <cellStyle name="40% - Accent3 4 3 3" xfId="5402" xr:uid="{00000000-0005-0000-0000-000082050000}"/>
    <cellStyle name="40% - Accent3 4 3 3 2" xfId="13852" xr:uid="{7E763562-825B-43C7-B297-A86EB56AEFF7}"/>
    <cellStyle name="40% - Accent3 4 3 4" xfId="9634" xr:uid="{9A13B3AD-60A7-4D76-9340-5B0DC092E7DE}"/>
    <cellStyle name="40% - Accent3 4 4" xfId="1508" xr:uid="{00000000-0005-0000-0000-000083050000}"/>
    <cellStyle name="40% - Accent3 4 4 2" xfId="3738" xr:uid="{00000000-0005-0000-0000-000084050000}"/>
    <cellStyle name="40% - Accent3 4 4 2 2" xfId="7960" xr:uid="{00000000-0005-0000-0000-000085050000}"/>
    <cellStyle name="40% - Accent3 4 4 2 2 2" xfId="16410" xr:uid="{A4CDAAB6-827C-4F25-A057-F3922844E245}"/>
    <cellStyle name="40% - Accent3 4 4 2 3" xfId="12192" xr:uid="{A7E1BD11-E80F-472E-A9DF-92928A07B16D}"/>
    <cellStyle name="40% - Accent3 4 4 3" xfId="5815" xr:uid="{00000000-0005-0000-0000-000086050000}"/>
    <cellStyle name="40% - Accent3 4 4 3 2" xfId="14265" xr:uid="{B74439B5-8A10-417D-8504-56BC83C79854}"/>
    <cellStyle name="40% - Accent3 4 4 4" xfId="10047" xr:uid="{06BCFA44-2157-41DE-8D33-549B1DEE247F}"/>
    <cellStyle name="40% - Accent3 4 5" xfId="1922" xr:uid="{00000000-0005-0000-0000-000087050000}"/>
    <cellStyle name="40% - Accent3 4 5 2" xfId="4151" xr:uid="{00000000-0005-0000-0000-000088050000}"/>
    <cellStyle name="40% - Accent3 4 5 2 2" xfId="8373" xr:uid="{00000000-0005-0000-0000-000089050000}"/>
    <cellStyle name="40% - Accent3 4 5 2 2 2" xfId="16823" xr:uid="{7FC3CC49-C7EA-470D-BB0F-7F716AD24FAD}"/>
    <cellStyle name="40% - Accent3 4 5 2 3" xfId="12605" xr:uid="{BE472A01-2127-4005-B8ED-AA6ACB5F2714}"/>
    <cellStyle name="40% - Accent3 4 5 3" xfId="6228" xr:uid="{00000000-0005-0000-0000-00008A050000}"/>
    <cellStyle name="40% - Accent3 4 5 3 2" xfId="14678" xr:uid="{6692B92F-970A-456B-9F2F-90251150E4DA}"/>
    <cellStyle name="40% - Accent3 4 5 4" xfId="10460" xr:uid="{1B5994CA-D447-4350-A602-40875E4DFF2B}"/>
    <cellStyle name="40% - Accent3 4 6" xfId="2335" xr:uid="{00000000-0005-0000-0000-00008B050000}"/>
    <cellStyle name="40% - Accent3 4 6 2" xfId="6641" xr:uid="{00000000-0005-0000-0000-00008C050000}"/>
    <cellStyle name="40% - Accent3 4 6 2 2" xfId="15091" xr:uid="{9356D21A-C2C8-4075-B69F-201EAEA7F1CB}"/>
    <cellStyle name="40% - Accent3 4 6 3" xfId="10873" xr:uid="{683BC8AF-8A19-4365-B426-56EDAC7D31A8}"/>
    <cellStyle name="40% - Accent3 4 7" xfId="4575" xr:uid="{00000000-0005-0000-0000-00008D050000}"/>
    <cellStyle name="40% - Accent3 4 7 2" xfId="13025" xr:uid="{B6684A2F-BC93-4606-8007-91949C5C42FA}"/>
    <cellStyle name="40% - Accent3 4 8" xfId="8807" xr:uid="{1A837383-BB27-413E-97A2-9D57643F91F4}"/>
    <cellStyle name="40% - Accent3 5" xfId="634" xr:uid="{00000000-0005-0000-0000-00008E050000}"/>
    <cellStyle name="40% - Accent3 5 2" xfId="2905" xr:uid="{00000000-0005-0000-0000-00008F050000}"/>
    <cellStyle name="40% - Accent3 5 2 2" xfId="7127" xr:uid="{00000000-0005-0000-0000-000090050000}"/>
    <cellStyle name="40% - Accent3 5 2 2 2" xfId="15577" xr:uid="{12AFBEF8-E3A5-41ED-A497-3F8AA7DC31C6}"/>
    <cellStyle name="40% - Accent3 5 2 3" xfId="11359" xr:uid="{3F6FFC39-3370-4542-89A0-C7F1FC679B89}"/>
    <cellStyle name="40% - Accent3 5 3" xfId="4982" xr:uid="{00000000-0005-0000-0000-000091050000}"/>
    <cellStyle name="40% - Accent3 5 3 2" xfId="13432" xr:uid="{1A2F5901-0AFA-49DE-8122-71A3F33C3A5A}"/>
    <cellStyle name="40% - Accent3 5 4" xfId="9214" xr:uid="{E862A258-B30E-4AB2-8969-B76A36732462}"/>
    <cellStyle name="40% - Accent3 6" xfId="1087" xr:uid="{00000000-0005-0000-0000-000092050000}"/>
    <cellStyle name="40% - Accent3 6 2" xfId="3318" xr:uid="{00000000-0005-0000-0000-000093050000}"/>
    <cellStyle name="40% - Accent3 6 2 2" xfId="7540" xr:uid="{00000000-0005-0000-0000-000094050000}"/>
    <cellStyle name="40% - Accent3 6 2 2 2" xfId="15990" xr:uid="{EAB092F4-E4BE-4CED-9FD8-16CDB9CF340E}"/>
    <cellStyle name="40% - Accent3 6 2 3" xfId="11772" xr:uid="{211B7AB5-2B96-419B-AE92-D70606A46F63}"/>
    <cellStyle name="40% - Accent3 6 3" xfId="5395" xr:uid="{00000000-0005-0000-0000-000095050000}"/>
    <cellStyle name="40% - Accent3 6 3 2" xfId="13845" xr:uid="{66833C77-4455-493B-B990-3FB3FD18FD12}"/>
    <cellStyle name="40% - Accent3 6 4" xfId="9627" xr:uid="{ABB82806-85AB-4F4D-ABB8-FD8E93048F49}"/>
    <cellStyle name="40% - Accent3 7" xfId="1501" xr:uid="{00000000-0005-0000-0000-000096050000}"/>
    <cellStyle name="40% - Accent3 7 2" xfId="3731" xr:uid="{00000000-0005-0000-0000-000097050000}"/>
    <cellStyle name="40% - Accent3 7 2 2" xfId="7953" xr:uid="{00000000-0005-0000-0000-000098050000}"/>
    <cellStyle name="40% - Accent3 7 2 2 2" xfId="16403" xr:uid="{E8D4EFE2-DA60-4845-85BC-DBA7C1F5502B}"/>
    <cellStyle name="40% - Accent3 7 2 3" xfId="12185" xr:uid="{4CA126FB-0869-46BC-B318-D2500DD99B65}"/>
    <cellStyle name="40% - Accent3 7 3" xfId="5808" xr:uid="{00000000-0005-0000-0000-000099050000}"/>
    <cellStyle name="40% - Accent3 7 3 2" xfId="14258" xr:uid="{3EC1C33F-AC72-4756-BC4F-A275FE54371B}"/>
    <cellStyle name="40% - Accent3 7 4" xfId="10040" xr:uid="{CB4429E4-B8CC-4BDC-A538-16BEE96F4F15}"/>
    <cellStyle name="40% - Accent3 8" xfId="1915" xr:uid="{00000000-0005-0000-0000-00009A050000}"/>
    <cellStyle name="40% - Accent3 8 2" xfId="4144" xr:uid="{00000000-0005-0000-0000-00009B050000}"/>
    <cellStyle name="40% - Accent3 8 2 2" xfId="8366" xr:uid="{00000000-0005-0000-0000-00009C050000}"/>
    <cellStyle name="40% - Accent3 8 2 2 2" xfId="16816" xr:uid="{CA6B8615-EACB-4364-900E-B0F787BC7649}"/>
    <cellStyle name="40% - Accent3 8 2 3" xfId="12598" xr:uid="{57ABA74E-7DA1-4B35-9FAE-9076EEFE40A0}"/>
    <cellStyle name="40% - Accent3 8 3" xfId="6221" xr:uid="{00000000-0005-0000-0000-00009D050000}"/>
    <cellStyle name="40% - Accent3 8 3 2" xfId="14671" xr:uid="{7F81A601-51C8-4EB7-9106-4D87A9679533}"/>
    <cellStyle name="40% - Accent3 8 4" xfId="10453" xr:uid="{FBFEB931-9235-4B69-A760-80B5DFD03538}"/>
    <cellStyle name="40% - Accent3 9" xfId="2328" xr:uid="{00000000-0005-0000-0000-00009E050000}"/>
    <cellStyle name="40% - Accent3 9 2" xfId="6634" xr:uid="{00000000-0005-0000-0000-00009F050000}"/>
    <cellStyle name="40% - Accent3 9 2 2" xfId="15084" xr:uid="{E7A54AC8-CD28-423B-9D93-CB83E521BD56}"/>
    <cellStyle name="40% - Accent3 9 3" xfId="10866" xr:uid="{8B0C694E-D38F-4D79-846E-C85ECA8D9F8C}"/>
    <cellStyle name="40% - Accent4" xfId="73" builtinId="43" customBuiltin="1"/>
    <cellStyle name="40% - Accent4 10" xfId="4576" xr:uid="{00000000-0005-0000-0000-0000A1050000}"/>
    <cellStyle name="40% - Accent4 10 2" xfId="13026" xr:uid="{9989195D-CE2B-4BAB-B6A0-03AD6B3F39BE}"/>
    <cellStyle name="40% - Accent4 11" xfId="8808" xr:uid="{E3C15B9C-13EB-4C82-98A8-BB2C9FCFFED9}"/>
    <cellStyle name="40% - Accent4 2" xfId="74" xr:uid="{00000000-0005-0000-0000-0000A2050000}"/>
    <cellStyle name="40% - Accent4 2 10" xfId="8809" xr:uid="{CD8B857D-0542-4179-B2E9-58278EB2EBC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5588" xr:uid="{64FEF406-6787-47BB-94CF-45BEBCEA841C}"/>
    <cellStyle name="40% - Accent4 2 2 2 2 2 3" xfId="11370" xr:uid="{369454C0-2136-46EA-9C71-350900C46D9A}"/>
    <cellStyle name="40% - Accent4 2 2 2 2 3" xfId="4993" xr:uid="{00000000-0005-0000-0000-0000A8050000}"/>
    <cellStyle name="40% - Accent4 2 2 2 2 3 2" xfId="13443" xr:uid="{FE8DC292-82C2-46C9-A1BE-4C764795FAEC}"/>
    <cellStyle name="40% - Accent4 2 2 2 2 4" xfId="9225" xr:uid="{A6356BB9-668A-4430-9AD5-34355A8E527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001" xr:uid="{364311EE-6664-4C23-8DBC-527F8990A02A}"/>
    <cellStyle name="40% - Accent4 2 2 2 3 2 3" xfId="11783" xr:uid="{B90656B8-5540-4960-B4CD-E0FE85EC6856}"/>
    <cellStyle name="40% - Accent4 2 2 2 3 3" xfId="5406" xr:uid="{00000000-0005-0000-0000-0000AC050000}"/>
    <cellStyle name="40% - Accent4 2 2 2 3 3 2" xfId="13856" xr:uid="{A2DC426A-76B6-4720-9DA2-F5934A7E09C9}"/>
    <cellStyle name="40% - Accent4 2 2 2 3 4" xfId="9638" xr:uid="{43B2EA21-7811-4E4B-8A56-F6E20B97DCE5}"/>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6414" xr:uid="{54008B4C-F12D-4063-B564-8BA2DAEFE477}"/>
    <cellStyle name="40% - Accent4 2 2 2 4 2 3" xfId="12196" xr:uid="{B54689B1-00C5-4E99-8E48-8C810DC6FF95}"/>
    <cellStyle name="40% - Accent4 2 2 2 4 3" xfId="5819" xr:uid="{00000000-0005-0000-0000-0000B0050000}"/>
    <cellStyle name="40% - Accent4 2 2 2 4 3 2" xfId="14269" xr:uid="{AC74BF74-C310-4254-AABC-4181F97F22F5}"/>
    <cellStyle name="40% - Accent4 2 2 2 4 4" xfId="10051" xr:uid="{4F7F63D8-500B-4CAF-8597-F0D7A9AEB6F4}"/>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6827" xr:uid="{65889803-E5F2-4991-BF70-1B3B21488F1E}"/>
    <cellStyle name="40% - Accent4 2 2 2 5 2 3" xfId="12609" xr:uid="{8E39B80A-DD9C-4CB6-BC75-A72E97E6C76C}"/>
    <cellStyle name="40% - Accent4 2 2 2 5 3" xfId="6232" xr:uid="{00000000-0005-0000-0000-0000B4050000}"/>
    <cellStyle name="40% - Accent4 2 2 2 5 3 2" xfId="14682" xr:uid="{FD3B2685-8641-422E-B743-18749A0CD02E}"/>
    <cellStyle name="40% - Accent4 2 2 2 5 4" xfId="10464" xr:uid="{B81B06FB-C20B-4A3F-8859-79AD91027178}"/>
    <cellStyle name="40% - Accent4 2 2 2 6" xfId="2339" xr:uid="{00000000-0005-0000-0000-0000B5050000}"/>
    <cellStyle name="40% - Accent4 2 2 2 6 2" xfId="6645" xr:uid="{00000000-0005-0000-0000-0000B6050000}"/>
    <cellStyle name="40% - Accent4 2 2 2 6 2 2" xfId="15095" xr:uid="{2F88AA46-496C-4F7D-A452-117E0A753B17}"/>
    <cellStyle name="40% - Accent4 2 2 2 6 3" xfId="10877" xr:uid="{810ABC97-A7F4-4356-8C8C-9143219B23C4}"/>
    <cellStyle name="40% - Accent4 2 2 2 7" xfId="4579" xr:uid="{00000000-0005-0000-0000-0000B7050000}"/>
    <cellStyle name="40% - Accent4 2 2 2 7 2" xfId="13029" xr:uid="{55BA9B61-A8A8-4A11-90EB-B34DDEBEF269}"/>
    <cellStyle name="40% - Accent4 2 2 2 8" xfId="8811" xr:uid="{79462136-043F-4088-B36B-D6AE0411C79E}"/>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5587" xr:uid="{1D8CC9EF-835B-4841-A46F-03C96C3C24F7}"/>
    <cellStyle name="40% - Accent4 2 2 3 2 3" xfId="11369" xr:uid="{62AC46A2-5CBB-4D2A-8838-0BA29B1B528F}"/>
    <cellStyle name="40% - Accent4 2 2 3 3" xfId="4992" xr:uid="{00000000-0005-0000-0000-0000BB050000}"/>
    <cellStyle name="40% - Accent4 2 2 3 3 2" xfId="13442" xr:uid="{45BCC9E1-CEF4-4AC7-A974-1725FB0885D2}"/>
    <cellStyle name="40% - Accent4 2 2 3 4" xfId="9224" xr:uid="{AEB2EDF5-7D3D-4830-9517-B9AE191234E5}"/>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000" xr:uid="{4D5C0AEB-29F1-4EA3-85F3-716C0F8E030A}"/>
    <cellStyle name="40% - Accent4 2 2 4 2 3" xfId="11782" xr:uid="{362CBA40-A305-42A3-8D36-69DEB1DFD61C}"/>
    <cellStyle name="40% - Accent4 2 2 4 3" xfId="5405" xr:uid="{00000000-0005-0000-0000-0000BF050000}"/>
    <cellStyle name="40% - Accent4 2 2 4 3 2" xfId="13855" xr:uid="{DC6154D3-DEF4-4D1C-9F17-8E8881BDCD60}"/>
    <cellStyle name="40% - Accent4 2 2 4 4" xfId="9637" xr:uid="{A1EE53BE-05D5-4F9F-A861-9A661CBD0CD0}"/>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6413" xr:uid="{31908217-ADC5-435C-98F1-46F3CD5B3A16}"/>
    <cellStyle name="40% - Accent4 2 2 5 2 3" xfId="12195" xr:uid="{8145F478-3F4E-4D6B-92A0-EC045F181131}"/>
    <cellStyle name="40% - Accent4 2 2 5 3" xfId="5818" xr:uid="{00000000-0005-0000-0000-0000C3050000}"/>
    <cellStyle name="40% - Accent4 2 2 5 3 2" xfId="14268" xr:uid="{35CA25F8-97A2-4680-9819-B7B6EE5C96B8}"/>
    <cellStyle name="40% - Accent4 2 2 5 4" xfId="10050" xr:uid="{E48F4942-B796-4C05-9397-40B7F3621596}"/>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6826" xr:uid="{5EDCAC3B-57E3-4F4D-85F0-3868B760FC63}"/>
    <cellStyle name="40% - Accent4 2 2 6 2 3" xfId="12608" xr:uid="{9EBB4CD9-E087-47EE-928E-FB9C8829A25B}"/>
    <cellStyle name="40% - Accent4 2 2 6 3" xfId="6231" xr:uid="{00000000-0005-0000-0000-0000C7050000}"/>
    <cellStyle name="40% - Accent4 2 2 6 3 2" xfId="14681" xr:uid="{32A107C7-727E-4789-837B-24B345494D32}"/>
    <cellStyle name="40% - Accent4 2 2 6 4" xfId="10463" xr:uid="{50E1C3D8-8820-443C-A69A-3D37BC39EC7B}"/>
    <cellStyle name="40% - Accent4 2 2 7" xfId="2338" xr:uid="{00000000-0005-0000-0000-0000C8050000}"/>
    <cellStyle name="40% - Accent4 2 2 7 2" xfId="6644" xr:uid="{00000000-0005-0000-0000-0000C9050000}"/>
    <cellStyle name="40% - Accent4 2 2 7 2 2" xfId="15094" xr:uid="{A0B951F2-A675-4A7D-B167-58E0B73A76D2}"/>
    <cellStyle name="40% - Accent4 2 2 7 3" xfId="10876" xr:uid="{39842C2C-E2F1-4F58-84F5-E642F07658F1}"/>
    <cellStyle name="40% - Accent4 2 2 8" xfId="4578" xr:uid="{00000000-0005-0000-0000-0000CA050000}"/>
    <cellStyle name="40% - Accent4 2 2 8 2" xfId="13028" xr:uid="{44114978-2862-4B96-B120-AC7D17582959}"/>
    <cellStyle name="40% - Accent4 2 2 9" xfId="8810" xr:uid="{E6404B11-98D5-4E9C-AE2C-EDF67E85613E}"/>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5589" xr:uid="{BDCD6B0B-5134-4E54-8E48-97FF0EC8D2CD}"/>
    <cellStyle name="40% - Accent4 2 3 2 2 3" xfId="11371" xr:uid="{C6CE8E70-88ED-4040-9C0D-456AA242C559}"/>
    <cellStyle name="40% - Accent4 2 3 2 3" xfId="4994" xr:uid="{00000000-0005-0000-0000-0000CF050000}"/>
    <cellStyle name="40% - Accent4 2 3 2 3 2" xfId="13444" xr:uid="{DD5C38FD-200B-45A6-A5A4-DE4D80052332}"/>
    <cellStyle name="40% - Accent4 2 3 2 4" xfId="9226" xr:uid="{F567F496-08CA-4C65-9A35-311F9062D6C0}"/>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002" xr:uid="{B5C30020-727E-4050-902F-3F92ECD2EA81}"/>
    <cellStyle name="40% - Accent4 2 3 3 2 3" xfId="11784" xr:uid="{977E69CB-6C25-44B5-8284-B48A42DA9702}"/>
    <cellStyle name="40% - Accent4 2 3 3 3" xfId="5407" xr:uid="{00000000-0005-0000-0000-0000D3050000}"/>
    <cellStyle name="40% - Accent4 2 3 3 3 2" xfId="13857" xr:uid="{37FC6992-1CF6-4676-944F-4E6239A1A726}"/>
    <cellStyle name="40% - Accent4 2 3 3 4" xfId="9639" xr:uid="{01E3707F-84C8-46E5-B514-271B85FE258B}"/>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6415" xr:uid="{F205DF04-E55E-4933-A22B-D45EEFE61D29}"/>
    <cellStyle name="40% - Accent4 2 3 4 2 3" xfId="12197" xr:uid="{FD0E3E0F-E8EA-4501-B384-39F9AEBC2008}"/>
    <cellStyle name="40% - Accent4 2 3 4 3" xfId="5820" xr:uid="{00000000-0005-0000-0000-0000D7050000}"/>
    <cellStyle name="40% - Accent4 2 3 4 3 2" xfId="14270" xr:uid="{995FC2D3-EE1E-478E-9E39-C5E59B16CD49}"/>
    <cellStyle name="40% - Accent4 2 3 4 4" xfId="10052" xr:uid="{1FE3DC63-FCDC-4E00-A971-82863DDCFA9A}"/>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6828" xr:uid="{9CBE7BA9-8466-4C1C-BFA7-EE6C61959641}"/>
    <cellStyle name="40% - Accent4 2 3 5 2 3" xfId="12610" xr:uid="{620429EA-B5FB-41F9-9D42-5717264FE86D}"/>
    <cellStyle name="40% - Accent4 2 3 5 3" xfId="6233" xr:uid="{00000000-0005-0000-0000-0000DB050000}"/>
    <cellStyle name="40% - Accent4 2 3 5 3 2" xfId="14683" xr:uid="{FA125F85-3FD5-4686-A9D9-71A823A72CF7}"/>
    <cellStyle name="40% - Accent4 2 3 5 4" xfId="10465" xr:uid="{B9EFDBC3-2C20-4680-9FD9-D3B52A0881FA}"/>
    <cellStyle name="40% - Accent4 2 3 6" xfId="2340" xr:uid="{00000000-0005-0000-0000-0000DC050000}"/>
    <cellStyle name="40% - Accent4 2 3 6 2" xfId="6646" xr:uid="{00000000-0005-0000-0000-0000DD050000}"/>
    <cellStyle name="40% - Accent4 2 3 6 2 2" xfId="15096" xr:uid="{8100F9A8-0152-4C1E-8ABF-B764D0C9FE45}"/>
    <cellStyle name="40% - Accent4 2 3 6 3" xfId="10878" xr:uid="{A84B4125-E8DA-42C3-A917-1E17EF8DF275}"/>
    <cellStyle name="40% - Accent4 2 3 7" xfId="4580" xr:uid="{00000000-0005-0000-0000-0000DE050000}"/>
    <cellStyle name="40% - Accent4 2 3 7 2" xfId="13030" xr:uid="{AB69EB24-8AD8-404E-B80B-2944013E1F30}"/>
    <cellStyle name="40% - Accent4 2 3 8" xfId="8812" xr:uid="{7CF33DB7-DA33-4A52-9A10-CE738D72C599}"/>
    <cellStyle name="40% - Accent4 2 4" xfId="643" xr:uid="{00000000-0005-0000-0000-0000DF050000}"/>
    <cellStyle name="40% - Accent4 2 4 2" xfId="2914" xr:uid="{00000000-0005-0000-0000-0000E0050000}"/>
    <cellStyle name="40% - Accent4 2 4 2 2" xfId="7136" xr:uid="{00000000-0005-0000-0000-0000E1050000}"/>
    <cellStyle name="40% - Accent4 2 4 2 2 2" xfId="15586" xr:uid="{5DF62973-72F3-4693-A758-5022B0E4910A}"/>
    <cellStyle name="40% - Accent4 2 4 2 3" xfId="11368" xr:uid="{F7F206CF-3B80-47DA-9E33-EDB90D40C387}"/>
    <cellStyle name="40% - Accent4 2 4 3" xfId="4991" xr:uid="{00000000-0005-0000-0000-0000E2050000}"/>
    <cellStyle name="40% - Accent4 2 4 3 2" xfId="13441" xr:uid="{FE59CFC6-24BB-465D-8747-31041F327DE4}"/>
    <cellStyle name="40% - Accent4 2 4 4" xfId="9223" xr:uid="{442E78AF-30FE-4D7C-8BC1-DF23597FE5DB}"/>
    <cellStyle name="40% - Accent4 2 5" xfId="1096" xr:uid="{00000000-0005-0000-0000-0000E3050000}"/>
    <cellStyle name="40% - Accent4 2 5 2" xfId="3327" xr:uid="{00000000-0005-0000-0000-0000E4050000}"/>
    <cellStyle name="40% - Accent4 2 5 2 2" xfId="7549" xr:uid="{00000000-0005-0000-0000-0000E5050000}"/>
    <cellStyle name="40% - Accent4 2 5 2 2 2" xfId="15999" xr:uid="{EDC16350-79E0-4D98-AC26-ED3B61CCFD57}"/>
    <cellStyle name="40% - Accent4 2 5 2 3" xfId="11781" xr:uid="{41DC8065-42BC-4203-A85E-EF75927167C1}"/>
    <cellStyle name="40% - Accent4 2 5 3" xfId="5404" xr:uid="{00000000-0005-0000-0000-0000E6050000}"/>
    <cellStyle name="40% - Accent4 2 5 3 2" xfId="13854" xr:uid="{1927923F-518D-4AEF-A0CA-3CAE1CDF81C8}"/>
    <cellStyle name="40% - Accent4 2 5 4" xfId="9636" xr:uid="{7A652B9F-2F77-4C51-839D-5B9DD24AE131}"/>
    <cellStyle name="40% - Accent4 2 6" xfId="1510" xr:uid="{00000000-0005-0000-0000-0000E7050000}"/>
    <cellStyle name="40% - Accent4 2 6 2" xfId="3740" xr:uid="{00000000-0005-0000-0000-0000E8050000}"/>
    <cellStyle name="40% - Accent4 2 6 2 2" xfId="7962" xr:uid="{00000000-0005-0000-0000-0000E9050000}"/>
    <cellStyle name="40% - Accent4 2 6 2 2 2" xfId="16412" xr:uid="{1787B55E-2BB6-49BB-8931-CA685B48D204}"/>
    <cellStyle name="40% - Accent4 2 6 2 3" xfId="12194" xr:uid="{6EC5C802-A732-43FF-A2D8-8D6C25CC6198}"/>
    <cellStyle name="40% - Accent4 2 6 3" xfId="5817" xr:uid="{00000000-0005-0000-0000-0000EA050000}"/>
    <cellStyle name="40% - Accent4 2 6 3 2" xfId="14267" xr:uid="{9BEC497E-14F0-4199-890A-579B72F1159F}"/>
    <cellStyle name="40% - Accent4 2 6 4" xfId="10049" xr:uid="{2C692ABA-88FD-4149-81BD-3D6ED92BB7E1}"/>
    <cellStyle name="40% - Accent4 2 7" xfId="1924" xr:uid="{00000000-0005-0000-0000-0000EB050000}"/>
    <cellStyle name="40% - Accent4 2 7 2" xfId="4153" xr:uid="{00000000-0005-0000-0000-0000EC050000}"/>
    <cellStyle name="40% - Accent4 2 7 2 2" xfId="8375" xr:uid="{00000000-0005-0000-0000-0000ED050000}"/>
    <cellStyle name="40% - Accent4 2 7 2 2 2" xfId="16825" xr:uid="{C40A90C1-3720-4427-A966-BC18A1014C33}"/>
    <cellStyle name="40% - Accent4 2 7 2 3" xfId="12607" xr:uid="{810C1BC3-7575-4EEC-86AA-1EB78F9A970E}"/>
    <cellStyle name="40% - Accent4 2 7 3" xfId="6230" xr:uid="{00000000-0005-0000-0000-0000EE050000}"/>
    <cellStyle name="40% - Accent4 2 7 3 2" xfId="14680" xr:uid="{78EC2147-9442-443F-B78E-8CA87A58AED6}"/>
    <cellStyle name="40% - Accent4 2 7 4" xfId="10462" xr:uid="{E772B7E3-E9F0-45DF-97C2-CBDBA7A5E03F}"/>
    <cellStyle name="40% - Accent4 2 8" xfId="2337" xr:uid="{00000000-0005-0000-0000-0000EF050000}"/>
    <cellStyle name="40% - Accent4 2 8 2" xfId="6643" xr:uid="{00000000-0005-0000-0000-0000F0050000}"/>
    <cellStyle name="40% - Accent4 2 8 2 2" xfId="15093" xr:uid="{F47F0FE6-06E2-4CDC-864F-00EECF1A8518}"/>
    <cellStyle name="40% - Accent4 2 8 3" xfId="10875" xr:uid="{4B1B489D-27F6-4964-931F-A23D22E1E3EE}"/>
    <cellStyle name="40% - Accent4 2 9" xfId="4577" xr:uid="{00000000-0005-0000-0000-0000F1050000}"/>
    <cellStyle name="40% - Accent4 2 9 2" xfId="13027" xr:uid="{7FE72347-B684-4C94-A7B9-DF987549580F}"/>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5591" xr:uid="{B6E7B488-8CD7-48AE-A55F-A5EF57C24A81}"/>
    <cellStyle name="40% - Accent4 3 2 2 2 3" xfId="11373" xr:uid="{DB821DEF-F9BD-419C-BED9-2055CE4EFCAF}"/>
    <cellStyle name="40% - Accent4 3 2 2 3" xfId="4996" xr:uid="{00000000-0005-0000-0000-0000F7050000}"/>
    <cellStyle name="40% - Accent4 3 2 2 3 2" xfId="13446" xr:uid="{3B7063A0-19DC-4E54-9BF3-D881AED66AC7}"/>
    <cellStyle name="40% - Accent4 3 2 2 4" xfId="9228" xr:uid="{AF67DE26-97AC-40EE-9095-5870D1183081}"/>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004" xr:uid="{7FF649FD-623D-48B1-917A-ED1F184EE06B}"/>
    <cellStyle name="40% - Accent4 3 2 3 2 3" xfId="11786" xr:uid="{F9AC6115-D2C1-463D-BF39-5AA10432C732}"/>
    <cellStyle name="40% - Accent4 3 2 3 3" xfId="5409" xr:uid="{00000000-0005-0000-0000-0000FB050000}"/>
    <cellStyle name="40% - Accent4 3 2 3 3 2" xfId="13859" xr:uid="{5CDCE7B4-CFF4-4AC0-BC1D-1CD38995DC6D}"/>
    <cellStyle name="40% - Accent4 3 2 3 4" xfId="9641" xr:uid="{A1AD4BE6-E15E-4FE8-B8D2-71B3F1BFAEE8}"/>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6417" xr:uid="{F3624591-6612-430B-9AD9-BC24B89F296E}"/>
    <cellStyle name="40% - Accent4 3 2 4 2 3" xfId="12199" xr:uid="{45060E7F-C69F-4956-90BB-3CB5953B7DAA}"/>
    <cellStyle name="40% - Accent4 3 2 4 3" xfId="5822" xr:uid="{00000000-0005-0000-0000-0000FF050000}"/>
    <cellStyle name="40% - Accent4 3 2 4 3 2" xfId="14272" xr:uid="{3D777668-01D0-4C96-8FAB-7116A5BC2EBB}"/>
    <cellStyle name="40% - Accent4 3 2 4 4" xfId="10054" xr:uid="{8C5ECD65-4DB0-4208-B237-3BB8914565E9}"/>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6830" xr:uid="{24658A47-AAD0-4C0F-A2A8-741F6DA7204E}"/>
    <cellStyle name="40% - Accent4 3 2 5 2 3" xfId="12612" xr:uid="{A7306E72-88A3-4F69-B271-27296F87F85F}"/>
    <cellStyle name="40% - Accent4 3 2 5 3" xfId="6235" xr:uid="{00000000-0005-0000-0000-000003060000}"/>
    <cellStyle name="40% - Accent4 3 2 5 3 2" xfId="14685" xr:uid="{037707DE-FC50-49B1-945C-5547E8F9062B}"/>
    <cellStyle name="40% - Accent4 3 2 5 4" xfId="10467" xr:uid="{C1B3B3AA-800D-483B-B095-8F487C828F99}"/>
    <cellStyle name="40% - Accent4 3 2 6" xfId="2342" xr:uid="{00000000-0005-0000-0000-000004060000}"/>
    <cellStyle name="40% - Accent4 3 2 6 2" xfId="6648" xr:uid="{00000000-0005-0000-0000-000005060000}"/>
    <cellStyle name="40% - Accent4 3 2 6 2 2" xfId="15098" xr:uid="{C87B25F2-8DBA-4272-B2DC-8506A6E90828}"/>
    <cellStyle name="40% - Accent4 3 2 6 3" xfId="10880" xr:uid="{2DCB2124-5FC8-461C-9173-3FDE2D3F01E5}"/>
    <cellStyle name="40% - Accent4 3 2 7" xfId="4582" xr:uid="{00000000-0005-0000-0000-000006060000}"/>
    <cellStyle name="40% - Accent4 3 2 7 2" xfId="13032" xr:uid="{E0E4BD31-C15A-424D-AD63-9273A7491FA7}"/>
    <cellStyle name="40% - Accent4 3 2 8" xfId="8814" xr:uid="{B48FA44E-6D2E-415C-A866-EFCD67F991A1}"/>
    <cellStyle name="40% - Accent4 3 3" xfId="647" xr:uid="{00000000-0005-0000-0000-000007060000}"/>
    <cellStyle name="40% - Accent4 3 3 2" xfId="2918" xr:uid="{00000000-0005-0000-0000-000008060000}"/>
    <cellStyle name="40% - Accent4 3 3 2 2" xfId="7140" xr:uid="{00000000-0005-0000-0000-000009060000}"/>
    <cellStyle name="40% - Accent4 3 3 2 2 2" xfId="15590" xr:uid="{D4473CFF-75AA-4E36-9020-36F712D5C68F}"/>
    <cellStyle name="40% - Accent4 3 3 2 3" xfId="11372" xr:uid="{AC2F8288-8662-4BDD-B1F8-08F542850613}"/>
    <cellStyle name="40% - Accent4 3 3 3" xfId="4995" xr:uid="{00000000-0005-0000-0000-00000A060000}"/>
    <cellStyle name="40% - Accent4 3 3 3 2" xfId="13445" xr:uid="{34B36EB5-5F2F-4F2C-A6EB-447295FDB2A1}"/>
    <cellStyle name="40% - Accent4 3 3 4" xfId="9227" xr:uid="{F15A7403-00FF-4CFB-82B9-D2357E4F02C2}"/>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003" xr:uid="{8130DC3B-323C-4DD0-8769-3219FF67B0D3}"/>
    <cellStyle name="40% - Accent4 3 4 2 3" xfId="11785" xr:uid="{FEEBFBF3-B41F-45F8-9F22-D1A8691BB5CF}"/>
    <cellStyle name="40% - Accent4 3 4 3" xfId="5408" xr:uid="{00000000-0005-0000-0000-00000E060000}"/>
    <cellStyle name="40% - Accent4 3 4 3 2" xfId="13858" xr:uid="{0F96D309-FD43-445A-9FFA-49AE9B8106E0}"/>
    <cellStyle name="40% - Accent4 3 4 4" xfId="9640" xr:uid="{DAC2D1EC-FA0F-4F19-B8F8-D7B436F8FA80}"/>
    <cellStyle name="40% - Accent4 3 5" xfId="1514" xr:uid="{00000000-0005-0000-0000-00000F060000}"/>
    <cellStyle name="40% - Accent4 3 5 2" xfId="3744" xr:uid="{00000000-0005-0000-0000-000010060000}"/>
    <cellStyle name="40% - Accent4 3 5 2 2" xfId="7966" xr:uid="{00000000-0005-0000-0000-000011060000}"/>
    <cellStyle name="40% - Accent4 3 5 2 2 2" xfId="16416" xr:uid="{EF138799-82CD-46F7-9589-A91ECAB9F12E}"/>
    <cellStyle name="40% - Accent4 3 5 2 3" xfId="12198" xr:uid="{C8C2CF8C-9EE0-47E8-B1CC-9434149FFECB}"/>
    <cellStyle name="40% - Accent4 3 5 3" xfId="5821" xr:uid="{00000000-0005-0000-0000-000012060000}"/>
    <cellStyle name="40% - Accent4 3 5 3 2" xfId="14271" xr:uid="{7677D92E-0E65-4A50-BDBE-4A0DC1921B4F}"/>
    <cellStyle name="40% - Accent4 3 5 4" xfId="10053" xr:uid="{67637E5A-AB0B-4416-9C11-4037F2B929DA}"/>
    <cellStyle name="40% - Accent4 3 6" xfId="1928" xr:uid="{00000000-0005-0000-0000-000013060000}"/>
    <cellStyle name="40% - Accent4 3 6 2" xfId="4157" xr:uid="{00000000-0005-0000-0000-000014060000}"/>
    <cellStyle name="40% - Accent4 3 6 2 2" xfId="8379" xr:uid="{00000000-0005-0000-0000-000015060000}"/>
    <cellStyle name="40% - Accent4 3 6 2 2 2" xfId="16829" xr:uid="{455A3B64-B241-4432-A79C-CA744423521E}"/>
    <cellStyle name="40% - Accent4 3 6 2 3" xfId="12611" xr:uid="{BC9053C6-696C-4A4C-9BE4-E0F1994B4B6D}"/>
    <cellStyle name="40% - Accent4 3 6 3" xfId="6234" xr:uid="{00000000-0005-0000-0000-000016060000}"/>
    <cellStyle name="40% - Accent4 3 6 3 2" xfId="14684" xr:uid="{ADCF2BBD-2FB3-48BC-A25B-3359278412D1}"/>
    <cellStyle name="40% - Accent4 3 6 4" xfId="10466" xr:uid="{AEC9FC0D-07A4-4E4B-9049-E8B2BDF6B4EC}"/>
    <cellStyle name="40% - Accent4 3 7" xfId="2341" xr:uid="{00000000-0005-0000-0000-000017060000}"/>
    <cellStyle name="40% - Accent4 3 7 2" xfId="6647" xr:uid="{00000000-0005-0000-0000-000018060000}"/>
    <cellStyle name="40% - Accent4 3 7 2 2" xfId="15097" xr:uid="{1C88F147-790B-41AD-9CD5-B8C5279961C4}"/>
    <cellStyle name="40% - Accent4 3 7 3" xfId="10879" xr:uid="{F2E8A7B8-0FD9-4881-8C28-7E96340CA48C}"/>
    <cellStyle name="40% - Accent4 3 8" xfId="4581" xr:uid="{00000000-0005-0000-0000-000019060000}"/>
    <cellStyle name="40% - Accent4 3 8 2" xfId="13031" xr:uid="{1537F367-BD54-4841-9CF0-849484E27DCC}"/>
    <cellStyle name="40% - Accent4 3 9" xfId="8813" xr:uid="{CE5FE8FF-64EA-4DFD-8F3F-CFE267D58439}"/>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5592" xr:uid="{2AF8882C-43FB-49BF-A7EE-047AA57B6C8E}"/>
    <cellStyle name="40% - Accent4 4 2 2 3" xfId="11374" xr:uid="{D593BE0A-0B35-4FF4-BB39-12A04D43A12B}"/>
    <cellStyle name="40% - Accent4 4 2 3" xfId="4997" xr:uid="{00000000-0005-0000-0000-00001E060000}"/>
    <cellStyle name="40% - Accent4 4 2 3 2" xfId="13447" xr:uid="{40A52C9F-8198-4FFB-B60B-7DB81126E3AA}"/>
    <cellStyle name="40% - Accent4 4 2 4" xfId="9229" xr:uid="{7878FCF1-97C6-4715-B4DE-7A78915FF2F7}"/>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005" xr:uid="{E62FBB74-EAB5-43C6-8157-A0E96E1528F5}"/>
    <cellStyle name="40% - Accent4 4 3 2 3" xfId="11787" xr:uid="{4BEE9351-529A-4664-9756-CAF4B57B19DF}"/>
    <cellStyle name="40% - Accent4 4 3 3" xfId="5410" xr:uid="{00000000-0005-0000-0000-000022060000}"/>
    <cellStyle name="40% - Accent4 4 3 3 2" xfId="13860" xr:uid="{740458FE-01DC-40DB-A930-7F3F00198A45}"/>
    <cellStyle name="40% - Accent4 4 3 4" xfId="9642" xr:uid="{E149CF52-617A-4EFA-9A79-A1CCA810CD63}"/>
    <cellStyle name="40% - Accent4 4 4" xfId="1516" xr:uid="{00000000-0005-0000-0000-000023060000}"/>
    <cellStyle name="40% - Accent4 4 4 2" xfId="3746" xr:uid="{00000000-0005-0000-0000-000024060000}"/>
    <cellStyle name="40% - Accent4 4 4 2 2" xfId="7968" xr:uid="{00000000-0005-0000-0000-000025060000}"/>
    <cellStyle name="40% - Accent4 4 4 2 2 2" xfId="16418" xr:uid="{1FB97D10-A24B-45FA-B800-0DC331578015}"/>
    <cellStyle name="40% - Accent4 4 4 2 3" xfId="12200" xr:uid="{F4C239E2-5AE7-4A4A-BBC0-B65A4A07EC13}"/>
    <cellStyle name="40% - Accent4 4 4 3" xfId="5823" xr:uid="{00000000-0005-0000-0000-000026060000}"/>
    <cellStyle name="40% - Accent4 4 4 3 2" xfId="14273" xr:uid="{671A31F5-F375-4DDA-BDC1-E499D68A4EE9}"/>
    <cellStyle name="40% - Accent4 4 4 4" xfId="10055" xr:uid="{9B8EDAA6-1114-4898-8E43-3CACB4784F27}"/>
    <cellStyle name="40% - Accent4 4 5" xfId="1930" xr:uid="{00000000-0005-0000-0000-000027060000}"/>
    <cellStyle name="40% - Accent4 4 5 2" xfId="4159" xr:uid="{00000000-0005-0000-0000-000028060000}"/>
    <cellStyle name="40% - Accent4 4 5 2 2" xfId="8381" xr:uid="{00000000-0005-0000-0000-000029060000}"/>
    <cellStyle name="40% - Accent4 4 5 2 2 2" xfId="16831" xr:uid="{186F1863-F905-408F-B730-A549BF7CFA50}"/>
    <cellStyle name="40% - Accent4 4 5 2 3" xfId="12613" xr:uid="{FA36DCC1-E3F8-4443-9095-E26E8F1BC51B}"/>
    <cellStyle name="40% - Accent4 4 5 3" xfId="6236" xr:uid="{00000000-0005-0000-0000-00002A060000}"/>
    <cellStyle name="40% - Accent4 4 5 3 2" xfId="14686" xr:uid="{32978FB5-1DB7-4C4D-8AD3-F70BABBEEC5D}"/>
    <cellStyle name="40% - Accent4 4 5 4" xfId="10468" xr:uid="{21C7FDE2-2DED-46CD-B426-2B3B23E29B7C}"/>
    <cellStyle name="40% - Accent4 4 6" xfId="2343" xr:uid="{00000000-0005-0000-0000-00002B060000}"/>
    <cellStyle name="40% - Accent4 4 6 2" xfId="6649" xr:uid="{00000000-0005-0000-0000-00002C060000}"/>
    <cellStyle name="40% - Accent4 4 6 2 2" xfId="15099" xr:uid="{C9DE99B9-7F60-4BDB-92F0-6D7ADF441101}"/>
    <cellStyle name="40% - Accent4 4 6 3" xfId="10881" xr:uid="{557E5BDE-0C45-4E1B-9D93-EBF5BE5AD15B}"/>
    <cellStyle name="40% - Accent4 4 7" xfId="4583" xr:uid="{00000000-0005-0000-0000-00002D060000}"/>
    <cellStyle name="40% - Accent4 4 7 2" xfId="13033" xr:uid="{4627324E-270A-4D9F-9F8D-BEDADD96F263}"/>
    <cellStyle name="40% - Accent4 4 8" xfId="8815" xr:uid="{E9BD7B1E-3D29-47D0-AB18-D0D5100E172C}"/>
    <cellStyle name="40% - Accent4 5" xfId="642" xr:uid="{00000000-0005-0000-0000-00002E060000}"/>
    <cellStyle name="40% - Accent4 5 2" xfId="2913" xr:uid="{00000000-0005-0000-0000-00002F060000}"/>
    <cellStyle name="40% - Accent4 5 2 2" xfId="7135" xr:uid="{00000000-0005-0000-0000-000030060000}"/>
    <cellStyle name="40% - Accent4 5 2 2 2" xfId="15585" xr:uid="{C7AC3727-1E59-4F2F-AE7F-5D2DD7738AB8}"/>
    <cellStyle name="40% - Accent4 5 2 3" xfId="11367" xr:uid="{98AB8A5E-4E82-4411-A845-682CE734FB70}"/>
    <cellStyle name="40% - Accent4 5 3" xfId="4990" xr:uid="{00000000-0005-0000-0000-000031060000}"/>
    <cellStyle name="40% - Accent4 5 3 2" xfId="13440" xr:uid="{C83C819E-5B3F-43A0-A81F-AC08C853C116}"/>
    <cellStyle name="40% - Accent4 5 4" xfId="9222" xr:uid="{C0DA20FF-25F1-41F4-8F9A-90DB8BD8B4A3}"/>
    <cellStyle name="40% - Accent4 6" xfId="1095" xr:uid="{00000000-0005-0000-0000-000032060000}"/>
    <cellStyle name="40% - Accent4 6 2" xfId="3326" xr:uid="{00000000-0005-0000-0000-000033060000}"/>
    <cellStyle name="40% - Accent4 6 2 2" xfId="7548" xr:uid="{00000000-0005-0000-0000-000034060000}"/>
    <cellStyle name="40% - Accent4 6 2 2 2" xfId="15998" xr:uid="{EBD706BC-CD4F-44BA-8A75-EDD0B357036D}"/>
    <cellStyle name="40% - Accent4 6 2 3" xfId="11780" xr:uid="{E94527F1-A3A7-42D6-AB70-D42B1946AF43}"/>
    <cellStyle name="40% - Accent4 6 3" xfId="5403" xr:uid="{00000000-0005-0000-0000-000035060000}"/>
    <cellStyle name="40% - Accent4 6 3 2" xfId="13853" xr:uid="{3F46A95C-07FF-4629-941C-25C38E9FF80D}"/>
    <cellStyle name="40% - Accent4 6 4" xfId="9635" xr:uid="{D51501C6-16C4-4716-96AB-053331A26E8D}"/>
    <cellStyle name="40% - Accent4 7" xfId="1509" xr:uid="{00000000-0005-0000-0000-000036060000}"/>
    <cellStyle name="40% - Accent4 7 2" xfId="3739" xr:uid="{00000000-0005-0000-0000-000037060000}"/>
    <cellStyle name="40% - Accent4 7 2 2" xfId="7961" xr:uid="{00000000-0005-0000-0000-000038060000}"/>
    <cellStyle name="40% - Accent4 7 2 2 2" xfId="16411" xr:uid="{592B5496-D28A-4EE9-B657-FF768FD91AE4}"/>
    <cellStyle name="40% - Accent4 7 2 3" xfId="12193" xr:uid="{7421275B-C9B7-4FEB-A7D7-AE570F266347}"/>
    <cellStyle name="40% - Accent4 7 3" xfId="5816" xr:uid="{00000000-0005-0000-0000-000039060000}"/>
    <cellStyle name="40% - Accent4 7 3 2" xfId="14266" xr:uid="{6FFADC7D-2383-4D70-BBFA-6057B756B8D3}"/>
    <cellStyle name="40% - Accent4 7 4" xfId="10048" xr:uid="{AA400B8F-4ECF-42BA-BDDF-BF6911B8327A}"/>
    <cellStyle name="40% - Accent4 8" xfId="1923" xr:uid="{00000000-0005-0000-0000-00003A060000}"/>
    <cellStyle name="40% - Accent4 8 2" xfId="4152" xr:uid="{00000000-0005-0000-0000-00003B060000}"/>
    <cellStyle name="40% - Accent4 8 2 2" xfId="8374" xr:uid="{00000000-0005-0000-0000-00003C060000}"/>
    <cellStyle name="40% - Accent4 8 2 2 2" xfId="16824" xr:uid="{92F4DD8A-5F1C-4B04-B876-FA0D9D0B99AE}"/>
    <cellStyle name="40% - Accent4 8 2 3" xfId="12606" xr:uid="{45126C68-0080-4ABB-A7D1-00665D3B3171}"/>
    <cellStyle name="40% - Accent4 8 3" xfId="6229" xr:uid="{00000000-0005-0000-0000-00003D060000}"/>
    <cellStyle name="40% - Accent4 8 3 2" xfId="14679" xr:uid="{7FFD52D0-1F30-4FAD-9F35-852AA030529E}"/>
    <cellStyle name="40% - Accent4 8 4" xfId="10461" xr:uid="{62239024-0778-4047-AF95-F1B63931FE25}"/>
    <cellStyle name="40% - Accent4 9" xfId="2336" xr:uid="{00000000-0005-0000-0000-00003E060000}"/>
    <cellStyle name="40% - Accent4 9 2" xfId="6642" xr:uid="{00000000-0005-0000-0000-00003F060000}"/>
    <cellStyle name="40% - Accent4 9 2 2" xfId="15092" xr:uid="{406A5671-73F3-4DB5-8273-8260A298AED2}"/>
    <cellStyle name="40% - Accent4 9 3" xfId="10874" xr:uid="{52E72EFC-8601-4450-A8D8-AFF70E784CFB}"/>
    <cellStyle name="40% - Accent5" xfId="81" builtinId="47" customBuiltin="1"/>
    <cellStyle name="40% - Accent5 10" xfId="4584" xr:uid="{00000000-0005-0000-0000-000041060000}"/>
    <cellStyle name="40% - Accent5 10 2" xfId="13034" xr:uid="{E51F17EE-F998-4A65-9B1E-415C46EE7D54}"/>
    <cellStyle name="40% - Accent5 11" xfId="8816" xr:uid="{F0777A52-8178-4EE3-AADE-CB5F09748B30}"/>
    <cellStyle name="40% - Accent5 2" xfId="82" xr:uid="{00000000-0005-0000-0000-000042060000}"/>
    <cellStyle name="40% - Accent5 2 10" xfId="8817" xr:uid="{8DFA4057-3A8F-4CCC-9CC6-0431B0928D36}"/>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5596" xr:uid="{8DB9CF52-E36C-48E0-A821-267469613C5B}"/>
    <cellStyle name="40% - Accent5 2 2 2 2 2 3" xfId="11378" xr:uid="{D9A4E169-03CC-4600-8B77-E493EBEB8B09}"/>
    <cellStyle name="40% - Accent5 2 2 2 2 3" xfId="5001" xr:uid="{00000000-0005-0000-0000-000048060000}"/>
    <cellStyle name="40% - Accent5 2 2 2 2 3 2" xfId="13451" xr:uid="{4C63B4D2-F2EC-4949-AAEF-3664252143C0}"/>
    <cellStyle name="40% - Accent5 2 2 2 2 4" xfId="9233" xr:uid="{B512B5DF-FCBC-49D3-A7FA-C04AB1471FB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009" xr:uid="{FF4A48A7-3633-4128-9E74-FB4FA7EBB0B0}"/>
    <cellStyle name="40% - Accent5 2 2 2 3 2 3" xfId="11791" xr:uid="{5CFC8AF8-22A0-48A7-BCC7-584B3808B5A8}"/>
    <cellStyle name="40% - Accent5 2 2 2 3 3" xfId="5414" xr:uid="{00000000-0005-0000-0000-00004C060000}"/>
    <cellStyle name="40% - Accent5 2 2 2 3 3 2" xfId="13864" xr:uid="{DCB6D224-AD74-4CE3-8CA2-3757E9EFC394}"/>
    <cellStyle name="40% - Accent5 2 2 2 3 4" xfId="9646" xr:uid="{23CDD54A-C9EA-40AF-AD76-AD321A8D52C3}"/>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6422" xr:uid="{E3F210E8-7B43-4073-944D-4D46292863F1}"/>
    <cellStyle name="40% - Accent5 2 2 2 4 2 3" xfId="12204" xr:uid="{9712166F-2864-4444-B24A-BC335BC4B79F}"/>
    <cellStyle name="40% - Accent5 2 2 2 4 3" xfId="5827" xr:uid="{00000000-0005-0000-0000-000050060000}"/>
    <cellStyle name="40% - Accent5 2 2 2 4 3 2" xfId="14277" xr:uid="{5B5696C4-B55A-4C57-BEBA-E7754D4E049C}"/>
    <cellStyle name="40% - Accent5 2 2 2 4 4" xfId="10059" xr:uid="{7B7031F8-E311-4DB2-8291-79795B4B6B8A}"/>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6835" xr:uid="{23A96027-3085-4E47-BA54-865E54A26B93}"/>
    <cellStyle name="40% - Accent5 2 2 2 5 2 3" xfId="12617" xr:uid="{7069E9F0-5819-4C12-84EF-DA56E7774BE0}"/>
    <cellStyle name="40% - Accent5 2 2 2 5 3" xfId="6240" xr:uid="{00000000-0005-0000-0000-000054060000}"/>
    <cellStyle name="40% - Accent5 2 2 2 5 3 2" xfId="14690" xr:uid="{91583E0F-D97D-481A-B8C5-01E01EFFF069}"/>
    <cellStyle name="40% - Accent5 2 2 2 5 4" xfId="10472" xr:uid="{8B890CD5-DEE5-4C09-9C85-70AF5984C77F}"/>
    <cellStyle name="40% - Accent5 2 2 2 6" xfId="2347" xr:uid="{00000000-0005-0000-0000-000055060000}"/>
    <cellStyle name="40% - Accent5 2 2 2 6 2" xfId="6653" xr:uid="{00000000-0005-0000-0000-000056060000}"/>
    <cellStyle name="40% - Accent5 2 2 2 6 2 2" xfId="15103" xr:uid="{CCC24437-7DF8-4DC2-ADA9-AD3B39CB0C1C}"/>
    <cellStyle name="40% - Accent5 2 2 2 6 3" xfId="10885" xr:uid="{09416E8C-C864-44EB-A194-62A2F9336DC8}"/>
    <cellStyle name="40% - Accent5 2 2 2 7" xfId="4587" xr:uid="{00000000-0005-0000-0000-000057060000}"/>
    <cellStyle name="40% - Accent5 2 2 2 7 2" xfId="13037" xr:uid="{1F118942-5CDA-4DE3-89F6-21E9A7D75205}"/>
    <cellStyle name="40% - Accent5 2 2 2 8" xfId="8819" xr:uid="{940CB975-A1B4-4365-8071-0CD5C760DB4C}"/>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5595" xr:uid="{411D6909-4748-4A45-AE3F-CFF8D16566D0}"/>
    <cellStyle name="40% - Accent5 2 2 3 2 3" xfId="11377" xr:uid="{D8ADA523-277F-44C2-8ED4-D6F5B2B72B6A}"/>
    <cellStyle name="40% - Accent5 2 2 3 3" xfId="5000" xr:uid="{00000000-0005-0000-0000-00005B060000}"/>
    <cellStyle name="40% - Accent5 2 2 3 3 2" xfId="13450" xr:uid="{D831A016-DB69-4A31-856C-2DC848DF628C}"/>
    <cellStyle name="40% - Accent5 2 2 3 4" xfId="9232" xr:uid="{7B70A4BB-346E-473D-89EF-C9AE3B23829D}"/>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008" xr:uid="{8A4F3E3F-3624-4315-BE26-68950BD25493}"/>
    <cellStyle name="40% - Accent5 2 2 4 2 3" xfId="11790" xr:uid="{013E9081-B11E-40CB-B55F-5F4686894668}"/>
    <cellStyle name="40% - Accent5 2 2 4 3" xfId="5413" xr:uid="{00000000-0005-0000-0000-00005F060000}"/>
    <cellStyle name="40% - Accent5 2 2 4 3 2" xfId="13863" xr:uid="{276D082E-E184-4912-9CC8-BF399A538CAD}"/>
    <cellStyle name="40% - Accent5 2 2 4 4" xfId="9645" xr:uid="{76FDEA36-5F37-4971-9350-B28FC0A8C5E8}"/>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6421" xr:uid="{BE5E9B56-CD0F-4494-9915-D27B2FEF6CCE}"/>
    <cellStyle name="40% - Accent5 2 2 5 2 3" xfId="12203" xr:uid="{B22F0D06-6D1B-41C3-889E-8A0380E946E3}"/>
    <cellStyle name="40% - Accent5 2 2 5 3" xfId="5826" xr:uid="{00000000-0005-0000-0000-000063060000}"/>
    <cellStyle name="40% - Accent5 2 2 5 3 2" xfId="14276" xr:uid="{13F4DE3D-97F1-481B-B151-B75A48C0B4E6}"/>
    <cellStyle name="40% - Accent5 2 2 5 4" xfId="10058" xr:uid="{B00B8C8A-9876-456C-ABFD-A29E81C2D6B0}"/>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6834" xr:uid="{CCB0FD02-3D83-4B47-8612-CDABC0383D76}"/>
    <cellStyle name="40% - Accent5 2 2 6 2 3" xfId="12616" xr:uid="{C5D39463-6E84-488C-ADD2-2B2C24E87BBF}"/>
    <cellStyle name="40% - Accent5 2 2 6 3" xfId="6239" xr:uid="{00000000-0005-0000-0000-000067060000}"/>
    <cellStyle name="40% - Accent5 2 2 6 3 2" xfId="14689" xr:uid="{2E7A57FB-5ABB-47BC-84D3-6765068B3C2F}"/>
    <cellStyle name="40% - Accent5 2 2 6 4" xfId="10471" xr:uid="{ED45AAD1-8122-4DA7-9AA0-9A9CC2A4A0B2}"/>
    <cellStyle name="40% - Accent5 2 2 7" xfId="2346" xr:uid="{00000000-0005-0000-0000-000068060000}"/>
    <cellStyle name="40% - Accent5 2 2 7 2" xfId="6652" xr:uid="{00000000-0005-0000-0000-000069060000}"/>
    <cellStyle name="40% - Accent5 2 2 7 2 2" xfId="15102" xr:uid="{A6559F22-604A-435A-A052-28C4DC1E97D2}"/>
    <cellStyle name="40% - Accent5 2 2 7 3" xfId="10884" xr:uid="{858494C6-A7EC-493C-803B-69644BF866A5}"/>
    <cellStyle name="40% - Accent5 2 2 8" xfId="4586" xr:uid="{00000000-0005-0000-0000-00006A060000}"/>
    <cellStyle name="40% - Accent5 2 2 8 2" xfId="13036" xr:uid="{3E104785-583C-4C3B-8695-F14E2C7CC21A}"/>
    <cellStyle name="40% - Accent5 2 2 9" xfId="8818" xr:uid="{C582B604-92C4-4191-927B-2737B2779F6A}"/>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5597" xr:uid="{173E58CD-9F06-41F5-9CA9-6E070F17A824}"/>
    <cellStyle name="40% - Accent5 2 3 2 2 3" xfId="11379" xr:uid="{A6EBF31C-691B-4648-AB6B-BA2E64CE4515}"/>
    <cellStyle name="40% - Accent5 2 3 2 3" xfId="5002" xr:uid="{00000000-0005-0000-0000-00006F060000}"/>
    <cellStyle name="40% - Accent5 2 3 2 3 2" xfId="13452" xr:uid="{85D8A44F-42A1-45A4-ACC9-EB01E0B7F19B}"/>
    <cellStyle name="40% - Accent5 2 3 2 4" xfId="9234" xr:uid="{15C96CE7-C66F-400F-AA4C-DB626DD17638}"/>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010" xr:uid="{736A9246-07B0-49CB-9BC7-9CD2546E1A14}"/>
    <cellStyle name="40% - Accent5 2 3 3 2 3" xfId="11792" xr:uid="{6EBBC810-ACDF-4E7D-83A1-A22004CCC93F}"/>
    <cellStyle name="40% - Accent5 2 3 3 3" xfId="5415" xr:uid="{00000000-0005-0000-0000-000073060000}"/>
    <cellStyle name="40% - Accent5 2 3 3 3 2" xfId="13865" xr:uid="{D2D8153C-9F02-4499-98F1-E7F00626FD17}"/>
    <cellStyle name="40% - Accent5 2 3 3 4" xfId="9647" xr:uid="{9D32EEDA-AF02-4B26-B79E-6F253FDF5170}"/>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6423" xr:uid="{BEC0B709-62B5-476C-B76B-30F1A8624417}"/>
    <cellStyle name="40% - Accent5 2 3 4 2 3" xfId="12205" xr:uid="{817C2703-EF52-4668-A87A-93D24AEEB1C1}"/>
    <cellStyle name="40% - Accent5 2 3 4 3" xfId="5828" xr:uid="{00000000-0005-0000-0000-000077060000}"/>
    <cellStyle name="40% - Accent5 2 3 4 3 2" xfId="14278" xr:uid="{AB69139A-23D3-40B5-9743-3D422DA81EA9}"/>
    <cellStyle name="40% - Accent5 2 3 4 4" xfId="10060" xr:uid="{4583D701-565A-4BA0-BE4E-F9FAEDB7230F}"/>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6836" xr:uid="{66337A1F-DB7C-44E5-BBD0-0910DB8D62DF}"/>
    <cellStyle name="40% - Accent5 2 3 5 2 3" xfId="12618" xr:uid="{46671A8B-8E80-47E2-885D-063103830A00}"/>
    <cellStyle name="40% - Accent5 2 3 5 3" xfId="6241" xr:uid="{00000000-0005-0000-0000-00007B060000}"/>
    <cellStyle name="40% - Accent5 2 3 5 3 2" xfId="14691" xr:uid="{7C378D5F-00E7-4FEE-AEBE-4C3F559C5199}"/>
    <cellStyle name="40% - Accent5 2 3 5 4" xfId="10473" xr:uid="{91F9D2FD-F6C9-4505-B5BD-120D2EFD0513}"/>
    <cellStyle name="40% - Accent5 2 3 6" xfId="2348" xr:uid="{00000000-0005-0000-0000-00007C060000}"/>
    <cellStyle name="40% - Accent5 2 3 6 2" xfId="6654" xr:uid="{00000000-0005-0000-0000-00007D060000}"/>
    <cellStyle name="40% - Accent5 2 3 6 2 2" xfId="15104" xr:uid="{1108CD3B-E4A5-40D2-9CD1-7018D762466E}"/>
    <cellStyle name="40% - Accent5 2 3 6 3" xfId="10886" xr:uid="{80FE28A3-518A-4147-8BE9-5CAB869B6576}"/>
    <cellStyle name="40% - Accent5 2 3 7" xfId="4588" xr:uid="{00000000-0005-0000-0000-00007E060000}"/>
    <cellStyle name="40% - Accent5 2 3 7 2" xfId="13038" xr:uid="{2FA89D36-8241-4CB2-9F46-BFDF3DFACACA}"/>
    <cellStyle name="40% - Accent5 2 3 8" xfId="8820" xr:uid="{F5DBF8FF-561D-4F7F-A72D-C55E744631F2}"/>
    <cellStyle name="40% - Accent5 2 4" xfId="651" xr:uid="{00000000-0005-0000-0000-00007F060000}"/>
    <cellStyle name="40% - Accent5 2 4 2" xfId="2922" xr:uid="{00000000-0005-0000-0000-000080060000}"/>
    <cellStyle name="40% - Accent5 2 4 2 2" xfId="7144" xr:uid="{00000000-0005-0000-0000-000081060000}"/>
    <cellStyle name="40% - Accent5 2 4 2 2 2" xfId="15594" xr:uid="{46ECAF29-FCC4-4C16-8783-ADB4DE5439A1}"/>
    <cellStyle name="40% - Accent5 2 4 2 3" xfId="11376" xr:uid="{BC8BA07E-0FB0-48D2-A61D-24C2BF0FBD74}"/>
    <cellStyle name="40% - Accent5 2 4 3" xfId="4999" xr:uid="{00000000-0005-0000-0000-000082060000}"/>
    <cellStyle name="40% - Accent5 2 4 3 2" xfId="13449" xr:uid="{A4DE51D5-73C3-4891-9294-63761CAF0124}"/>
    <cellStyle name="40% - Accent5 2 4 4" xfId="9231" xr:uid="{64959100-643E-4832-BA36-4DA8BED45327}"/>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007" xr:uid="{7FC724A4-C267-496D-A0FF-86A959369A8D}"/>
    <cellStyle name="40% - Accent5 2 5 2 3" xfId="11789" xr:uid="{E61908AE-96BF-4548-B197-D09A09D4D554}"/>
    <cellStyle name="40% - Accent5 2 5 3" xfId="5412" xr:uid="{00000000-0005-0000-0000-000086060000}"/>
    <cellStyle name="40% - Accent5 2 5 3 2" xfId="13862" xr:uid="{037401C2-1C28-45F2-9B70-4431E3D146FF}"/>
    <cellStyle name="40% - Accent5 2 5 4" xfId="9644" xr:uid="{783C0824-BBA3-4B9E-887D-A1DDD6DDC5E0}"/>
    <cellStyle name="40% - Accent5 2 6" xfId="1518" xr:uid="{00000000-0005-0000-0000-000087060000}"/>
    <cellStyle name="40% - Accent5 2 6 2" xfId="3748" xr:uid="{00000000-0005-0000-0000-000088060000}"/>
    <cellStyle name="40% - Accent5 2 6 2 2" xfId="7970" xr:uid="{00000000-0005-0000-0000-000089060000}"/>
    <cellStyle name="40% - Accent5 2 6 2 2 2" xfId="16420" xr:uid="{7E82E669-7C62-4905-BF39-7B576D1051DD}"/>
    <cellStyle name="40% - Accent5 2 6 2 3" xfId="12202" xr:uid="{C7292264-9629-458A-8C52-7CC8770237C8}"/>
    <cellStyle name="40% - Accent5 2 6 3" xfId="5825" xr:uid="{00000000-0005-0000-0000-00008A060000}"/>
    <cellStyle name="40% - Accent5 2 6 3 2" xfId="14275" xr:uid="{D04CE383-A156-4F7C-90FE-DC501A01197A}"/>
    <cellStyle name="40% - Accent5 2 6 4" xfId="10057" xr:uid="{56A8ED9B-C775-43C0-A6A3-6B6DF3F05BDD}"/>
    <cellStyle name="40% - Accent5 2 7" xfId="1932" xr:uid="{00000000-0005-0000-0000-00008B060000}"/>
    <cellStyle name="40% - Accent5 2 7 2" xfId="4161" xr:uid="{00000000-0005-0000-0000-00008C060000}"/>
    <cellStyle name="40% - Accent5 2 7 2 2" xfId="8383" xr:uid="{00000000-0005-0000-0000-00008D060000}"/>
    <cellStyle name="40% - Accent5 2 7 2 2 2" xfId="16833" xr:uid="{EF070A12-9EF2-4941-A760-89C067AA2800}"/>
    <cellStyle name="40% - Accent5 2 7 2 3" xfId="12615" xr:uid="{7296ABCF-E850-4490-B892-083C65A389C5}"/>
    <cellStyle name="40% - Accent5 2 7 3" xfId="6238" xr:uid="{00000000-0005-0000-0000-00008E060000}"/>
    <cellStyle name="40% - Accent5 2 7 3 2" xfId="14688" xr:uid="{0FA0CF39-61F4-4BC9-A07D-3A3EA7897F65}"/>
    <cellStyle name="40% - Accent5 2 7 4" xfId="10470" xr:uid="{16A4EB1D-DCB5-45DE-8E32-F22A26F3AD9A}"/>
    <cellStyle name="40% - Accent5 2 8" xfId="2345" xr:uid="{00000000-0005-0000-0000-00008F060000}"/>
    <cellStyle name="40% - Accent5 2 8 2" xfId="6651" xr:uid="{00000000-0005-0000-0000-000090060000}"/>
    <cellStyle name="40% - Accent5 2 8 2 2" xfId="15101" xr:uid="{EF630E1A-A621-4F4F-BD3E-853BE500648A}"/>
    <cellStyle name="40% - Accent5 2 8 3" xfId="10883" xr:uid="{11AAD277-A88C-4AB3-9479-532F1DA6210B}"/>
    <cellStyle name="40% - Accent5 2 9" xfId="4585" xr:uid="{00000000-0005-0000-0000-000091060000}"/>
    <cellStyle name="40% - Accent5 2 9 2" xfId="13035" xr:uid="{D2B9B518-4CF7-4AA6-BC30-0ABF20059775}"/>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5599" xr:uid="{DC05C792-1042-430C-8F58-609DEE6B9D0E}"/>
    <cellStyle name="40% - Accent5 3 2 2 2 3" xfId="11381" xr:uid="{E16675A6-5266-4BA6-9C8B-02306D7BAB6E}"/>
    <cellStyle name="40% - Accent5 3 2 2 3" xfId="5004" xr:uid="{00000000-0005-0000-0000-000097060000}"/>
    <cellStyle name="40% - Accent5 3 2 2 3 2" xfId="13454" xr:uid="{0D961971-963E-40DC-B783-62A4289168E3}"/>
    <cellStyle name="40% - Accent5 3 2 2 4" xfId="9236" xr:uid="{2D774BCE-3812-449E-B7B1-50458D9EBDE3}"/>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012" xr:uid="{27CBE782-29E1-4E5E-8232-4C3AEFE4A8BE}"/>
    <cellStyle name="40% - Accent5 3 2 3 2 3" xfId="11794" xr:uid="{6BBD4174-4C55-40B2-9FFE-A060E5521711}"/>
    <cellStyle name="40% - Accent5 3 2 3 3" xfId="5417" xr:uid="{00000000-0005-0000-0000-00009B060000}"/>
    <cellStyle name="40% - Accent5 3 2 3 3 2" xfId="13867" xr:uid="{53E5A33F-3146-4F78-8EF2-E7ABE6B1B550}"/>
    <cellStyle name="40% - Accent5 3 2 3 4" xfId="9649" xr:uid="{E967526E-A7B5-435B-9CA8-2AA0D268DEFD}"/>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6425" xr:uid="{4AFB1252-9BBC-4E06-9A1E-97711B60D134}"/>
    <cellStyle name="40% - Accent5 3 2 4 2 3" xfId="12207" xr:uid="{E1556726-3BEE-422E-9FC8-80EE3A0FC0A5}"/>
    <cellStyle name="40% - Accent5 3 2 4 3" xfId="5830" xr:uid="{00000000-0005-0000-0000-00009F060000}"/>
    <cellStyle name="40% - Accent5 3 2 4 3 2" xfId="14280" xr:uid="{625A620A-AB26-44DD-A05D-2E557615D443}"/>
    <cellStyle name="40% - Accent5 3 2 4 4" xfId="10062" xr:uid="{8BD829F0-DABF-4BBD-B9E4-27B1A58CF602}"/>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6838" xr:uid="{8F4D0441-4137-4DB5-923C-E0CFC9D988C0}"/>
    <cellStyle name="40% - Accent5 3 2 5 2 3" xfId="12620" xr:uid="{48D344E4-3C5C-4F69-8E3E-92E9EDFE1734}"/>
    <cellStyle name="40% - Accent5 3 2 5 3" xfId="6243" xr:uid="{00000000-0005-0000-0000-0000A3060000}"/>
    <cellStyle name="40% - Accent5 3 2 5 3 2" xfId="14693" xr:uid="{D8B6179B-B6E7-4AD0-895E-F5903E6F942B}"/>
    <cellStyle name="40% - Accent5 3 2 5 4" xfId="10475" xr:uid="{E2978AF3-7C41-4F69-A7A5-D80D99E497FD}"/>
    <cellStyle name="40% - Accent5 3 2 6" xfId="2350" xr:uid="{00000000-0005-0000-0000-0000A4060000}"/>
    <cellStyle name="40% - Accent5 3 2 6 2" xfId="6656" xr:uid="{00000000-0005-0000-0000-0000A5060000}"/>
    <cellStyle name="40% - Accent5 3 2 6 2 2" xfId="15106" xr:uid="{2B79C832-99C2-4296-B7B9-656C8CE95F15}"/>
    <cellStyle name="40% - Accent5 3 2 6 3" xfId="10888" xr:uid="{D9F342E5-32EC-440D-9B18-1990035D5EF0}"/>
    <cellStyle name="40% - Accent5 3 2 7" xfId="4590" xr:uid="{00000000-0005-0000-0000-0000A6060000}"/>
    <cellStyle name="40% - Accent5 3 2 7 2" xfId="13040" xr:uid="{7FAD5102-78B6-4EDB-B11F-1C0BD580383B}"/>
    <cellStyle name="40% - Accent5 3 2 8" xfId="8822" xr:uid="{ADD43F51-EA9F-456E-82F1-C9D909C2CCD2}"/>
    <cellStyle name="40% - Accent5 3 3" xfId="655" xr:uid="{00000000-0005-0000-0000-0000A7060000}"/>
    <cellStyle name="40% - Accent5 3 3 2" xfId="2926" xr:uid="{00000000-0005-0000-0000-0000A8060000}"/>
    <cellStyle name="40% - Accent5 3 3 2 2" xfId="7148" xr:uid="{00000000-0005-0000-0000-0000A9060000}"/>
    <cellStyle name="40% - Accent5 3 3 2 2 2" xfId="15598" xr:uid="{017D83FF-C0A3-4814-BE6A-829DEA1AC46E}"/>
    <cellStyle name="40% - Accent5 3 3 2 3" xfId="11380" xr:uid="{6AD5987A-3D99-4FFA-945F-077F2518CB97}"/>
    <cellStyle name="40% - Accent5 3 3 3" xfId="5003" xr:uid="{00000000-0005-0000-0000-0000AA060000}"/>
    <cellStyle name="40% - Accent5 3 3 3 2" xfId="13453" xr:uid="{0E575BBD-C41C-431F-A947-B0A1CF85BC33}"/>
    <cellStyle name="40% - Accent5 3 3 4" xfId="9235" xr:uid="{885C5B0D-CD39-4E47-A226-1BEA52C9824E}"/>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011" xr:uid="{0F981151-B3FB-434E-9079-946455B4E4F5}"/>
    <cellStyle name="40% - Accent5 3 4 2 3" xfId="11793" xr:uid="{BA9F0D11-0069-4FD1-B05C-AE81E64D97C8}"/>
    <cellStyle name="40% - Accent5 3 4 3" xfId="5416" xr:uid="{00000000-0005-0000-0000-0000AE060000}"/>
    <cellStyle name="40% - Accent5 3 4 3 2" xfId="13866" xr:uid="{C139799F-19A2-4434-BEA9-7ED7B1B3B7D8}"/>
    <cellStyle name="40% - Accent5 3 4 4" xfId="9648" xr:uid="{BD5F03E1-C737-4336-BEF5-0A02BBB46D6E}"/>
    <cellStyle name="40% - Accent5 3 5" xfId="1522" xr:uid="{00000000-0005-0000-0000-0000AF060000}"/>
    <cellStyle name="40% - Accent5 3 5 2" xfId="3752" xr:uid="{00000000-0005-0000-0000-0000B0060000}"/>
    <cellStyle name="40% - Accent5 3 5 2 2" xfId="7974" xr:uid="{00000000-0005-0000-0000-0000B1060000}"/>
    <cellStyle name="40% - Accent5 3 5 2 2 2" xfId="16424" xr:uid="{07DA0111-D9E1-4DDC-B60B-BB2181A6195A}"/>
    <cellStyle name="40% - Accent5 3 5 2 3" xfId="12206" xr:uid="{AAE79159-FF35-4932-AE3A-A4A78D438058}"/>
    <cellStyle name="40% - Accent5 3 5 3" xfId="5829" xr:uid="{00000000-0005-0000-0000-0000B2060000}"/>
    <cellStyle name="40% - Accent5 3 5 3 2" xfId="14279" xr:uid="{0D957FB4-BC9B-4EE4-810B-7A1B9BA8B292}"/>
    <cellStyle name="40% - Accent5 3 5 4" xfId="10061" xr:uid="{E729C90F-D4FD-4CB7-93D5-38A54282BC12}"/>
    <cellStyle name="40% - Accent5 3 6" xfId="1936" xr:uid="{00000000-0005-0000-0000-0000B3060000}"/>
    <cellStyle name="40% - Accent5 3 6 2" xfId="4165" xr:uid="{00000000-0005-0000-0000-0000B4060000}"/>
    <cellStyle name="40% - Accent5 3 6 2 2" xfId="8387" xr:uid="{00000000-0005-0000-0000-0000B5060000}"/>
    <cellStyle name="40% - Accent5 3 6 2 2 2" xfId="16837" xr:uid="{AF4920F7-F6F5-4E7A-B799-F1E41C6B5514}"/>
    <cellStyle name="40% - Accent5 3 6 2 3" xfId="12619" xr:uid="{B338F0D5-DEFC-4B82-99AB-05535345E82D}"/>
    <cellStyle name="40% - Accent5 3 6 3" xfId="6242" xr:uid="{00000000-0005-0000-0000-0000B6060000}"/>
    <cellStyle name="40% - Accent5 3 6 3 2" xfId="14692" xr:uid="{4711BCFC-7D45-4ED1-A9ED-7AB3798ABFFD}"/>
    <cellStyle name="40% - Accent5 3 6 4" xfId="10474" xr:uid="{5BF422C0-7366-4EE4-B641-89563B03CEDD}"/>
    <cellStyle name="40% - Accent5 3 7" xfId="2349" xr:uid="{00000000-0005-0000-0000-0000B7060000}"/>
    <cellStyle name="40% - Accent5 3 7 2" xfId="6655" xr:uid="{00000000-0005-0000-0000-0000B8060000}"/>
    <cellStyle name="40% - Accent5 3 7 2 2" xfId="15105" xr:uid="{0AC8C451-8307-4877-AFA5-DA9464FCF2E1}"/>
    <cellStyle name="40% - Accent5 3 7 3" xfId="10887" xr:uid="{4AE9EF4D-1781-4AB7-ACF4-196D3300DB36}"/>
    <cellStyle name="40% - Accent5 3 8" xfId="4589" xr:uid="{00000000-0005-0000-0000-0000B9060000}"/>
    <cellStyle name="40% - Accent5 3 8 2" xfId="13039" xr:uid="{4EA0D70F-FA83-4F51-ACCC-5193B21B0363}"/>
    <cellStyle name="40% - Accent5 3 9" xfId="8821" xr:uid="{FA047117-5888-4A16-9A32-16D379A8433A}"/>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5600" xr:uid="{0745339C-D91D-466A-A638-FC66AC9E1ED0}"/>
    <cellStyle name="40% - Accent5 4 2 2 3" xfId="11382" xr:uid="{5F0F4F78-BC31-43B4-BD36-E4A0D2048BA8}"/>
    <cellStyle name="40% - Accent5 4 2 3" xfId="5005" xr:uid="{00000000-0005-0000-0000-0000BE060000}"/>
    <cellStyle name="40% - Accent5 4 2 3 2" xfId="13455" xr:uid="{3400D267-B48C-46AD-8AAF-FAE4F5A2C964}"/>
    <cellStyle name="40% - Accent5 4 2 4" xfId="9237" xr:uid="{207AF3D3-594B-49B1-AD00-F0860C5ECDFF}"/>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013" xr:uid="{20233CC7-6239-42AC-A7A3-562A1457C8D7}"/>
    <cellStyle name="40% - Accent5 4 3 2 3" xfId="11795" xr:uid="{F948A8AD-BD4C-4917-A5C3-F7B79A73B0E3}"/>
    <cellStyle name="40% - Accent5 4 3 3" xfId="5418" xr:uid="{00000000-0005-0000-0000-0000C2060000}"/>
    <cellStyle name="40% - Accent5 4 3 3 2" xfId="13868" xr:uid="{748E451F-209C-4A97-8000-4BF1521A618C}"/>
    <cellStyle name="40% - Accent5 4 3 4" xfId="9650" xr:uid="{09498AA5-6A52-4BC9-9060-C56C5FA6BB88}"/>
    <cellStyle name="40% - Accent5 4 4" xfId="1524" xr:uid="{00000000-0005-0000-0000-0000C3060000}"/>
    <cellStyle name="40% - Accent5 4 4 2" xfId="3754" xr:uid="{00000000-0005-0000-0000-0000C4060000}"/>
    <cellStyle name="40% - Accent5 4 4 2 2" xfId="7976" xr:uid="{00000000-0005-0000-0000-0000C5060000}"/>
    <cellStyle name="40% - Accent5 4 4 2 2 2" xfId="16426" xr:uid="{31858D09-1E28-4291-B529-B68A2976DE34}"/>
    <cellStyle name="40% - Accent5 4 4 2 3" xfId="12208" xr:uid="{531D9F44-223D-4150-BBE1-3ECE113AF316}"/>
    <cellStyle name="40% - Accent5 4 4 3" xfId="5831" xr:uid="{00000000-0005-0000-0000-0000C6060000}"/>
    <cellStyle name="40% - Accent5 4 4 3 2" xfId="14281" xr:uid="{748B3573-5D59-45E3-B838-2741F66D2E33}"/>
    <cellStyle name="40% - Accent5 4 4 4" xfId="10063" xr:uid="{34825473-6A93-4512-A29B-1E33E0D82658}"/>
    <cellStyle name="40% - Accent5 4 5" xfId="1938" xr:uid="{00000000-0005-0000-0000-0000C7060000}"/>
    <cellStyle name="40% - Accent5 4 5 2" xfId="4167" xr:uid="{00000000-0005-0000-0000-0000C8060000}"/>
    <cellStyle name="40% - Accent5 4 5 2 2" xfId="8389" xr:uid="{00000000-0005-0000-0000-0000C9060000}"/>
    <cellStyle name="40% - Accent5 4 5 2 2 2" xfId="16839" xr:uid="{5EB76DF6-980F-4E61-8ACE-2E9AA3FEADED}"/>
    <cellStyle name="40% - Accent5 4 5 2 3" xfId="12621" xr:uid="{26AFC577-AB46-4AD6-9581-CB95087A0D4C}"/>
    <cellStyle name="40% - Accent5 4 5 3" xfId="6244" xr:uid="{00000000-0005-0000-0000-0000CA060000}"/>
    <cellStyle name="40% - Accent5 4 5 3 2" xfId="14694" xr:uid="{5A41BA9D-4956-4727-B6F7-582151BDE43A}"/>
    <cellStyle name="40% - Accent5 4 5 4" xfId="10476" xr:uid="{99AAA52A-0A26-4CCA-8525-714D9FE367C8}"/>
    <cellStyle name="40% - Accent5 4 6" xfId="2351" xr:uid="{00000000-0005-0000-0000-0000CB060000}"/>
    <cellStyle name="40% - Accent5 4 6 2" xfId="6657" xr:uid="{00000000-0005-0000-0000-0000CC060000}"/>
    <cellStyle name="40% - Accent5 4 6 2 2" xfId="15107" xr:uid="{2752A0C2-27EC-40DC-97F1-D80561BB5B6B}"/>
    <cellStyle name="40% - Accent5 4 6 3" xfId="10889" xr:uid="{8625DD15-EF14-46E8-BFD5-74B8BB0D79DB}"/>
    <cellStyle name="40% - Accent5 4 7" xfId="4591" xr:uid="{00000000-0005-0000-0000-0000CD060000}"/>
    <cellStyle name="40% - Accent5 4 7 2" xfId="13041" xr:uid="{EE2DA823-43C2-40BC-8F85-AE32C36920C8}"/>
    <cellStyle name="40% - Accent5 4 8" xfId="8823" xr:uid="{004B0234-AB4F-4F92-A0C1-A71CD8C0D856}"/>
    <cellStyle name="40% - Accent5 5" xfId="650" xr:uid="{00000000-0005-0000-0000-0000CE060000}"/>
    <cellStyle name="40% - Accent5 5 2" xfId="2921" xr:uid="{00000000-0005-0000-0000-0000CF060000}"/>
    <cellStyle name="40% - Accent5 5 2 2" xfId="7143" xr:uid="{00000000-0005-0000-0000-0000D0060000}"/>
    <cellStyle name="40% - Accent5 5 2 2 2" xfId="15593" xr:uid="{EEF2AB2A-F0B2-4A05-BE77-67DE92AC57FB}"/>
    <cellStyle name="40% - Accent5 5 2 3" xfId="11375" xr:uid="{CC47D904-A65D-496E-9392-5BD4D5426A37}"/>
    <cellStyle name="40% - Accent5 5 3" xfId="4998" xr:uid="{00000000-0005-0000-0000-0000D1060000}"/>
    <cellStyle name="40% - Accent5 5 3 2" xfId="13448" xr:uid="{683641DC-348F-456B-9FDB-58E4D831D4F8}"/>
    <cellStyle name="40% - Accent5 5 4" xfId="9230" xr:uid="{DAFB7867-FB51-4AA0-8462-C7370DE7A16B}"/>
    <cellStyle name="40% - Accent5 6" xfId="1103" xr:uid="{00000000-0005-0000-0000-0000D2060000}"/>
    <cellStyle name="40% - Accent5 6 2" xfId="3334" xr:uid="{00000000-0005-0000-0000-0000D3060000}"/>
    <cellStyle name="40% - Accent5 6 2 2" xfId="7556" xr:uid="{00000000-0005-0000-0000-0000D4060000}"/>
    <cellStyle name="40% - Accent5 6 2 2 2" xfId="16006" xr:uid="{E4C00870-C440-43E0-A074-0F0F4584FB93}"/>
    <cellStyle name="40% - Accent5 6 2 3" xfId="11788" xr:uid="{F317E025-887E-4085-878B-6FA712F121A3}"/>
    <cellStyle name="40% - Accent5 6 3" xfId="5411" xr:uid="{00000000-0005-0000-0000-0000D5060000}"/>
    <cellStyle name="40% - Accent5 6 3 2" xfId="13861" xr:uid="{901AD8E2-86ED-4662-A955-E0F366B42872}"/>
    <cellStyle name="40% - Accent5 6 4" xfId="9643" xr:uid="{61A02D85-7E33-4E7C-B5DD-AF9EF1A1C26A}"/>
    <cellStyle name="40% - Accent5 7" xfId="1517" xr:uid="{00000000-0005-0000-0000-0000D6060000}"/>
    <cellStyle name="40% - Accent5 7 2" xfId="3747" xr:uid="{00000000-0005-0000-0000-0000D7060000}"/>
    <cellStyle name="40% - Accent5 7 2 2" xfId="7969" xr:uid="{00000000-0005-0000-0000-0000D8060000}"/>
    <cellStyle name="40% - Accent5 7 2 2 2" xfId="16419" xr:uid="{A776DCB3-0D51-47B3-9E84-FC5DAF9FA769}"/>
    <cellStyle name="40% - Accent5 7 2 3" xfId="12201" xr:uid="{DAE12E08-084A-4DA5-8D0C-19D39324A25C}"/>
    <cellStyle name="40% - Accent5 7 3" xfId="5824" xr:uid="{00000000-0005-0000-0000-0000D9060000}"/>
    <cellStyle name="40% - Accent5 7 3 2" xfId="14274" xr:uid="{9B94DF78-B60E-4235-8244-0442CD4B91B3}"/>
    <cellStyle name="40% - Accent5 7 4" xfId="10056" xr:uid="{E819D485-7845-4E19-88C7-E3347CE0BC00}"/>
    <cellStyle name="40% - Accent5 8" xfId="1931" xr:uid="{00000000-0005-0000-0000-0000DA060000}"/>
    <cellStyle name="40% - Accent5 8 2" xfId="4160" xr:uid="{00000000-0005-0000-0000-0000DB060000}"/>
    <cellStyle name="40% - Accent5 8 2 2" xfId="8382" xr:uid="{00000000-0005-0000-0000-0000DC060000}"/>
    <cellStyle name="40% - Accent5 8 2 2 2" xfId="16832" xr:uid="{21E2B66C-AA3F-4804-9B9A-E03F09D90684}"/>
    <cellStyle name="40% - Accent5 8 2 3" xfId="12614" xr:uid="{BF26A6D6-83E6-4857-B37C-D9FB0D712CE2}"/>
    <cellStyle name="40% - Accent5 8 3" xfId="6237" xr:uid="{00000000-0005-0000-0000-0000DD060000}"/>
    <cellStyle name="40% - Accent5 8 3 2" xfId="14687" xr:uid="{C81AD7CA-A218-455B-A8DE-C92BA09BD481}"/>
    <cellStyle name="40% - Accent5 8 4" xfId="10469" xr:uid="{54596995-D192-4457-ACFE-CC2BBC81B328}"/>
    <cellStyle name="40% - Accent5 9" xfId="2344" xr:uid="{00000000-0005-0000-0000-0000DE060000}"/>
    <cellStyle name="40% - Accent5 9 2" xfId="6650" xr:uid="{00000000-0005-0000-0000-0000DF060000}"/>
    <cellStyle name="40% - Accent5 9 2 2" xfId="15100" xr:uid="{F65DF92B-D90E-4D01-BF22-B8F2926F3B2B}"/>
    <cellStyle name="40% - Accent5 9 3" xfId="10882" xr:uid="{F001B9A9-33BD-40C6-A0DC-5A1AE00EA308}"/>
    <cellStyle name="40% - Accent6" xfId="89" builtinId="51" customBuiltin="1"/>
    <cellStyle name="40% - Accent6 10" xfId="4592" xr:uid="{00000000-0005-0000-0000-0000E1060000}"/>
    <cellStyle name="40% - Accent6 10 2" xfId="13042" xr:uid="{C7FA9BD3-044B-4CBF-8B15-C19091FC711D}"/>
    <cellStyle name="40% - Accent6 11" xfId="8824" xr:uid="{63AA9E5C-DC99-4790-89CF-1429AAA43EB6}"/>
    <cellStyle name="40% - Accent6 2" xfId="90" xr:uid="{00000000-0005-0000-0000-0000E2060000}"/>
    <cellStyle name="40% - Accent6 2 10" xfId="8825" xr:uid="{E6564560-282A-4AF2-AD5C-E88BAFD05FC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5604" xr:uid="{3A927891-28DC-4EA5-AC45-63648765461B}"/>
    <cellStyle name="40% - Accent6 2 2 2 2 2 3" xfId="11386" xr:uid="{112E519D-B9A8-42F2-A8AE-4E247F9D4824}"/>
    <cellStyle name="40% - Accent6 2 2 2 2 3" xfId="5009" xr:uid="{00000000-0005-0000-0000-0000E8060000}"/>
    <cellStyle name="40% - Accent6 2 2 2 2 3 2" xfId="13459" xr:uid="{8F1D56D6-1DFF-47A9-93ED-960D2C9DD0CA}"/>
    <cellStyle name="40% - Accent6 2 2 2 2 4" xfId="9241" xr:uid="{5589DEBB-A494-423D-84D0-2E2DB2783688}"/>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017" xr:uid="{DA6F02F1-C761-49D5-AB64-7341C962E907}"/>
    <cellStyle name="40% - Accent6 2 2 2 3 2 3" xfId="11799" xr:uid="{076272EA-90E6-45EC-B652-484E5E69267B}"/>
    <cellStyle name="40% - Accent6 2 2 2 3 3" xfId="5422" xr:uid="{00000000-0005-0000-0000-0000EC060000}"/>
    <cellStyle name="40% - Accent6 2 2 2 3 3 2" xfId="13872" xr:uid="{BC78E7DA-EED6-49A2-BD74-D98241FC58EC}"/>
    <cellStyle name="40% - Accent6 2 2 2 3 4" xfId="9654" xr:uid="{738F030C-06DC-4C06-96DB-AC963F277113}"/>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6430" xr:uid="{AF42D76B-7679-4A72-ABF0-18405E76012B}"/>
    <cellStyle name="40% - Accent6 2 2 2 4 2 3" xfId="12212" xr:uid="{2CC20057-26B6-4CF5-938D-BB9F1CBBF010}"/>
    <cellStyle name="40% - Accent6 2 2 2 4 3" xfId="5835" xr:uid="{00000000-0005-0000-0000-0000F0060000}"/>
    <cellStyle name="40% - Accent6 2 2 2 4 3 2" xfId="14285" xr:uid="{01076634-1338-4D72-9E17-4F905FE4B251}"/>
    <cellStyle name="40% - Accent6 2 2 2 4 4" xfId="10067" xr:uid="{6436CD5E-7AEA-48D7-8D02-53A698D70D65}"/>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6843" xr:uid="{D056AC84-5B98-493C-8E48-6ADF0523D1F1}"/>
    <cellStyle name="40% - Accent6 2 2 2 5 2 3" xfId="12625" xr:uid="{BBCD58A7-C30A-4E1A-84AB-6D12DF677D7C}"/>
    <cellStyle name="40% - Accent6 2 2 2 5 3" xfId="6248" xr:uid="{00000000-0005-0000-0000-0000F4060000}"/>
    <cellStyle name="40% - Accent6 2 2 2 5 3 2" xfId="14698" xr:uid="{CCD13BA5-4055-4010-B258-72D48445B3F5}"/>
    <cellStyle name="40% - Accent6 2 2 2 5 4" xfId="10480" xr:uid="{D8583950-5C00-4A0F-898F-616287AD0203}"/>
    <cellStyle name="40% - Accent6 2 2 2 6" xfId="2355" xr:uid="{00000000-0005-0000-0000-0000F5060000}"/>
    <cellStyle name="40% - Accent6 2 2 2 6 2" xfId="6661" xr:uid="{00000000-0005-0000-0000-0000F6060000}"/>
    <cellStyle name="40% - Accent6 2 2 2 6 2 2" xfId="15111" xr:uid="{6081BA1A-AC25-40DC-A497-204212C97E1C}"/>
    <cellStyle name="40% - Accent6 2 2 2 6 3" xfId="10893" xr:uid="{9461EE62-A021-42BD-8BED-0977BACBCCDD}"/>
    <cellStyle name="40% - Accent6 2 2 2 7" xfId="4595" xr:uid="{00000000-0005-0000-0000-0000F7060000}"/>
    <cellStyle name="40% - Accent6 2 2 2 7 2" xfId="13045" xr:uid="{82848F72-9864-4EE0-BD78-EE3A0E1D12D4}"/>
    <cellStyle name="40% - Accent6 2 2 2 8" xfId="8827" xr:uid="{0039FD72-6F11-4248-83A9-D543E910D7DF}"/>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5603" xr:uid="{BE40CE57-96D9-47CB-A516-BD9972F0F9F3}"/>
    <cellStyle name="40% - Accent6 2 2 3 2 3" xfId="11385" xr:uid="{1E55356C-E493-40B7-BEAA-68CC1AB6A7B4}"/>
    <cellStyle name="40% - Accent6 2 2 3 3" xfId="5008" xr:uid="{00000000-0005-0000-0000-0000FB060000}"/>
    <cellStyle name="40% - Accent6 2 2 3 3 2" xfId="13458" xr:uid="{3647A15D-B019-468E-A5C4-2D601584622E}"/>
    <cellStyle name="40% - Accent6 2 2 3 4" xfId="9240" xr:uid="{E96A148E-97A2-4DD6-B0A7-70DFD947726B}"/>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016" xr:uid="{3556E1FE-03AC-452D-8946-13B17C9B16CC}"/>
    <cellStyle name="40% - Accent6 2 2 4 2 3" xfId="11798" xr:uid="{1E5E8351-18CC-456E-AB34-37DEFFB3AA87}"/>
    <cellStyle name="40% - Accent6 2 2 4 3" xfId="5421" xr:uid="{00000000-0005-0000-0000-0000FF060000}"/>
    <cellStyle name="40% - Accent6 2 2 4 3 2" xfId="13871" xr:uid="{EBA90436-BED6-437B-96C2-4F646AE18D9F}"/>
    <cellStyle name="40% - Accent6 2 2 4 4" xfId="9653" xr:uid="{9BFF37FC-4EF0-4287-A868-4986C47CBBC6}"/>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6429" xr:uid="{6F1F0DBB-8A49-40E3-8B6A-71A538C54FEA}"/>
    <cellStyle name="40% - Accent6 2 2 5 2 3" xfId="12211" xr:uid="{73648BBA-3933-42B7-8B0A-7EBBE2ADE700}"/>
    <cellStyle name="40% - Accent6 2 2 5 3" xfId="5834" xr:uid="{00000000-0005-0000-0000-000003070000}"/>
    <cellStyle name="40% - Accent6 2 2 5 3 2" xfId="14284" xr:uid="{786CC19E-F18E-421F-8C4C-4166B36DC9C7}"/>
    <cellStyle name="40% - Accent6 2 2 5 4" xfId="10066" xr:uid="{0BDD2217-FF0E-4A98-AF2D-6F1E24D27A16}"/>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6842" xr:uid="{233482E8-2F00-4140-9490-32FC42A1F260}"/>
    <cellStyle name="40% - Accent6 2 2 6 2 3" xfId="12624" xr:uid="{CE4E5B98-145E-464A-B20A-A06F7FAA89F9}"/>
    <cellStyle name="40% - Accent6 2 2 6 3" xfId="6247" xr:uid="{00000000-0005-0000-0000-000007070000}"/>
    <cellStyle name="40% - Accent6 2 2 6 3 2" xfId="14697" xr:uid="{6A5392D3-9E9C-4DF5-B193-D6B17501F4FD}"/>
    <cellStyle name="40% - Accent6 2 2 6 4" xfId="10479" xr:uid="{3A48A2F5-4B29-4B71-942C-99B3453A1505}"/>
    <cellStyle name="40% - Accent6 2 2 7" xfId="2354" xr:uid="{00000000-0005-0000-0000-000008070000}"/>
    <cellStyle name="40% - Accent6 2 2 7 2" xfId="6660" xr:uid="{00000000-0005-0000-0000-000009070000}"/>
    <cellStyle name="40% - Accent6 2 2 7 2 2" xfId="15110" xr:uid="{2827251A-087E-42C7-BDE1-2EEE16476423}"/>
    <cellStyle name="40% - Accent6 2 2 7 3" xfId="10892" xr:uid="{F8EB3207-FDBB-41D5-8FD3-EC7B5EE08875}"/>
    <cellStyle name="40% - Accent6 2 2 8" xfId="4594" xr:uid="{00000000-0005-0000-0000-00000A070000}"/>
    <cellStyle name="40% - Accent6 2 2 8 2" xfId="13044" xr:uid="{A9ED61DA-8E49-431A-9679-DC7992CF6613}"/>
    <cellStyle name="40% - Accent6 2 2 9" xfId="8826" xr:uid="{5765FD7E-22CC-4EAB-9093-2461EDB091E7}"/>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5605" xr:uid="{679B5AC0-19EB-4537-A038-563BA166FAA5}"/>
    <cellStyle name="40% - Accent6 2 3 2 2 3" xfId="11387" xr:uid="{45A0C0BA-1C84-4539-93FF-773C6B14D760}"/>
    <cellStyle name="40% - Accent6 2 3 2 3" xfId="5010" xr:uid="{00000000-0005-0000-0000-00000F070000}"/>
    <cellStyle name="40% - Accent6 2 3 2 3 2" xfId="13460" xr:uid="{43D29132-97A3-4716-B205-F04FDA3489D4}"/>
    <cellStyle name="40% - Accent6 2 3 2 4" xfId="9242" xr:uid="{CC0101B1-FD1F-4210-82A6-937F78F42E1E}"/>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018" xr:uid="{91156088-6C94-4F6C-9F0A-29E3646FAFC9}"/>
    <cellStyle name="40% - Accent6 2 3 3 2 3" xfId="11800" xr:uid="{1888E114-CB6F-4033-917B-85A1B6AD744F}"/>
    <cellStyle name="40% - Accent6 2 3 3 3" xfId="5423" xr:uid="{00000000-0005-0000-0000-000013070000}"/>
    <cellStyle name="40% - Accent6 2 3 3 3 2" xfId="13873" xr:uid="{0B939976-A56C-4C0E-A8D4-9F144487F141}"/>
    <cellStyle name="40% - Accent6 2 3 3 4" xfId="9655" xr:uid="{08E544E0-27DC-4EB8-8353-DEF18462ABFE}"/>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6431" xr:uid="{0FC3C423-11C4-44E1-A52F-EC1862C5FCB4}"/>
    <cellStyle name="40% - Accent6 2 3 4 2 3" xfId="12213" xr:uid="{452F2E17-DD51-4EA1-8FC6-63FB6EF83270}"/>
    <cellStyle name="40% - Accent6 2 3 4 3" xfId="5836" xr:uid="{00000000-0005-0000-0000-000017070000}"/>
    <cellStyle name="40% - Accent6 2 3 4 3 2" xfId="14286" xr:uid="{FD10717F-F5A9-4011-BB32-2414CD013EE4}"/>
    <cellStyle name="40% - Accent6 2 3 4 4" xfId="10068" xr:uid="{AAD3D249-FF34-43C0-9DF8-4F8E1231D3F6}"/>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6844" xr:uid="{B0F0007E-A291-42AA-B121-7D1E81849A5D}"/>
    <cellStyle name="40% - Accent6 2 3 5 2 3" xfId="12626" xr:uid="{67B0B5A1-30CE-400C-BF4E-DC8580521689}"/>
    <cellStyle name="40% - Accent6 2 3 5 3" xfId="6249" xr:uid="{00000000-0005-0000-0000-00001B070000}"/>
    <cellStyle name="40% - Accent6 2 3 5 3 2" xfId="14699" xr:uid="{486C9955-38FA-449A-B229-DFDCE6160501}"/>
    <cellStyle name="40% - Accent6 2 3 5 4" xfId="10481" xr:uid="{C83B3CEE-031B-43AC-86D5-412842CA52BB}"/>
    <cellStyle name="40% - Accent6 2 3 6" xfId="2356" xr:uid="{00000000-0005-0000-0000-00001C070000}"/>
    <cellStyle name="40% - Accent6 2 3 6 2" xfId="6662" xr:uid="{00000000-0005-0000-0000-00001D070000}"/>
    <cellStyle name="40% - Accent6 2 3 6 2 2" xfId="15112" xr:uid="{F7FB548F-05A5-4D25-8809-CFFB701789D8}"/>
    <cellStyle name="40% - Accent6 2 3 6 3" xfId="10894" xr:uid="{6C8B8C28-FEE9-4B5B-BA6D-E35C0D655440}"/>
    <cellStyle name="40% - Accent6 2 3 7" xfId="4596" xr:uid="{00000000-0005-0000-0000-00001E070000}"/>
    <cellStyle name="40% - Accent6 2 3 7 2" xfId="13046" xr:uid="{5ACF8FDD-E9C5-49F4-9FE5-E26C8A47F655}"/>
    <cellStyle name="40% - Accent6 2 3 8" xfId="8828" xr:uid="{0E26BC5E-4EE7-4675-AB15-C4B31BEBBB93}"/>
    <cellStyle name="40% - Accent6 2 4" xfId="659" xr:uid="{00000000-0005-0000-0000-00001F070000}"/>
    <cellStyle name="40% - Accent6 2 4 2" xfId="2930" xr:uid="{00000000-0005-0000-0000-000020070000}"/>
    <cellStyle name="40% - Accent6 2 4 2 2" xfId="7152" xr:uid="{00000000-0005-0000-0000-000021070000}"/>
    <cellStyle name="40% - Accent6 2 4 2 2 2" xfId="15602" xr:uid="{E0A3A8BA-8B94-451C-A122-58BFCC4F41A4}"/>
    <cellStyle name="40% - Accent6 2 4 2 3" xfId="11384" xr:uid="{19B20E5D-8794-425C-870D-0E75D79BAA06}"/>
    <cellStyle name="40% - Accent6 2 4 3" xfId="5007" xr:uid="{00000000-0005-0000-0000-000022070000}"/>
    <cellStyle name="40% - Accent6 2 4 3 2" xfId="13457" xr:uid="{13756D3C-961C-47DB-867C-7CB2E66C62C9}"/>
    <cellStyle name="40% - Accent6 2 4 4" xfId="9239" xr:uid="{F9CFA391-CF80-4AEA-8FCD-D6E44CB421A5}"/>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015" xr:uid="{50EF5854-D415-4A61-B8C2-D8388F1B51B2}"/>
    <cellStyle name="40% - Accent6 2 5 2 3" xfId="11797" xr:uid="{F1B3C158-8032-4E98-9323-8E52826D2F32}"/>
    <cellStyle name="40% - Accent6 2 5 3" xfId="5420" xr:uid="{00000000-0005-0000-0000-000026070000}"/>
    <cellStyle name="40% - Accent6 2 5 3 2" xfId="13870" xr:uid="{CA6CB2B1-D7A3-4412-BD1E-C04DDEF8128C}"/>
    <cellStyle name="40% - Accent6 2 5 4" xfId="9652" xr:uid="{476C756C-CB9D-4E49-8E8C-783BCAAF519C}"/>
    <cellStyle name="40% - Accent6 2 6" xfId="1526" xr:uid="{00000000-0005-0000-0000-000027070000}"/>
    <cellStyle name="40% - Accent6 2 6 2" xfId="3756" xr:uid="{00000000-0005-0000-0000-000028070000}"/>
    <cellStyle name="40% - Accent6 2 6 2 2" xfId="7978" xr:uid="{00000000-0005-0000-0000-000029070000}"/>
    <cellStyle name="40% - Accent6 2 6 2 2 2" xfId="16428" xr:uid="{272B28D3-1539-44A7-A853-91FA24CDA09D}"/>
    <cellStyle name="40% - Accent6 2 6 2 3" xfId="12210" xr:uid="{283A15B6-3743-41F4-B535-15A1E36C531E}"/>
    <cellStyle name="40% - Accent6 2 6 3" xfId="5833" xr:uid="{00000000-0005-0000-0000-00002A070000}"/>
    <cellStyle name="40% - Accent6 2 6 3 2" xfId="14283" xr:uid="{78A3965B-ED47-4D2C-A818-9B143EAE17A8}"/>
    <cellStyle name="40% - Accent6 2 6 4" xfId="10065" xr:uid="{0F3CF386-6580-4635-8388-243B40F51642}"/>
    <cellStyle name="40% - Accent6 2 7" xfId="1940" xr:uid="{00000000-0005-0000-0000-00002B070000}"/>
    <cellStyle name="40% - Accent6 2 7 2" xfId="4169" xr:uid="{00000000-0005-0000-0000-00002C070000}"/>
    <cellStyle name="40% - Accent6 2 7 2 2" xfId="8391" xr:uid="{00000000-0005-0000-0000-00002D070000}"/>
    <cellStyle name="40% - Accent6 2 7 2 2 2" xfId="16841" xr:uid="{06E54D7B-1A50-4FE0-AAE9-8163071DD9AC}"/>
    <cellStyle name="40% - Accent6 2 7 2 3" xfId="12623" xr:uid="{91FAA866-4A9C-4BCD-A46B-17CB93E9355D}"/>
    <cellStyle name="40% - Accent6 2 7 3" xfId="6246" xr:uid="{00000000-0005-0000-0000-00002E070000}"/>
    <cellStyle name="40% - Accent6 2 7 3 2" xfId="14696" xr:uid="{5290C1E4-7C7B-44B6-AB62-1C1ADE891040}"/>
    <cellStyle name="40% - Accent6 2 7 4" xfId="10478" xr:uid="{7B55CF14-92E8-4465-97A3-DF82C2D3576C}"/>
    <cellStyle name="40% - Accent6 2 8" xfId="2353" xr:uid="{00000000-0005-0000-0000-00002F070000}"/>
    <cellStyle name="40% - Accent6 2 8 2" xfId="6659" xr:uid="{00000000-0005-0000-0000-000030070000}"/>
    <cellStyle name="40% - Accent6 2 8 2 2" xfId="15109" xr:uid="{D6D1BE4E-7E68-45EB-8F82-4A500622C9EE}"/>
    <cellStyle name="40% - Accent6 2 8 3" xfId="10891" xr:uid="{318ED96B-2A0C-45AE-9CDC-54C50D999129}"/>
    <cellStyle name="40% - Accent6 2 9" xfId="4593" xr:uid="{00000000-0005-0000-0000-000031070000}"/>
    <cellStyle name="40% - Accent6 2 9 2" xfId="13043" xr:uid="{192EDEA7-202C-49C0-94AD-90CADABD459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5607" xr:uid="{A73F4F8A-092E-43C3-996E-C00581711EC2}"/>
    <cellStyle name="40% - Accent6 3 2 2 2 3" xfId="11389" xr:uid="{DF0C67EF-5DB4-4DA1-9872-BC373DCCA8B5}"/>
    <cellStyle name="40% - Accent6 3 2 2 3" xfId="5012" xr:uid="{00000000-0005-0000-0000-000037070000}"/>
    <cellStyle name="40% - Accent6 3 2 2 3 2" xfId="13462" xr:uid="{DF6C8CA4-C9DB-45CD-ABDD-FC5B0ADF0523}"/>
    <cellStyle name="40% - Accent6 3 2 2 4" xfId="9244" xr:uid="{66C3ACF2-E88B-49C9-88BD-CA530C4A94D1}"/>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020" xr:uid="{D1457717-B111-4283-92A9-69B08EACB2A9}"/>
    <cellStyle name="40% - Accent6 3 2 3 2 3" xfId="11802" xr:uid="{DECEC5E8-4647-4357-9346-F4A68D315169}"/>
    <cellStyle name="40% - Accent6 3 2 3 3" xfId="5425" xr:uid="{00000000-0005-0000-0000-00003B070000}"/>
    <cellStyle name="40% - Accent6 3 2 3 3 2" xfId="13875" xr:uid="{C0122F27-A647-4626-984F-467919B4385D}"/>
    <cellStyle name="40% - Accent6 3 2 3 4" xfId="9657" xr:uid="{CD474ED3-5257-4924-BED3-88423958FE2A}"/>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6433" xr:uid="{DA694E81-78E2-4968-B38E-A38524EF8308}"/>
    <cellStyle name="40% - Accent6 3 2 4 2 3" xfId="12215" xr:uid="{1A4528B2-B0B1-4AB6-88AA-ACB5B25100F9}"/>
    <cellStyle name="40% - Accent6 3 2 4 3" xfId="5838" xr:uid="{00000000-0005-0000-0000-00003F070000}"/>
    <cellStyle name="40% - Accent6 3 2 4 3 2" xfId="14288" xr:uid="{7B389952-E020-4B2B-9D83-6D872E33A15D}"/>
    <cellStyle name="40% - Accent6 3 2 4 4" xfId="10070" xr:uid="{D6DCE5A9-13B3-48EB-81F4-CD394D39603C}"/>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6846" xr:uid="{F3935F82-9164-4444-9EE6-854A0A9B22CB}"/>
    <cellStyle name="40% - Accent6 3 2 5 2 3" xfId="12628" xr:uid="{C69C575B-F1F7-43A6-85D7-047FDAC69714}"/>
    <cellStyle name="40% - Accent6 3 2 5 3" xfId="6251" xr:uid="{00000000-0005-0000-0000-000043070000}"/>
    <cellStyle name="40% - Accent6 3 2 5 3 2" xfId="14701" xr:uid="{B94FADB6-7EFB-4CB6-B8CB-3DFA34EDC7F4}"/>
    <cellStyle name="40% - Accent6 3 2 5 4" xfId="10483" xr:uid="{3AEB21BE-07FA-457B-BF1A-2FC0086C06FC}"/>
    <cellStyle name="40% - Accent6 3 2 6" xfId="2358" xr:uid="{00000000-0005-0000-0000-000044070000}"/>
    <cellStyle name="40% - Accent6 3 2 6 2" xfId="6664" xr:uid="{00000000-0005-0000-0000-000045070000}"/>
    <cellStyle name="40% - Accent6 3 2 6 2 2" xfId="15114" xr:uid="{46B0DB0C-70FA-44E9-AEA7-DF229651306C}"/>
    <cellStyle name="40% - Accent6 3 2 6 3" xfId="10896" xr:uid="{EFDADFAF-3FDF-4524-A762-F2780D8D6FB3}"/>
    <cellStyle name="40% - Accent6 3 2 7" xfId="4598" xr:uid="{00000000-0005-0000-0000-000046070000}"/>
    <cellStyle name="40% - Accent6 3 2 7 2" xfId="13048" xr:uid="{E070B719-0FEE-431D-8C0F-9EC97403CE0A}"/>
    <cellStyle name="40% - Accent6 3 2 8" xfId="8830" xr:uid="{0D7F822D-4BE9-4F5C-8CE1-4EE7DBA28621}"/>
    <cellStyle name="40% - Accent6 3 3" xfId="663" xr:uid="{00000000-0005-0000-0000-000047070000}"/>
    <cellStyle name="40% - Accent6 3 3 2" xfId="2934" xr:uid="{00000000-0005-0000-0000-000048070000}"/>
    <cellStyle name="40% - Accent6 3 3 2 2" xfId="7156" xr:uid="{00000000-0005-0000-0000-000049070000}"/>
    <cellStyle name="40% - Accent6 3 3 2 2 2" xfId="15606" xr:uid="{7BA8B246-78CE-424A-A567-EFD9F87205DA}"/>
    <cellStyle name="40% - Accent6 3 3 2 3" xfId="11388" xr:uid="{157F4F73-B89A-4C39-B89B-C2A88B20B2E1}"/>
    <cellStyle name="40% - Accent6 3 3 3" xfId="5011" xr:uid="{00000000-0005-0000-0000-00004A070000}"/>
    <cellStyle name="40% - Accent6 3 3 3 2" xfId="13461" xr:uid="{0468DCF4-6A71-4728-B1C2-23ED714106BA}"/>
    <cellStyle name="40% - Accent6 3 3 4" xfId="9243" xr:uid="{84A8D0A7-8779-4FE6-AD53-16E6CC417B97}"/>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019" xr:uid="{21AA6CE6-D6FD-412C-94C0-5F7C8AAC070F}"/>
    <cellStyle name="40% - Accent6 3 4 2 3" xfId="11801" xr:uid="{A6126887-CB18-4FBF-8BFF-FFABB3D06599}"/>
    <cellStyle name="40% - Accent6 3 4 3" xfId="5424" xr:uid="{00000000-0005-0000-0000-00004E070000}"/>
    <cellStyle name="40% - Accent6 3 4 3 2" xfId="13874" xr:uid="{4263C31E-763C-42B2-A244-CFB04D732193}"/>
    <cellStyle name="40% - Accent6 3 4 4" xfId="9656" xr:uid="{66ABDFA0-0F24-46F2-B426-A20DF0F408E1}"/>
    <cellStyle name="40% - Accent6 3 5" xfId="1530" xr:uid="{00000000-0005-0000-0000-00004F070000}"/>
    <cellStyle name="40% - Accent6 3 5 2" xfId="3760" xr:uid="{00000000-0005-0000-0000-000050070000}"/>
    <cellStyle name="40% - Accent6 3 5 2 2" xfId="7982" xr:uid="{00000000-0005-0000-0000-000051070000}"/>
    <cellStyle name="40% - Accent6 3 5 2 2 2" xfId="16432" xr:uid="{62031614-B476-4F1F-A90C-005D929B705F}"/>
    <cellStyle name="40% - Accent6 3 5 2 3" xfId="12214" xr:uid="{1A39DD90-8F20-462A-A4F2-9FDD8334B242}"/>
    <cellStyle name="40% - Accent6 3 5 3" xfId="5837" xr:uid="{00000000-0005-0000-0000-000052070000}"/>
    <cellStyle name="40% - Accent6 3 5 3 2" xfId="14287" xr:uid="{7FF26F58-FA04-4910-BBEE-21659AE14712}"/>
    <cellStyle name="40% - Accent6 3 5 4" xfId="10069" xr:uid="{046C2ADE-659E-4219-998B-866FCB0E2896}"/>
    <cellStyle name="40% - Accent6 3 6" xfId="1944" xr:uid="{00000000-0005-0000-0000-000053070000}"/>
    <cellStyle name="40% - Accent6 3 6 2" xfId="4173" xr:uid="{00000000-0005-0000-0000-000054070000}"/>
    <cellStyle name="40% - Accent6 3 6 2 2" xfId="8395" xr:uid="{00000000-0005-0000-0000-000055070000}"/>
    <cellStyle name="40% - Accent6 3 6 2 2 2" xfId="16845" xr:uid="{E5D6C38A-DF6D-4E7E-91AC-2731135D031F}"/>
    <cellStyle name="40% - Accent6 3 6 2 3" xfId="12627" xr:uid="{55181B0B-BD16-47BF-BC4F-47A15DC41E0F}"/>
    <cellStyle name="40% - Accent6 3 6 3" xfId="6250" xr:uid="{00000000-0005-0000-0000-000056070000}"/>
    <cellStyle name="40% - Accent6 3 6 3 2" xfId="14700" xr:uid="{1972267F-CF7B-4560-91E9-76532159D97B}"/>
    <cellStyle name="40% - Accent6 3 6 4" xfId="10482" xr:uid="{188082D6-ABC0-4F46-A309-5A1673897EF8}"/>
    <cellStyle name="40% - Accent6 3 7" xfId="2357" xr:uid="{00000000-0005-0000-0000-000057070000}"/>
    <cellStyle name="40% - Accent6 3 7 2" xfId="6663" xr:uid="{00000000-0005-0000-0000-000058070000}"/>
    <cellStyle name="40% - Accent6 3 7 2 2" xfId="15113" xr:uid="{8C4CDE99-CF27-4B2B-8A7A-FE650E61C9A6}"/>
    <cellStyle name="40% - Accent6 3 7 3" xfId="10895" xr:uid="{DA260A9C-64EC-4124-9260-579B4F21E9B3}"/>
    <cellStyle name="40% - Accent6 3 8" xfId="4597" xr:uid="{00000000-0005-0000-0000-000059070000}"/>
    <cellStyle name="40% - Accent6 3 8 2" xfId="13047" xr:uid="{3149AC09-4028-4F4E-B3D9-09F986FE23F4}"/>
    <cellStyle name="40% - Accent6 3 9" xfId="8829" xr:uid="{40A8FF8C-97D3-4EB2-AEB6-31FE0DC01388}"/>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5608" xr:uid="{4E863887-81A4-47AE-BAD0-A6F4D46DF1AA}"/>
    <cellStyle name="40% - Accent6 4 2 2 3" xfId="11390" xr:uid="{C3F8004A-A7DE-44A3-A19D-E073B559D11F}"/>
    <cellStyle name="40% - Accent6 4 2 3" xfId="5013" xr:uid="{00000000-0005-0000-0000-00005E070000}"/>
    <cellStyle name="40% - Accent6 4 2 3 2" xfId="13463" xr:uid="{D2397EF3-6BA3-41EA-810E-9F8C69705ECE}"/>
    <cellStyle name="40% - Accent6 4 2 4" xfId="9245" xr:uid="{9D475FA2-E941-4FFF-A049-9963F729991C}"/>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021" xr:uid="{6436EA55-6BA7-4468-A998-4B10A90720AD}"/>
    <cellStyle name="40% - Accent6 4 3 2 3" xfId="11803" xr:uid="{B546C86C-CB8A-4020-B0BB-EE88871232BE}"/>
    <cellStyle name="40% - Accent6 4 3 3" xfId="5426" xr:uid="{00000000-0005-0000-0000-000062070000}"/>
    <cellStyle name="40% - Accent6 4 3 3 2" xfId="13876" xr:uid="{6567991D-A920-4DFE-BB52-8A6FBC8303BC}"/>
    <cellStyle name="40% - Accent6 4 3 4" xfId="9658" xr:uid="{380DF029-981A-4009-B9AD-8514948CC9A4}"/>
    <cellStyle name="40% - Accent6 4 4" xfId="1532" xr:uid="{00000000-0005-0000-0000-000063070000}"/>
    <cellStyle name="40% - Accent6 4 4 2" xfId="3762" xr:uid="{00000000-0005-0000-0000-000064070000}"/>
    <cellStyle name="40% - Accent6 4 4 2 2" xfId="7984" xr:uid="{00000000-0005-0000-0000-000065070000}"/>
    <cellStyle name="40% - Accent6 4 4 2 2 2" xfId="16434" xr:uid="{EDF06395-E11C-41F3-AC0B-A808F19307FB}"/>
    <cellStyle name="40% - Accent6 4 4 2 3" xfId="12216" xr:uid="{867B6AD9-EA45-415F-8779-721D3DA2A440}"/>
    <cellStyle name="40% - Accent6 4 4 3" xfId="5839" xr:uid="{00000000-0005-0000-0000-000066070000}"/>
    <cellStyle name="40% - Accent6 4 4 3 2" xfId="14289" xr:uid="{FF5D971F-0DBD-4A64-9321-5F21929C6D7A}"/>
    <cellStyle name="40% - Accent6 4 4 4" xfId="10071" xr:uid="{CC3D9A81-9E70-4F98-8724-761A6AE7AFE2}"/>
    <cellStyle name="40% - Accent6 4 5" xfId="1946" xr:uid="{00000000-0005-0000-0000-000067070000}"/>
    <cellStyle name="40% - Accent6 4 5 2" xfId="4175" xr:uid="{00000000-0005-0000-0000-000068070000}"/>
    <cellStyle name="40% - Accent6 4 5 2 2" xfId="8397" xr:uid="{00000000-0005-0000-0000-000069070000}"/>
    <cellStyle name="40% - Accent6 4 5 2 2 2" xfId="16847" xr:uid="{44EC0F36-DD04-4F81-AC8F-03D0FC1B3055}"/>
    <cellStyle name="40% - Accent6 4 5 2 3" xfId="12629" xr:uid="{3307ABD5-37FB-441B-BE45-BB009F75D74F}"/>
    <cellStyle name="40% - Accent6 4 5 3" xfId="6252" xr:uid="{00000000-0005-0000-0000-00006A070000}"/>
    <cellStyle name="40% - Accent6 4 5 3 2" xfId="14702" xr:uid="{9588FF5B-51AE-4DAC-A942-6C8728128AB0}"/>
    <cellStyle name="40% - Accent6 4 5 4" xfId="10484" xr:uid="{DE2AEAF4-C6F7-4D22-B764-2F85544A98B4}"/>
    <cellStyle name="40% - Accent6 4 6" xfId="2359" xr:uid="{00000000-0005-0000-0000-00006B070000}"/>
    <cellStyle name="40% - Accent6 4 6 2" xfId="6665" xr:uid="{00000000-0005-0000-0000-00006C070000}"/>
    <cellStyle name="40% - Accent6 4 6 2 2" xfId="15115" xr:uid="{DE563B08-16B5-4D9A-8768-606475B85122}"/>
    <cellStyle name="40% - Accent6 4 6 3" xfId="10897" xr:uid="{86BD7ABA-4E45-4E97-802B-F6B225B63724}"/>
    <cellStyle name="40% - Accent6 4 7" xfId="4599" xr:uid="{00000000-0005-0000-0000-00006D070000}"/>
    <cellStyle name="40% - Accent6 4 7 2" xfId="13049" xr:uid="{E99F9439-430C-47C1-833C-E5CAE5FECA30}"/>
    <cellStyle name="40% - Accent6 4 8" xfId="8831" xr:uid="{E41FDC46-93B5-41BD-B246-391511E8E103}"/>
    <cellStyle name="40% - Accent6 5" xfId="658" xr:uid="{00000000-0005-0000-0000-00006E070000}"/>
    <cellStyle name="40% - Accent6 5 2" xfId="2929" xr:uid="{00000000-0005-0000-0000-00006F070000}"/>
    <cellStyle name="40% - Accent6 5 2 2" xfId="7151" xr:uid="{00000000-0005-0000-0000-000070070000}"/>
    <cellStyle name="40% - Accent6 5 2 2 2" xfId="15601" xr:uid="{1E642A2E-6B41-41E5-AC9D-09CE6DD791F2}"/>
    <cellStyle name="40% - Accent6 5 2 3" xfId="11383" xr:uid="{84E74577-AEBC-4186-AAC7-ECE2ACAD65E4}"/>
    <cellStyle name="40% - Accent6 5 3" xfId="5006" xr:uid="{00000000-0005-0000-0000-000071070000}"/>
    <cellStyle name="40% - Accent6 5 3 2" xfId="13456" xr:uid="{6A01C6BE-C0ED-4390-B1BB-B7377F628E8F}"/>
    <cellStyle name="40% - Accent6 5 4" xfId="9238" xr:uid="{11CD7F85-AD65-48D0-A49E-C72EC8C20755}"/>
    <cellStyle name="40% - Accent6 6" xfId="1111" xr:uid="{00000000-0005-0000-0000-000072070000}"/>
    <cellStyle name="40% - Accent6 6 2" xfId="3342" xr:uid="{00000000-0005-0000-0000-000073070000}"/>
    <cellStyle name="40% - Accent6 6 2 2" xfId="7564" xr:uid="{00000000-0005-0000-0000-000074070000}"/>
    <cellStyle name="40% - Accent6 6 2 2 2" xfId="16014" xr:uid="{FF8685A2-0050-4276-9CF7-9AD3F7064371}"/>
    <cellStyle name="40% - Accent6 6 2 3" xfId="11796" xr:uid="{25775EBC-41B0-40E7-810D-C61617D05DB5}"/>
    <cellStyle name="40% - Accent6 6 3" xfId="5419" xr:uid="{00000000-0005-0000-0000-000075070000}"/>
    <cellStyle name="40% - Accent6 6 3 2" xfId="13869" xr:uid="{AD343CD8-C0E8-4A9B-9CD5-43877435579C}"/>
    <cellStyle name="40% - Accent6 6 4" xfId="9651" xr:uid="{FAC2543B-B830-4F4A-8B92-E0B1C9D85E98}"/>
    <cellStyle name="40% - Accent6 7" xfId="1525" xr:uid="{00000000-0005-0000-0000-000076070000}"/>
    <cellStyle name="40% - Accent6 7 2" xfId="3755" xr:uid="{00000000-0005-0000-0000-000077070000}"/>
    <cellStyle name="40% - Accent6 7 2 2" xfId="7977" xr:uid="{00000000-0005-0000-0000-000078070000}"/>
    <cellStyle name="40% - Accent6 7 2 2 2" xfId="16427" xr:uid="{81F85F78-D6E9-41EA-B5E8-B09D7DB2B7D1}"/>
    <cellStyle name="40% - Accent6 7 2 3" xfId="12209" xr:uid="{668F8B32-58A8-4EAB-ADB5-2DC6B7A80DA0}"/>
    <cellStyle name="40% - Accent6 7 3" xfId="5832" xr:uid="{00000000-0005-0000-0000-000079070000}"/>
    <cellStyle name="40% - Accent6 7 3 2" xfId="14282" xr:uid="{FE833E5E-DD4A-45EB-97FE-0A95BF56C790}"/>
    <cellStyle name="40% - Accent6 7 4" xfId="10064" xr:uid="{D9A19271-EA1B-4A14-B358-A385DD0DF8BF}"/>
    <cellStyle name="40% - Accent6 8" xfId="1939" xr:uid="{00000000-0005-0000-0000-00007A070000}"/>
    <cellStyle name="40% - Accent6 8 2" xfId="4168" xr:uid="{00000000-0005-0000-0000-00007B070000}"/>
    <cellStyle name="40% - Accent6 8 2 2" xfId="8390" xr:uid="{00000000-0005-0000-0000-00007C070000}"/>
    <cellStyle name="40% - Accent6 8 2 2 2" xfId="16840" xr:uid="{D8BA81EC-4779-4FB8-8373-F16C0D53279D}"/>
    <cellStyle name="40% - Accent6 8 2 3" xfId="12622" xr:uid="{5EF6807A-238C-4C63-9D8A-0C7F59E06676}"/>
    <cellStyle name="40% - Accent6 8 3" xfId="6245" xr:uid="{00000000-0005-0000-0000-00007D070000}"/>
    <cellStyle name="40% - Accent6 8 3 2" xfId="14695" xr:uid="{57AFAB4D-DABB-411A-8794-2AD820944C57}"/>
    <cellStyle name="40% - Accent6 8 4" xfId="10477" xr:uid="{9EE24ADA-0384-4AB5-90F0-2C114FBDDF68}"/>
    <cellStyle name="40% - Accent6 9" xfId="2352" xr:uid="{00000000-0005-0000-0000-00007E070000}"/>
    <cellStyle name="40% - Accent6 9 2" xfId="6658" xr:uid="{00000000-0005-0000-0000-00007F070000}"/>
    <cellStyle name="40% - Accent6 9 2 2" xfId="15108" xr:uid="{8A770107-D33B-42CC-8FFD-452DD356D996}"/>
    <cellStyle name="40% - Accent6 9 3" xfId="10890" xr:uid="{55C0849E-8C98-4536-BF74-D97A69B5C05A}"/>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5433" xr:uid="{45424F68-B453-4014-B34D-866B0B398354}"/>
    <cellStyle name="Comma 4 2 2 2 10 3" xfId="11215" xr:uid="{1C045342-AAC1-4E00-891D-CD1847E296CF}"/>
    <cellStyle name="Comma 4 2 2 2 11" xfId="4600" xr:uid="{00000000-0005-0000-0000-0000A3070000}"/>
    <cellStyle name="Comma 4 2 2 2 11 2" xfId="13050" xr:uid="{7302CF72-C689-4EE1-8E96-BE1DF627EECC}"/>
    <cellStyle name="Comma 4 2 2 2 12" xfId="8832" xr:uid="{72251F1A-E124-4C36-800A-67F9EF597391}"/>
    <cellStyle name="Comma 4 2 2 2 2" xfId="129" xr:uid="{00000000-0005-0000-0000-0000A4070000}"/>
    <cellStyle name="Comma 4 2 2 2 2 10" xfId="4601" xr:uid="{00000000-0005-0000-0000-0000A5070000}"/>
    <cellStyle name="Comma 4 2 2 2 2 10 2" xfId="13051" xr:uid="{E98C25DF-1C86-49DD-B235-B535062D0043}"/>
    <cellStyle name="Comma 4 2 2 2 2 11" xfId="8833" xr:uid="{919CE190-0929-4561-AE9A-9F01D058D35F}"/>
    <cellStyle name="Comma 4 2 2 2 2 2" xfId="130" xr:uid="{00000000-0005-0000-0000-0000A6070000}"/>
    <cellStyle name="Comma 4 2 2 2 2 2 10" xfId="8834" xr:uid="{37AE2344-9283-4814-B5CC-53222301FB4A}"/>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5611" xr:uid="{220F9946-21AB-4A96-989E-A8ECF5EBA051}"/>
    <cellStyle name="Comma 4 2 2 2 2 2 2 2 3" xfId="11393" xr:uid="{9EDAF3C4-76CA-4ECC-ABA1-B9F97C700525}"/>
    <cellStyle name="Comma 4 2 2 2 2 2 2 3" xfId="5016" xr:uid="{00000000-0005-0000-0000-0000AA070000}"/>
    <cellStyle name="Comma 4 2 2 2 2 2 2 3 2" xfId="13466" xr:uid="{05ED6C6D-36CC-43AC-8B37-D4FF9CD89108}"/>
    <cellStyle name="Comma 4 2 2 2 2 2 2 4" xfId="9248" xr:uid="{5A940D94-8E03-49E4-A1BA-9E3669AA0ABB}"/>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024" xr:uid="{298CE39B-C25D-4D74-9058-A2693FEFB73A}"/>
    <cellStyle name="Comma 4 2 2 2 2 2 3 2 3" xfId="11806" xr:uid="{555FAAC4-C5D9-4172-825B-FAEEE9D666CD}"/>
    <cellStyle name="Comma 4 2 2 2 2 2 3 3" xfId="5429" xr:uid="{00000000-0005-0000-0000-0000AE070000}"/>
    <cellStyle name="Comma 4 2 2 2 2 2 3 3 2" xfId="13879" xr:uid="{6A8F6EB9-5199-4C16-8060-EE609C08CDAC}"/>
    <cellStyle name="Comma 4 2 2 2 2 2 3 4" xfId="9661" xr:uid="{E523644D-19CC-4DC7-A269-115D64AB4AF8}"/>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6437" xr:uid="{73A7A956-709D-4B9C-B55D-5BC7F2535A1A}"/>
    <cellStyle name="Comma 4 2 2 2 2 2 4 2 3" xfId="12219" xr:uid="{60B89920-A74D-419C-BB2A-D6E382D61A55}"/>
    <cellStyle name="Comma 4 2 2 2 2 2 4 3" xfId="5842" xr:uid="{00000000-0005-0000-0000-0000B2070000}"/>
    <cellStyle name="Comma 4 2 2 2 2 2 4 3 2" xfId="14292" xr:uid="{413BB2EA-D807-4AA3-B6C6-6951FC4327B6}"/>
    <cellStyle name="Comma 4 2 2 2 2 2 4 4" xfId="10074" xr:uid="{43F0676A-F70D-4E12-AE14-C0DDA22AAB83}"/>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6850" xr:uid="{6B5FC2F1-E7A3-4686-843C-261F3BE388D1}"/>
    <cellStyle name="Comma 4 2 2 2 2 2 5 2 3" xfId="12632" xr:uid="{6DC4B9F6-6782-4583-8B75-EA6D3495F8E7}"/>
    <cellStyle name="Comma 4 2 2 2 2 2 5 3" xfId="6255" xr:uid="{00000000-0005-0000-0000-0000B6070000}"/>
    <cellStyle name="Comma 4 2 2 2 2 2 5 3 2" xfId="14705" xr:uid="{CE1A60D9-A9E0-4E66-BEB9-443E23E77193}"/>
    <cellStyle name="Comma 4 2 2 2 2 2 5 4" xfId="10487" xr:uid="{BD751F8C-462C-47C6-ACAF-00328A13EDAF}"/>
    <cellStyle name="Comma 4 2 2 2 2 2 6" xfId="2384" xr:uid="{00000000-0005-0000-0000-0000B7070000}"/>
    <cellStyle name="Comma 4 2 2 2 2 2 6 2" xfId="6668" xr:uid="{00000000-0005-0000-0000-0000B8070000}"/>
    <cellStyle name="Comma 4 2 2 2 2 2 6 2 2" xfId="15118" xr:uid="{434A21CA-1A55-4928-A0B2-26993317FDEF}"/>
    <cellStyle name="Comma 4 2 2 2 2 2 6 3" xfId="10900" xr:uid="{D01F9B85-9CEC-44FF-89E4-95E9A1BD5E51}"/>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5435" xr:uid="{687ED043-6F95-41D1-85D3-C93A55BDEAF4}"/>
    <cellStyle name="Comma 4 2 2 2 2 2 8 3" xfId="11217" xr:uid="{0ECFF1D7-4904-4719-B0BF-A73A271963DB}"/>
    <cellStyle name="Comma 4 2 2 2 2 2 9" xfId="4602" xr:uid="{00000000-0005-0000-0000-0000BC070000}"/>
    <cellStyle name="Comma 4 2 2 2 2 2 9 2" xfId="13052" xr:uid="{544DC466-6ED3-4B18-9B48-C59F2D391C9A}"/>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5610" xr:uid="{06766597-FCB6-4A81-B3B3-577F4ACC21CE}"/>
    <cellStyle name="Comma 4 2 2 2 2 3 2 3" xfId="11392" xr:uid="{D9EFEDC7-5FE4-4867-8C34-447D573A8C97}"/>
    <cellStyle name="Comma 4 2 2 2 2 3 3" xfId="5015" xr:uid="{00000000-0005-0000-0000-0000C0070000}"/>
    <cellStyle name="Comma 4 2 2 2 2 3 3 2" xfId="13465" xr:uid="{FB4FE662-8074-40A4-9EE2-8EF70423549B}"/>
    <cellStyle name="Comma 4 2 2 2 2 3 4" xfId="9247" xr:uid="{A75D12E3-0E14-40C0-9B0E-FF230BAC956B}"/>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023" xr:uid="{027F0CC4-6AF0-4292-8779-CE72AE4A1B21}"/>
    <cellStyle name="Comma 4 2 2 2 2 4 2 3" xfId="11805" xr:uid="{729AB5E8-D328-4FB4-B413-F2F4757BEEB5}"/>
    <cellStyle name="Comma 4 2 2 2 2 4 3" xfId="5428" xr:uid="{00000000-0005-0000-0000-0000C4070000}"/>
    <cellStyle name="Comma 4 2 2 2 2 4 3 2" xfId="13878" xr:uid="{BC9EB3BE-4CBB-4E39-AFFB-4420CB7494FD}"/>
    <cellStyle name="Comma 4 2 2 2 2 4 4" xfId="9660" xr:uid="{09C77C22-FE99-4908-B7EB-5214EC3D1DEB}"/>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6436" xr:uid="{B28D3455-E5D5-4B7C-A9C9-5074DB50641F}"/>
    <cellStyle name="Comma 4 2 2 2 2 5 2 3" xfId="12218" xr:uid="{03FB6222-EB0F-4FFA-AA4C-428D1BF8347C}"/>
    <cellStyle name="Comma 4 2 2 2 2 5 3" xfId="5841" xr:uid="{00000000-0005-0000-0000-0000C8070000}"/>
    <cellStyle name="Comma 4 2 2 2 2 5 3 2" xfId="14291" xr:uid="{78FCC107-6FD5-4269-ACD6-5B46777339EF}"/>
    <cellStyle name="Comma 4 2 2 2 2 5 4" xfId="10073" xr:uid="{C0B026B8-0F57-437D-8E0D-69B8E5080285}"/>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6849" xr:uid="{1653C984-EEF6-4C4F-8409-EA941BF7DA38}"/>
    <cellStyle name="Comma 4 2 2 2 2 6 2 3" xfId="12631" xr:uid="{75726D8A-199F-4EAD-9B5A-3A60B260E143}"/>
    <cellStyle name="Comma 4 2 2 2 2 6 3" xfId="6254" xr:uid="{00000000-0005-0000-0000-0000CC070000}"/>
    <cellStyle name="Comma 4 2 2 2 2 6 3 2" xfId="14704" xr:uid="{C6D9C9EE-C001-499A-977A-3C0519A5864D}"/>
    <cellStyle name="Comma 4 2 2 2 2 6 4" xfId="10486" xr:uid="{4D2FB2D5-4984-4229-9FC6-C500F2BD8E1A}"/>
    <cellStyle name="Comma 4 2 2 2 2 7" xfId="2383" xr:uid="{00000000-0005-0000-0000-0000CD070000}"/>
    <cellStyle name="Comma 4 2 2 2 2 7 2" xfId="6667" xr:uid="{00000000-0005-0000-0000-0000CE070000}"/>
    <cellStyle name="Comma 4 2 2 2 2 7 2 2" xfId="15117" xr:uid="{F9FEFA0F-B8F3-4B90-9464-568A06D51922}"/>
    <cellStyle name="Comma 4 2 2 2 2 7 3" xfId="10899" xr:uid="{C9C61FDC-1F29-412D-8224-053A7DD82B38}"/>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5434" xr:uid="{B482A769-5BF8-4E5F-92FB-31006DD7FB9F}"/>
    <cellStyle name="Comma 4 2 2 2 2 9 3" xfId="11216" xr:uid="{8EFCFDBA-AFFA-4F71-9157-5DA89321BB11}"/>
    <cellStyle name="Comma 4 2 2 2 3" xfId="131" xr:uid="{00000000-0005-0000-0000-0000D2070000}"/>
    <cellStyle name="Comma 4 2 2 2 3 10" xfId="8835" xr:uid="{08F68010-5A4D-41BE-9E73-213BC4BC8F37}"/>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5612" xr:uid="{4DE35B80-C2CF-49BB-8416-61CC1EE392A3}"/>
    <cellStyle name="Comma 4 2 2 2 3 2 2 3" xfId="11394" xr:uid="{A7E4BB11-1E2B-407B-B47E-1799DE952A1C}"/>
    <cellStyle name="Comma 4 2 2 2 3 2 3" xfId="5017" xr:uid="{00000000-0005-0000-0000-0000D6070000}"/>
    <cellStyle name="Comma 4 2 2 2 3 2 3 2" xfId="13467" xr:uid="{02CA2E6E-0347-4E05-AA8C-64E1EE9F03D9}"/>
    <cellStyle name="Comma 4 2 2 2 3 2 4" xfId="9249" xr:uid="{0D25B67D-2DAF-4E49-94A1-63DB02DB9008}"/>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025" xr:uid="{52B7A98C-A409-44B5-9557-F1F25C0249B6}"/>
    <cellStyle name="Comma 4 2 2 2 3 3 2 3" xfId="11807" xr:uid="{DFD597DA-D61A-4A8F-8684-6A69B049A26A}"/>
    <cellStyle name="Comma 4 2 2 2 3 3 3" xfId="5430" xr:uid="{00000000-0005-0000-0000-0000DA070000}"/>
    <cellStyle name="Comma 4 2 2 2 3 3 3 2" xfId="13880" xr:uid="{E1BBCFC7-73E4-4D90-962C-A90874A3D53A}"/>
    <cellStyle name="Comma 4 2 2 2 3 3 4" xfId="9662" xr:uid="{FA6D7023-03DC-4334-8466-D401A36F6E45}"/>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6438" xr:uid="{69637967-5BFD-4E37-AC2D-6C66EAC7EA9A}"/>
    <cellStyle name="Comma 4 2 2 2 3 4 2 3" xfId="12220" xr:uid="{D6C5295D-9716-431F-AD7D-8959FDB574BB}"/>
    <cellStyle name="Comma 4 2 2 2 3 4 3" xfId="5843" xr:uid="{00000000-0005-0000-0000-0000DE070000}"/>
    <cellStyle name="Comma 4 2 2 2 3 4 3 2" xfId="14293" xr:uid="{5C730028-79AB-4346-989C-1A38F5F05C62}"/>
    <cellStyle name="Comma 4 2 2 2 3 4 4" xfId="10075" xr:uid="{77E8DB7C-72F6-4554-9EE0-706909940EEE}"/>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6851" xr:uid="{88892C11-9822-4C6E-9C9C-A599609D042A}"/>
    <cellStyle name="Comma 4 2 2 2 3 5 2 3" xfId="12633" xr:uid="{186E2E23-0FE5-41BD-B888-09DB7134F608}"/>
    <cellStyle name="Comma 4 2 2 2 3 5 3" xfId="6256" xr:uid="{00000000-0005-0000-0000-0000E2070000}"/>
    <cellStyle name="Comma 4 2 2 2 3 5 3 2" xfId="14706" xr:uid="{F5BCC0EF-02D5-4A8E-A231-9B4D08DBB365}"/>
    <cellStyle name="Comma 4 2 2 2 3 5 4" xfId="10488" xr:uid="{7AE848E7-D6A9-4FE3-94D8-A8D5DDB2EA8F}"/>
    <cellStyle name="Comma 4 2 2 2 3 6" xfId="2385" xr:uid="{00000000-0005-0000-0000-0000E3070000}"/>
    <cellStyle name="Comma 4 2 2 2 3 6 2" xfId="6669" xr:uid="{00000000-0005-0000-0000-0000E4070000}"/>
    <cellStyle name="Comma 4 2 2 2 3 6 2 2" xfId="15119" xr:uid="{56BB1800-2233-402B-8125-4DDFF3B92F52}"/>
    <cellStyle name="Comma 4 2 2 2 3 6 3" xfId="10901" xr:uid="{0776827C-BB92-4D40-A282-9C54D5070C5C}"/>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5436" xr:uid="{8BA97DD6-82F3-4B0B-92EF-216DB254CE6C}"/>
    <cellStyle name="Comma 4 2 2 2 3 8 3" xfId="11218" xr:uid="{2B0408C6-B3D2-43FA-8F4A-CCFA3F1A4FDC}"/>
    <cellStyle name="Comma 4 2 2 2 3 9" xfId="4603" xr:uid="{00000000-0005-0000-0000-0000E8070000}"/>
    <cellStyle name="Comma 4 2 2 2 3 9 2" xfId="13053" xr:uid="{4FE9CDDC-8C26-4745-AEF7-FF5E9406307A}"/>
    <cellStyle name="Comma 4 2 2 2 4" xfId="666" xr:uid="{00000000-0005-0000-0000-0000E9070000}"/>
    <cellStyle name="Comma 4 2 2 2 4 2" xfId="2937" xr:uid="{00000000-0005-0000-0000-0000EA070000}"/>
    <cellStyle name="Comma 4 2 2 2 4 2 2" xfId="7159" xr:uid="{00000000-0005-0000-0000-0000EB070000}"/>
    <cellStyle name="Comma 4 2 2 2 4 2 2 2" xfId="15609" xr:uid="{3A2E8D04-E424-4DE3-A850-CC79CC3791BC}"/>
    <cellStyle name="Comma 4 2 2 2 4 2 3" xfId="11391" xr:uid="{18091B0B-D001-4A59-AD39-C4D2691538A8}"/>
    <cellStyle name="Comma 4 2 2 2 4 3" xfId="5014" xr:uid="{00000000-0005-0000-0000-0000EC070000}"/>
    <cellStyle name="Comma 4 2 2 2 4 3 2" xfId="13464" xr:uid="{94784EB5-3C92-49F1-AEC2-2721E67457A7}"/>
    <cellStyle name="Comma 4 2 2 2 4 4" xfId="9246" xr:uid="{FC7FBF2E-B612-42A7-84CF-1E95D17F1070}"/>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022" xr:uid="{8720FE65-7E42-4444-B03B-A2542A0E4BA7}"/>
    <cellStyle name="Comma 4 2 2 2 5 2 3" xfId="11804" xr:uid="{AEEF6CCB-4784-48E5-9C32-E07F78D0DDFA}"/>
    <cellStyle name="Comma 4 2 2 2 5 3" xfId="5427" xr:uid="{00000000-0005-0000-0000-0000F0070000}"/>
    <cellStyle name="Comma 4 2 2 2 5 3 2" xfId="13877" xr:uid="{F8A2DBB1-0360-41A5-AD60-EA03F103CC86}"/>
    <cellStyle name="Comma 4 2 2 2 5 4" xfId="9659" xr:uid="{9F4D1C1C-2BF6-4A0B-9810-7F9297A24A53}"/>
    <cellStyle name="Comma 4 2 2 2 6" xfId="1533" xr:uid="{00000000-0005-0000-0000-0000F1070000}"/>
    <cellStyle name="Comma 4 2 2 2 6 2" xfId="3763" xr:uid="{00000000-0005-0000-0000-0000F2070000}"/>
    <cellStyle name="Comma 4 2 2 2 6 2 2" xfId="7985" xr:uid="{00000000-0005-0000-0000-0000F3070000}"/>
    <cellStyle name="Comma 4 2 2 2 6 2 2 2" xfId="16435" xr:uid="{0869D2DA-EC76-4582-A979-15EC0594A292}"/>
    <cellStyle name="Comma 4 2 2 2 6 2 3" xfId="12217" xr:uid="{7A88F430-C4F7-4D40-AEEE-B38B78903745}"/>
    <cellStyle name="Comma 4 2 2 2 6 3" xfId="5840" xr:uid="{00000000-0005-0000-0000-0000F4070000}"/>
    <cellStyle name="Comma 4 2 2 2 6 3 2" xfId="14290" xr:uid="{B5DE726F-9FF3-40BC-B79F-26E71B16DFC7}"/>
    <cellStyle name="Comma 4 2 2 2 6 4" xfId="10072" xr:uid="{F708DBF3-9371-4497-876E-163720FDB907}"/>
    <cellStyle name="Comma 4 2 2 2 7" xfId="1947" xr:uid="{00000000-0005-0000-0000-0000F5070000}"/>
    <cellStyle name="Comma 4 2 2 2 7 2" xfId="4176" xr:uid="{00000000-0005-0000-0000-0000F6070000}"/>
    <cellStyle name="Comma 4 2 2 2 7 2 2" xfId="8398" xr:uid="{00000000-0005-0000-0000-0000F7070000}"/>
    <cellStyle name="Comma 4 2 2 2 7 2 2 2" xfId="16848" xr:uid="{101C0ED2-BE37-40DB-AD01-3470646E99AE}"/>
    <cellStyle name="Comma 4 2 2 2 7 2 3" xfId="12630" xr:uid="{B265EBF5-67E4-4E06-9A63-C60D47E6C372}"/>
    <cellStyle name="Comma 4 2 2 2 7 3" xfId="6253" xr:uid="{00000000-0005-0000-0000-0000F8070000}"/>
    <cellStyle name="Comma 4 2 2 2 7 3 2" xfId="14703" xr:uid="{FF541B24-BE5F-4A77-AC52-32FDE0303BD6}"/>
    <cellStyle name="Comma 4 2 2 2 7 4" xfId="10485" xr:uid="{945B37E5-5B4A-4FCD-857A-E79635D61C2F}"/>
    <cellStyle name="Comma 4 2 2 2 8" xfId="2382" xr:uid="{00000000-0005-0000-0000-0000F9070000}"/>
    <cellStyle name="Comma 4 2 2 2 8 2" xfId="6666" xr:uid="{00000000-0005-0000-0000-0000FA070000}"/>
    <cellStyle name="Comma 4 2 2 2 8 2 2" xfId="15116" xr:uid="{15DF7EE7-7078-4906-92A9-3ED57F584367}"/>
    <cellStyle name="Comma 4 2 2 2 8 3" xfId="10898" xr:uid="{0C77CE14-1D93-4185-8E62-5E53ACCC24FF}"/>
    <cellStyle name="Comma 4 2 2 2 9" xfId="2381" xr:uid="{00000000-0005-0000-0000-0000FB070000}"/>
    <cellStyle name="Comma 4 2 2 3" xfId="132" xr:uid="{00000000-0005-0000-0000-0000FC070000}"/>
    <cellStyle name="Comma 4 2 2 3 10" xfId="4604" xr:uid="{00000000-0005-0000-0000-0000FD070000}"/>
    <cellStyle name="Comma 4 2 2 3 10 2" xfId="13054" xr:uid="{E74400A4-E3DE-4DE1-A674-9141F26BAA7E}"/>
    <cellStyle name="Comma 4 2 2 3 11" xfId="8836" xr:uid="{2C4427A5-9CDA-4905-AF20-77F3552C48FF}"/>
    <cellStyle name="Comma 4 2 2 3 2" xfId="133" xr:uid="{00000000-0005-0000-0000-0000FE070000}"/>
    <cellStyle name="Comma 4 2 2 3 2 10" xfId="8837" xr:uid="{408C0FAD-1F9A-4344-8EDF-460F38760594}"/>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5614" xr:uid="{22D1F293-8E8C-4363-AB09-071D62A68654}"/>
    <cellStyle name="Comma 4 2 2 3 2 2 2 3" xfId="11396" xr:uid="{5036FF65-E3BB-4699-9F90-87694072E138}"/>
    <cellStyle name="Comma 4 2 2 3 2 2 3" xfId="5019" xr:uid="{00000000-0005-0000-0000-000002080000}"/>
    <cellStyle name="Comma 4 2 2 3 2 2 3 2" xfId="13469" xr:uid="{3B96F9D4-FD9B-473D-856F-4836F6819592}"/>
    <cellStyle name="Comma 4 2 2 3 2 2 4" xfId="9251" xr:uid="{2A809A6A-8528-4FFE-B020-EF777C71706C}"/>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027" xr:uid="{4F1E2C6A-B399-4FC3-B4E2-495AB6159AB8}"/>
    <cellStyle name="Comma 4 2 2 3 2 3 2 3" xfId="11809" xr:uid="{597DCAC7-62A7-4D62-B9BD-E331FD744E80}"/>
    <cellStyle name="Comma 4 2 2 3 2 3 3" xfId="5432" xr:uid="{00000000-0005-0000-0000-000006080000}"/>
    <cellStyle name="Comma 4 2 2 3 2 3 3 2" xfId="13882" xr:uid="{16B4814C-B866-439C-BB5E-7EBD9CCB13AE}"/>
    <cellStyle name="Comma 4 2 2 3 2 3 4" xfId="9664" xr:uid="{92622AE8-2D59-4221-876C-92DA2752B1E5}"/>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6440" xr:uid="{6D7A47B0-F8F5-4D5C-B3F8-88E6FA2FED88}"/>
    <cellStyle name="Comma 4 2 2 3 2 4 2 3" xfId="12222" xr:uid="{24521250-D2CC-40EE-8B4F-8B0EF1C0622E}"/>
    <cellStyle name="Comma 4 2 2 3 2 4 3" xfId="5845" xr:uid="{00000000-0005-0000-0000-00000A080000}"/>
    <cellStyle name="Comma 4 2 2 3 2 4 3 2" xfId="14295" xr:uid="{801150D5-E076-45D1-AD19-F27F01548DD9}"/>
    <cellStyle name="Comma 4 2 2 3 2 4 4" xfId="10077" xr:uid="{42DE784E-2602-449E-A7B0-CEF065251B4C}"/>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6853" xr:uid="{80B5082B-7F71-48D8-9500-B0996165E32E}"/>
    <cellStyle name="Comma 4 2 2 3 2 5 2 3" xfId="12635" xr:uid="{75634FA4-32F2-4C57-9EE0-2EA213B2F2EC}"/>
    <cellStyle name="Comma 4 2 2 3 2 5 3" xfId="6258" xr:uid="{00000000-0005-0000-0000-00000E080000}"/>
    <cellStyle name="Comma 4 2 2 3 2 5 3 2" xfId="14708" xr:uid="{A93FF82A-D9D6-42F2-8EBD-706C41D83EA9}"/>
    <cellStyle name="Comma 4 2 2 3 2 5 4" xfId="10490" xr:uid="{3C94C5D4-D9DE-4B09-8910-BF97BC273345}"/>
    <cellStyle name="Comma 4 2 2 3 2 6" xfId="2387" xr:uid="{00000000-0005-0000-0000-00000F080000}"/>
    <cellStyle name="Comma 4 2 2 3 2 6 2" xfId="6671" xr:uid="{00000000-0005-0000-0000-000010080000}"/>
    <cellStyle name="Comma 4 2 2 3 2 6 2 2" xfId="15121" xr:uid="{1B0BE6CE-948D-4582-9233-002E3458EACB}"/>
    <cellStyle name="Comma 4 2 2 3 2 6 3" xfId="10903" xr:uid="{B6F91D9B-741F-4097-BF1E-50FE557DB1DF}"/>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5438" xr:uid="{5EB428C2-D259-42D3-8FBE-BA6114D4D068}"/>
    <cellStyle name="Comma 4 2 2 3 2 8 3" xfId="11220" xr:uid="{EB32EE0F-5F8A-4B0A-A8D5-068D8961979E}"/>
    <cellStyle name="Comma 4 2 2 3 2 9" xfId="4605" xr:uid="{00000000-0005-0000-0000-000014080000}"/>
    <cellStyle name="Comma 4 2 2 3 2 9 2" xfId="13055" xr:uid="{8AF1769B-B36E-4342-8931-E9EB2A2627B0}"/>
    <cellStyle name="Comma 4 2 2 3 3" xfId="670" xr:uid="{00000000-0005-0000-0000-000015080000}"/>
    <cellStyle name="Comma 4 2 2 3 3 2" xfId="2941" xr:uid="{00000000-0005-0000-0000-000016080000}"/>
    <cellStyle name="Comma 4 2 2 3 3 2 2" xfId="7163" xr:uid="{00000000-0005-0000-0000-000017080000}"/>
    <cellStyle name="Comma 4 2 2 3 3 2 2 2" xfId="15613" xr:uid="{65D13A8B-A5F1-4DD0-84B6-4E5602DB925B}"/>
    <cellStyle name="Comma 4 2 2 3 3 2 3" xfId="11395" xr:uid="{D9048175-3ACD-4808-9F39-AE47F174CF4D}"/>
    <cellStyle name="Comma 4 2 2 3 3 3" xfId="5018" xr:uid="{00000000-0005-0000-0000-000018080000}"/>
    <cellStyle name="Comma 4 2 2 3 3 3 2" xfId="13468" xr:uid="{1D6411D6-C130-4128-96C6-5DEF927EDDFE}"/>
    <cellStyle name="Comma 4 2 2 3 3 4" xfId="9250" xr:uid="{5EFC575A-F19B-4C8E-BC78-DD0EF497F3E3}"/>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026" xr:uid="{DABB8757-F76F-460F-B332-E0E9366C3170}"/>
    <cellStyle name="Comma 4 2 2 3 4 2 3" xfId="11808" xr:uid="{5FFCFC40-3E5D-4E0E-AE48-ECD80774BC74}"/>
    <cellStyle name="Comma 4 2 2 3 4 3" xfId="5431" xr:uid="{00000000-0005-0000-0000-00001C080000}"/>
    <cellStyle name="Comma 4 2 2 3 4 3 2" xfId="13881" xr:uid="{8FD799DC-2133-4563-96EE-460656BD5D8D}"/>
    <cellStyle name="Comma 4 2 2 3 4 4" xfId="9663" xr:uid="{C61249FA-F81A-4F52-B078-5E76001E883F}"/>
    <cellStyle name="Comma 4 2 2 3 5" xfId="1537" xr:uid="{00000000-0005-0000-0000-00001D080000}"/>
    <cellStyle name="Comma 4 2 2 3 5 2" xfId="3767" xr:uid="{00000000-0005-0000-0000-00001E080000}"/>
    <cellStyle name="Comma 4 2 2 3 5 2 2" xfId="7989" xr:uid="{00000000-0005-0000-0000-00001F080000}"/>
    <cellStyle name="Comma 4 2 2 3 5 2 2 2" xfId="16439" xr:uid="{6C105FF5-123D-4D89-8EB8-AE14D9E14B55}"/>
    <cellStyle name="Comma 4 2 2 3 5 2 3" xfId="12221" xr:uid="{5679A3B1-DE89-4EC9-9475-F4B9FED17F51}"/>
    <cellStyle name="Comma 4 2 2 3 5 3" xfId="5844" xr:uid="{00000000-0005-0000-0000-000020080000}"/>
    <cellStyle name="Comma 4 2 2 3 5 3 2" xfId="14294" xr:uid="{4636B914-03AA-437F-BACA-D7FC50D858D2}"/>
    <cellStyle name="Comma 4 2 2 3 5 4" xfId="10076" xr:uid="{F20959CD-823C-43B0-907D-9C23B743B443}"/>
    <cellStyle name="Comma 4 2 2 3 6" xfId="1951" xr:uid="{00000000-0005-0000-0000-000021080000}"/>
    <cellStyle name="Comma 4 2 2 3 6 2" xfId="4180" xr:uid="{00000000-0005-0000-0000-000022080000}"/>
    <cellStyle name="Comma 4 2 2 3 6 2 2" xfId="8402" xr:uid="{00000000-0005-0000-0000-000023080000}"/>
    <cellStyle name="Comma 4 2 2 3 6 2 2 2" xfId="16852" xr:uid="{87B98453-4158-4342-95C6-62F5F131737B}"/>
    <cellStyle name="Comma 4 2 2 3 6 2 3" xfId="12634" xr:uid="{FE033C56-9C61-4AF6-BA56-D149CC0BAC61}"/>
    <cellStyle name="Comma 4 2 2 3 6 3" xfId="6257" xr:uid="{00000000-0005-0000-0000-000024080000}"/>
    <cellStyle name="Comma 4 2 2 3 6 3 2" xfId="14707" xr:uid="{13A0C8CD-B57B-4BEE-BCEE-AA2E4EDA1E84}"/>
    <cellStyle name="Comma 4 2 2 3 6 4" xfId="10489" xr:uid="{2DD7E12C-D85C-4AF7-93BF-051805D80D18}"/>
    <cellStyle name="Comma 4 2 2 3 7" xfId="2386" xr:uid="{00000000-0005-0000-0000-000025080000}"/>
    <cellStyle name="Comma 4 2 2 3 7 2" xfId="6670" xr:uid="{00000000-0005-0000-0000-000026080000}"/>
    <cellStyle name="Comma 4 2 2 3 7 2 2" xfId="15120" xr:uid="{3525B312-BF59-444C-B1A2-3AF745560E7D}"/>
    <cellStyle name="Comma 4 2 2 3 7 3" xfId="10902" xr:uid="{E576BEF5-5810-4349-BD61-BE30B8EF95BD}"/>
    <cellStyle name="Comma 4 2 2 3 8" xfId="2377" xr:uid="{00000000-0005-0000-0000-000027080000}"/>
    <cellStyle name="Comma 4 2 2 3 9" xfId="2764" xr:uid="{00000000-0005-0000-0000-000028080000}"/>
    <cellStyle name="Comma 4 2 2 3 9 2" xfId="6987" xr:uid="{00000000-0005-0000-0000-000029080000}"/>
    <cellStyle name="Comma 4 2 2 3 9 2 2" xfId="15437" xr:uid="{34394D5F-79E2-4E72-B58A-66141DF660F4}"/>
    <cellStyle name="Comma 4 2 2 3 9 3" xfId="11219" xr:uid="{1F805EC9-AB12-4D53-9914-675FCA42462A}"/>
    <cellStyle name="Comma 4 2 2 4" xfId="134" xr:uid="{00000000-0005-0000-0000-00002A080000}"/>
    <cellStyle name="Comma 4 2 2 4 10" xfId="8838" xr:uid="{98A9BB81-B695-4055-9022-0AA88B8437CD}"/>
    <cellStyle name="Comma 4 2 2 4 2" xfId="672" xr:uid="{00000000-0005-0000-0000-00002B080000}"/>
    <cellStyle name="Comma 4 2 2 4 2 2" xfId="2943" xr:uid="{00000000-0005-0000-0000-00002C080000}"/>
    <cellStyle name="Comma 4 2 2 4 2 2 2" xfId="7165" xr:uid="{00000000-0005-0000-0000-00002D080000}"/>
    <cellStyle name="Comma 4 2 2 4 2 2 2 2" xfId="15615" xr:uid="{6B307A0A-E161-4682-B440-304A980E3AC7}"/>
    <cellStyle name="Comma 4 2 2 4 2 2 3" xfId="11397" xr:uid="{0A49A6F4-8D60-44FD-91CA-6EEC4BDD5A97}"/>
    <cellStyle name="Comma 4 2 2 4 2 3" xfId="5020" xr:uid="{00000000-0005-0000-0000-00002E080000}"/>
    <cellStyle name="Comma 4 2 2 4 2 3 2" xfId="13470" xr:uid="{8F61D6CD-8AD0-45C2-87B5-1FC461EA7B65}"/>
    <cellStyle name="Comma 4 2 2 4 2 4" xfId="9252" xr:uid="{75088804-EA1D-479D-9828-D505FC494631}"/>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028" xr:uid="{0A7DCC60-A83A-42B9-95F9-542FBA2A7486}"/>
    <cellStyle name="Comma 4 2 2 4 3 2 3" xfId="11810" xr:uid="{E1608C13-B757-4CFE-9DC4-75F6016D67EF}"/>
    <cellStyle name="Comma 4 2 2 4 3 3" xfId="5433" xr:uid="{00000000-0005-0000-0000-000032080000}"/>
    <cellStyle name="Comma 4 2 2 4 3 3 2" xfId="13883" xr:uid="{CB04B892-7545-4936-8A73-B592606E8D2F}"/>
    <cellStyle name="Comma 4 2 2 4 3 4" xfId="9665" xr:uid="{ECAE1A27-55F1-4105-B2F1-0E844EF2950B}"/>
    <cellStyle name="Comma 4 2 2 4 4" xfId="1539" xr:uid="{00000000-0005-0000-0000-000033080000}"/>
    <cellStyle name="Comma 4 2 2 4 4 2" xfId="3769" xr:uid="{00000000-0005-0000-0000-000034080000}"/>
    <cellStyle name="Comma 4 2 2 4 4 2 2" xfId="7991" xr:uid="{00000000-0005-0000-0000-000035080000}"/>
    <cellStyle name="Comma 4 2 2 4 4 2 2 2" xfId="16441" xr:uid="{4267382B-349A-4988-BBC8-8DF2F8D2A871}"/>
    <cellStyle name="Comma 4 2 2 4 4 2 3" xfId="12223" xr:uid="{AEEE7797-85B9-437B-B95D-6EAD71E1E752}"/>
    <cellStyle name="Comma 4 2 2 4 4 3" xfId="5846" xr:uid="{00000000-0005-0000-0000-000036080000}"/>
    <cellStyle name="Comma 4 2 2 4 4 3 2" xfId="14296" xr:uid="{D7D44FD7-29A4-4F02-8EF2-AC2D20256C55}"/>
    <cellStyle name="Comma 4 2 2 4 4 4" xfId="10078" xr:uid="{D7C7668A-9758-4D36-90DC-1C8A385AD280}"/>
    <cellStyle name="Comma 4 2 2 4 5" xfId="1953" xr:uid="{00000000-0005-0000-0000-000037080000}"/>
    <cellStyle name="Comma 4 2 2 4 5 2" xfId="4182" xr:uid="{00000000-0005-0000-0000-000038080000}"/>
    <cellStyle name="Comma 4 2 2 4 5 2 2" xfId="8404" xr:uid="{00000000-0005-0000-0000-000039080000}"/>
    <cellStyle name="Comma 4 2 2 4 5 2 2 2" xfId="16854" xr:uid="{B0FE5BCC-4F30-49A4-A269-D0DD97DA0D38}"/>
    <cellStyle name="Comma 4 2 2 4 5 2 3" xfId="12636" xr:uid="{E2B3A6F0-05B0-4728-9B20-A0CD254F95F5}"/>
    <cellStyle name="Comma 4 2 2 4 5 3" xfId="6259" xr:uid="{00000000-0005-0000-0000-00003A080000}"/>
    <cellStyle name="Comma 4 2 2 4 5 3 2" xfId="14709" xr:uid="{AF92E484-EA09-4AC5-A207-EAE96C3075B0}"/>
    <cellStyle name="Comma 4 2 2 4 5 4" xfId="10491" xr:uid="{0E67C611-817B-474C-B062-12933995B74A}"/>
    <cellStyle name="Comma 4 2 2 4 6" xfId="2388" xr:uid="{00000000-0005-0000-0000-00003B080000}"/>
    <cellStyle name="Comma 4 2 2 4 6 2" xfId="6672" xr:uid="{00000000-0005-0000-0000-00003C080000}"/>
    <cellStyle name="Comma 4 2 2 4 6 2 2" xfId="15122" xr:uid="{E60457E9-F806-4EAC-B9B1-3CC478D2F103}"/>
    <cellStyle name="Comma 4 2 2 4 6 3" xfId="10904" xr:uid="{20CEE253-3076-4CA2-AB41-F4B91EC12B1F}"/>
    <cellStyle name="Comma 4 2 2 4 7" xfId="2375" xr:uid="{00000000-0005-0000-0000-00003D080000}"/>
    <cellStyle name="Comma 4 2 2 4 8" xfId="2766" xr:uid="{00000000-0005-0000-0000-00003E080000}"/>
    <cellStyle name="Comma 4 2 2 4 8 2" xfId="6989" xr:uid="{00000000-0005-0000-0000-00003F080000}"/>
    <cellStyle name="Comma 4 2 2 4 8 2 2" xfId="15439" xr:uid="{54E1C141-A427-4AD9-B435-667E992F182D}"/>
    <cellStyle name="Comma 4 2 2 4 8 3" xfId="11221" xr:uid="{7F82813C-4852-4526-88AF-7A5CA279E4CB}"/>
    <cellStyle name="Comma 4 2 2 4 9" xfId="4606" xr:uid="{00000000-0005-0000-0000-000040080000}"/>
    <cellStyle name="Comma 4 2 2 4 9 2" xfId="13056" xr:uid="{BA39DFE1-A59F-4CAE-A7A7-35501C233D15}"/>
    <cellStyle name="Comma 4 2 2 5" xfId="135" xr:uid="{00000000-0005-0000-0000-000041080000}"/>
    <cellStyle name="Comma 4 2 2 5 10" xfId="8839" xr:uid="{EEA7A83F-EB08-40A4-96A0-B17E41EFA8F6}"/>
    <cellStyle name="Comma 4 2 2 5 2" xfId="673" xr:uid="{00000000-0005-0000-0000-000042080000}"/>
    <cellStyle name="Comma 4 2 2 5 2 2" xfId="2944" xr:uid="{00000000-0005-0000-0000-000043080000}"/>
    <cellStyle name="Comma 4 2 2 5 2 2 2" xfId="7166" xr:uid="{00000000-0005-0000-0000-000044080000}"/>
    <cellStyle name="Comma 4 2 2 5 2 2 2 2" xfId="15616" xr:uid="{58976EC8-9412-4A6B-81D9-378F2EA56EE5}"/>
    <cellStyle name="Comma 4 2 2 5 2 2 3" xfId="11398" xr:uid="{DF0D67BC-74FF-4FC0-AB88-A49C4A04B0AA}"/>
    <cellStyle name="Comma 4 2 2 5 2 3" xfId="5021" xr:uid="{00000000-0005-0000-0000-000045080000}"/>
    <cellStyle name="Comma 4 2 2 5 2 3 2" xfId="13471" xr:uid="{E5E4A2B5-0AE0-4BFF-A95D-63C055A5FB65}"/>
    <cellStyle name="Comma 4 2 2 5 2 4" xfId="9253" xr:uid="{22B5C635-B254-4083-BFF1-A0A64D0526F4}"/>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029" xr:uid="{453914AD-2485-4B7D-A245-106C133715E1}"/>
    <cellStyle name="Comma 4 2 2 5 3 2 3" xfId="11811" xr:uid="{CBCABBAA-27B8-4A97-9FEE-61657918BCFC}"/>
    <cellStyle name="Comma 4 2 2 5 3 3" xfId="5434" xr:uid="{00000000-0005-0000-0000-000049080000}"/>
    <cellStyle name="Comma 4 2 2 5 3 3 2" xfId="13884" xr:uid="{31CBC779-B5F7-418E-94D7-42369198A031}"/>
    <cellStyle name="Comma 4 2 2 5 3 4" xfId="9666" xr:uid="{5A014F76-3A7F-41A4-A7F2-003D5B14DD4C}"/>
    <cellStyle name="Comma 4 2 2 5 4" xfId="1540" xr:uid="{00000000-0005-0000-0000-00004A080000}"/>
    <cellStyle name="Comma 4 2 2 5 4 2" xfId="3770" xr:uid="{00000000-0005-0000-0000-00004B080000}"/>
    <cellStyle name="Comma 4 2 2 5 4 2 2" xfId="7992" xr:uid="{00000000-0005-0000-0000-00004C080000}"/>
    <cellStyle name="Comma 4 2 2 5 4 2 2 2" xfId="16442" xr:uid="{60CC52C6-3E45-4C8A-B31E-6F0F9DCCCC42}"/>
    <cellStyle name="Comma 4 2 2 5 4 2 3" xfId="12224" xr:uid="{6EDBCD7F-5A86-48A0-AD17-0FC9320B359E}"/>
    <cellStyle name="Comma 4 2 2 5 4 3" xfId="5847" xr:uid="{00000000-0005-0000-0000-00004D080000}"/>
    <cellStyle name="Comma 4 2 2 5 4 3 2" xfId="14297" xr:uid="{80E24E18-FD05-4109-8637-97426320F9BE}"/>
    <cellStyle name="Comma 4 2 2 5 4 4" xfId="10079" xr:uid="{3DB19C7D-B6E2-4473-A374-A020880D3FB9}"/>
    <cellStyle name="Comma 4 2 2 5 5" xfId="1954" xr:uid="{00000000-0005-0000-0000-00004E080000}"/>
    <cellStyle name="Comma 4 2 2 5 5 2" xfId="4183" xr:uid="{00000000-0005-0000-0000-00004F080000}"/>
    <cellStyle name="Comma 4 2 2 5 5 2 2" xfId="8405" xr:uid="{00000000-0005-0000-0000-000050080000}"/>
    <cellStyle name="Comma 4 2 2 5 5 2 2 2" xfId="16855" xr:uid="{FA114442-082B-4492-8476-EF721C51C629}"/>
    <cellStyle name="Comma 4 2 2 5 5 2 3" xfId="12637" xr:uid="{20DD1D28-2A9F-48DF-B9F9-CB18A5E0C998}"/>
    <cellStyle name="Comma 4 2 2 5 5 3" xfId="6260" xr:uid="{00000000-0005-0000-0000-000051080000}"/>
    <cellStyle name="Comma 4 2 2 5 5 3 2" xfId="14710" xr:uid="{3B0810B0-D349-4246-9AFC-E4DB79217418}"/>
    <cellStyle name="Comma 4 2 2 5 5 4" xfId="10492" xr:uid="{7FFD961D-A833-4AB1-87B0-62E36E6D2136}"/>
    <cellStyle name="Comma 4 2 2 5 6" xfId="2389" xr:uid="{00000000-0005-0000-0000-000052080000}"/>
    <cellStyle name="Comma 4 2 2 5 6 2" xfId="6673" xr:uid="{00000000-0005-0000-0000-000053080000}"/>
    <cellStyle name="Comma 4 2 2 5 6 2 2" xfId="15123" xr:uid="{758F22C4-AD50-4D4C-B127-FC11A44FDE1A}"/>
    <cellStyle name="Comma 4 2 2 5 6 3" xfId="10905" xr:uid="{C04B24D5-189C-4BFC-96C1-4FFD7070A550}"/>
    <cellStyle name="Comma 4 2 2 5 7" xfId="2374" xr:uid="{00000000-0005-0000-0000-000054080000}"/>
    <cellStyle name="Comma 4 2 2 5 8" xfId="2767" xr:uid="{00000000-0005-0000-0000-000055080000}"/>
    <cellStyle name="Comma 4 2 2 5 8 2" xfId="6990" xr:uid="{00000000-0005-0000-0000-000056080000}"/>
    <cellStyle name="Comma 4 2 2 5 8 2 2" xfId="15440" xr:uid="{0663A531-4DE6-4C2A-9265-F260D916136C}"/>
    <cellStyle name="Comma 4 2 2 5 8 3" xfId="11222" xr:uid="{90841FE0-09F3-434A-AB14-193F95A98BD1}"/>
    <cellStyle name="Comma 4 2 2 5 9" xfId="4607" xr:uid="{00000000-0005-0000-0000-000057080000}"/>
    <cellStyle name="Comma 4 2 2 5 9 2" xfId="13057" xr:uid="{47074256-3D72-48BE-B0AC-BA430D3A41DF}"/>
    <cellStyle name="Comma 4 2 3" xfId="136" xr:uid="{00000000-0005-0000-0000-000058080000}"/>
    <cellStyle name="Comma 4 2 3 10" xfId="2768" xr:uid="{00000000-0005-0000-0000-000059080000}"/>
    <cellStyle name="Comma 4 2 3 10 2" xfId="6991" xr:uid="{00000000-0005-0000-0000-00005A080000}"/>
    <cellStyle name="Comma 4 2 3 10 2 2" xfId="15441" xr:uid="{4A794621-EB20-494A-9CA0-F0A1AE061BE3}"/>
    <cellStyle name="Comma 4 2 3 10 3" xfId="11223" xr:uid="{7557982A-88F1-4F27-9A71-901BA8DA245F}"/>
    <cellStyle name="Comma 4 2 3 11" xfId="4608" xr:uid="{00000000-0005-0000-0000-00005B080000}"/>
    <cellStyle name="Comma 4 2 3 11 2" xfId="13058" xr:uid="{5309A168-C4FF-404A-8EE3-0D947BA82329}"/>
    <cellStyle name="Comma 4 2 3 12" xfId="8840" xr:uid="{EB5EBCEB-843E-4F76-A974-EE8171C6C076}"/>
    <cellStyle name="Comma 4 2 3 2" xfId="137" xr:uid="{00000000-0005-0000-0000-00005C080000}"/>
    <cellStyle name="Comma 4 2 3 2 10" xfId="4609" xr:uid="{00000000-0005-0000-0000-00005D080000}"/>
    <cellStyle name="Comma 4 2 3 2 10 2" xfId="13059" xr:uid="{35A0594F-D8CC-413F-A05E-89FBFF0B7994}"/>
    <cellStyle name="Comma 4 2 3 2 11" xfId="8841" xr:uid="{2DF68C66-B859-468F-81CA-47B200A23E0F}"/>
    <cellStyle name="Comma 4 2 3 2 2" xfId="138" xr:uid="{00000000-0005-0000-0000-00005E080000}"/>
    <cellStyle name="Comma 4 2 3 2 2 10" xfId="8842" xr:uid="{20F158E8-64D5-4EA2-B7DC-EA33465628F6}"/>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5619" xr:uid="{859AD98B-52DF-4919-902E-A78E206B007B}"/>
    <cellStyle name="Comma 4 2 3 2 2 2 2 3" xfId="11401" xr:uid="{C24C95EE-C45C-4E3D-90A4-7985B613C6E7}"/>
    <cellStyle name="Comma 4 2 3 2 2 2 3" xfId="5024" xr:uid="{00000000-0005-0000-0000-000062080000}"/>
    <cellStyle name="Comma 4 2 3 2 2 2 3 2" xfId="13474" xr:uid="{BDB61486-384D-4735-BEE6-CFCF2EF9292A}"/>
    <cellStyle name="Comma 4 2 3 2 2 2 4" xfId="9256" xr:uid="{BE55F170-A328-4E5E-968B-0D332B1EDD20}"/>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032" xr:uid="{83B43E82-030F-481B-A2A9-063BCDF94844}"/>
    <cellStyle name="Comma 4 2 3 2 2 3 2 3" xfId="11814" xr:uid="{3125B333-7492-4A44-BF92-3FC9691A6560}"/>
    <cellStyle name="Comma 4 2 3 2 2 3 3" xfId="5437" xr:uid="{00000000-0005-0000-0000-000066080000}"/>
    <cellStyle name="Comma 4 2 3 2 2 3 3 2" xfId="13887" xr:uid="{2DF69D70-C2BE-4143-87F9-7E2EDDEE0FD8}"/>
    <cellStyle name="Comma 4 2 3 2 2 3 4" xfId="9669" xr:uid="{F286C157-350F-4F83-9B64-2C7D26A15B30}"/>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6445" xr:uid="{D01B6216-6119-4D33-ACF2-A3E3C51DE4D0}"/>
    <cellStyle name="Comma 4 2 3 2 2 4 2 3" xfId="12227" xr:uid="{1D4FE45C-038F-40F7-8B4F-2DD8EF2E5597}"/>
    <cellStyle name="Comma 4 2 3 2 2 4 3" xfId="5850" xr:uid="{00000000-0005-0000-0000-00006A080000}"/>
    <cellStyle name="Comma 4 2 3 2 2 4 3 2" xfId="14300" xr:uid="{2518CFDA-A5A2-4C1E-9A49-EC8B7E360E48}"/>
    <cellStyle name="Comma 4 2 3 2 2 4 4" xfId="10082" xr:uid="{AD88F075-124D-4052-9E48-072C35B24EAE}"/>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6858" xr:uid="{DD702CA5-2B6F-4DA2-9B3B-04BF1D25ABF5}"/>
    <cellStyle name="Comma 4 2 3 2 2 5 2 3" xfId="12640" xr:uid="{597FDB9F-C22A-4B18-9A51-CE9883167D94}"/>
    <cellStyle name="Comma 4 2 3 2 2 5 3" xfId="6263" xr:uid="{00000000-0005-0000-0000-00006E080000}"/>
    <cellStyle name="Comma 4 2 3 2 2 5 3 2" xfId="14713" xr:uid="{E855C806-F7D8-4F2C-9342-3029B249C576}"/>
    <cellStyle name="Comma 4 2 3 2 2 5 4" xfId="10495" xr:uid="{C5DA2E7D-7165-4DE4-A72E-B794D4365DF1}"/>
    <cellStyle name="Comma 4 2 3 2 2 6" xfId="2392" xr:uid="{00000000-0005-0000-0000-00006F080000}"/>
    <cellStyle name="Comma 4 2 3 2 2 6 2" xfId="6676" xr:uid="{00000000-0005-0000-0000-000070080000}"/>
    <cellStyle name="Comma 4 2 3 2 2 6 2 2" xfId="15126" xr:uid="{5E07EAE2-100A-462A-A0E9-19FCFEA6C6F7}"/>
    <cellStyle name="Comma 4 2 3 2 2 6 3" xfId="10908" xr:uid="{0BB65A7A-24F9-40FA-BD29-D79DCF365B25}"/>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5443" xr:uid="{A81365A1-3B60-4476-947A-C4DFBF2FF86F}"/>
    <cellStyle name="Comma 4 2 3 2 2 8 3" xfId="11225" xr:uid="{1964AB3C-07F3-4AB1-882D-5B1272E1921C}"/>
    <cellStyle name="Comma 4 2 3 2 2 9" xfId="4610" xr:uid="{00000000-0005-0000-0000-000074080000}"/>
    <cellStyle name="Comma 4 2 3 2 2 9 2" xfId="13060" xr:uid="{F8C5D44F-10E3-4E74-8B77-AB9C9AE205B8}"/>
    <cellStyle name="Comma 4 2 3 2 3" xfId="675" xr:uid="{00000000-0005-0000-0000-000075080000}"/>
    <cellStyle name="Comma 4 2 3 2 3 2" xfId="2946" xr:uid="{00000000-0005-0000-0000-000076080000}"/>
    <cellStyle name="Comma 4 2 3 2 3 2 2" xfId="7168" xr:uid="{00000000-0005-0000-0000-000077080000}"/>
    <cellStyle name="Comma 4 2 3 2 3 2 2 2" xfId="15618" xr:uid="{FF8DCAE9-959F-466A-97AD-15E850477702}"/>
    <cellStyle name="Comma 4 2 3 2 3 2 3" xfId="11400" xr:uid="{99B77885-AF54-4B87-8C5C-4EDE59B3B602}"/>
    <cellStyle name="Comma 4 2 3 2 3 3" xfId="5023" xr:uid="{00000000-0005-0000-0000-000078080000}"/>
    <cellStyle name="Comma 4 2 3 2 3 3 2" xfId="13473" xr:uid="{8FB2D934-7AD4-4400-8ACB-3267186AC9E4}"/>
    <cellStyle name="Comma 4 2 3 2 3 4" xfId="9255" xr:uid="{F7224018-8062-4010-AE0A-AF0996FFFBEA}"/>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031" xr:uid="{19ED16D9-F255-44DC-AEC7-A4CF51C8DBC2}"/>
    <cellStyle name="Comma 4 2 3 2 4 2 3" xfId="11813" xr:uid="{6D6A5C07-2244-4A0D-9AF5-64CCDC429AD7}"/>
    <cellStyle name="Comma 4 2 3 2 4 3" xfId="5436" xr:uid="{00000000-0005-0000-0000-00007C080000}"/>
    <cellStyle name="Comma 4 2 3 2 4 3 2" xfId="13886" xr:uid="{9261079B-B239-4F86-B807-2BD4C7485F33}"/>
    <cellStyle name="Comma 4 2 3 2 4 4" xfId="9668" xr:uid="{09E4E5A2-AB26-439D-95EC-568FE191C04A}"/>
    <cellStyle name="Comma 4 2 3 2 5" xfId="1542" xr:uid="{00000000-0005-0000-0000-00007D080000}"/>
    <cellStyle name="Comma 4 2 3 2 5 2" xfId="3772" xr:uid="{00000000-0005-0000-0000-00007E080000}"/>
    <cellStyle name="Comma 4 2 3 2 5 2 2" xfId="7994" xr:uid="{00000000-0005-0000-0000-00007F080000}"/>
    <cellStyle name="Comma 4 2 3 2 5 2 2 2" xfId="16444" xr:uid="{99E9D46F-ECD3-40F2-9936-8E127537CA6B}"/>
    <cellStyle name="Comma 4 2 3 2 5 2 3" xfId="12226" xr:uid="{771EE0D7-B458-487E-8C6C-C923AFA59446}"/>
    <cellStyle name="Comma 4 2 3 2 5 3" xfId="5849" xr:uid="{00000000-0005-0000-0000-000080080000}"/>
    <cellStyle name="Comma 4 2 3 2 5 3 2" xfId="14299" xr:uid="{A2C82DE5-365C-4CBB-A57B-6B272CF3D0A8}"/>
    <cellStyle name="Comma 4 2 3 2 5 4" xfId="10081" xr:uid="{08D345A0-46B4-4958-893D-E8E6EA81155C}"/>
    <cellStyle name="Comma 4 2 3 2 6" xfId="1956" xr:uid="{00000000-0005-0000-0000-000081080000}"/>
    <cellStyle name="Comma 4 2 3 2 6 2" xfId="4185" xr:uid="{00000000-0005-0000-0000-000082080000}"/>
    <cellStyle name="Comma 4 2 3 2 6 2 2" xfId="8407" xr:uid="{00000000-0005-0000-0000-000083080000}"/>
    <cellStyle name="Comma 4 2 3 2 6 2 2 2" xfId="16857" xr:uid="{7B1AF75A-0C82-4B65-BA1E-3F1148792D36}"/>
    <cellStyle name="Comma 4 2 3 2 6 2 3" xfId="12639" xr:uid="{7A5E4BE1-5001-4B70-ACE3-65DA6A886B61}"/>
    <cellStyle name="Comma 4 2 3 2 6 3" xfId="6262" xr:uid="{00000000-0005-0000-0000-000084080000}"/>
    <cellStyle name="Comma 4 2 3 2 6 3 2" xfId="14712" xr:uid="{4C6D7999-78C9-435C-A25E-2186631DE2B8}"/>
    <cellStyle name="Comma 4 2 3 2 6 4" xfId="10494" xr:uid="{40C5FB04-DDED-4228-B350-A2616FEAF6BE}"/>
    <cellStyle name="Comma 4 2 3 2 7" xfId="2391" xr:uid="{00000000-0005-0000-0000-000085080000}"/>
    <cellStyle name="Comma 4 2 3 2 7 2" xfId="6675" xr:uid="{00000000-0005-0000-0000-000086080000}"/>
    <cellStyle name="Comma 4 2 3 2 7 2 2" xfId="15125" xr:uid="{BD10F96A-FB54-49E1-852F-E4DA03F5AC5E}"/>
    <cellStyle name="Comma 4 2 3 2 7 3" xfId="10907" xr:uid="{5DAAB7AD-615D-4D28-AFE8-F3BC6BE58C51}"/>
    <cellStyle name="Comma 4 2 3 2 8" xfId="2372" xr:uid="{00000000-0005-0000-0000-000087080000}"/>
    <cellStyle name="Comma 4 2 3 2 9" xfId="2769" xr:uid="{00000000-0005-0000-0000-000088080000}"/>
    <cellStyle name="Comma 4 2 3 2 9 2" xfId="6992" xr:uid="{00000000-0005-0000-0000-000089080000}"/>
    <cellStyle name="Comma 4 2 3 2 9 2 2" xfId="15442" xr:uid="{804AA636-4CA9-4127-B030-6A4BF89BCCFD}"/>
    <cellStyle name="Comma 4 2 3 2 9 3" xfId="11224" xr:uid="{DDF62347-234B-4C7A-8EC7-10DE10A42E48}"/>
    <cellStyle name="Comma 4 2 3 3" xfId="139" xr:uid="{00000000-0005-0000-0000-00008A080000}"/>
    <cellStyle name="Comma 4 2 3 3 10" xfId="8843" xr:uid="{2D2821A8-96C6-4A28-B2D4-95552DB6B5F4}"/>
    <cellStyle name="Comma 4 2 3 3 2" xfId="677" xr:uid="{00000000-0005-0000-0000-00008B080000}"/>
    <cellStyle name="Comma 4 2 3 3 2 2" xfId="2948" xr:uid="{00000000-0005-0000-0000-00008C080000}"/>
    <cellStyle name="Comma 4 2 3 3 2 2 2" xfId="7170" xr:uid="{00000000-0005-0000-0000-00008D080000}"/>
    <cellStyle name="Comma 4 2 3 3 2 2 2 2" xfId="15620" xr:uid="{C3D42C6C-1D01-4792-9091-7D4819CA01D1}"/>
    <cellStyle name="Comma 4 2 3 3 2 2 3" xfId="11402" xr:uid="{4A0943FE-6885-4EAA-BB51-114AD1F6D7FA}"/>
    <cellStyle name="Comma 4 2 3 3 2 3" xfId="5025" xr:uid="{00000000-0005-0000-0000-00008E080000}"/>
    <cellStyle name="Comma 4 2 3 3 2 3 2" xfId="13475" xr:uid="{DAE0D9A2-2067-4CDE-B736-9B836D695036}"/>
    <cellStyle name="Comma 4 2 3 3 2 4" xfId="9257" xr:uid="{453DCED8-4570-42F7-92FB-761D7A2941AD}"/>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033" xr:uid="{E836C597-87B7-4D62-902A-3994C839B040}"/>
    <cellStyle name="Comma 4 2 3 3 3 2 3" xfId="11815" xr:uid="{858FBDA2-11B8-446C-8984-BDDF1E62D3CB}"/>
    <cellStyle name="Comma 4 2 3 3 3 3" xfId="5438" xr:uid="{00000000-0005-0000-0000-000092080000}"/>
    <cellStyle name="Comma 4 2 3 3 3 3 2" xfId="13888" xr:uid="{2A2159A4-0E52-4F19-963F-A26FBF1B3317}"/>
    <cellStyle name="Comma 4 2 3 3 3 4" xfId="9670" xr:uid="{0DD51670-4B26-429F-AD90-3F63B6623A57}"/>
    <cellStyle name="Comma 4 2 3 3 4" xfId="1544" xr:uid="{00000000-0005-0000-0000-000093080000}"/>
    <cellStyle name="Comma 4 2 3 3 4 2" xfId="3774" xr:uid="{00000000-0005-0000-0000-000094080000}"/>
    <cellStyle name="Comma 4 2 3 3 4 2 2" xfId="7996" xr:uid="{00000000-0005-0000-0000-000095080000}"/>
    <cellStyle name="Comma 4 2 3 3 4 2 2 2" xfId="16446" xr:uid="{611549DE-9B71-4666-AF09-B92BFCB03C0B}"/>
    <cellStyle name="Comma 4 2 3 3 4 2 3" xfId="12228" xr:uid="{BF1438E5-24C6-43F6-A249-DA7669574930}"/>
    <cellStyle name="Comma 4 2 3 3 4 3" xfId="5851" xr:uid="{00000000-0005-0000-0000-000096080000}"/>
    <cellStyle name="Comma 4 2 3 3 4 3 2" xfId="14301" xr:uid="{2D34C129-BA88-45EF-98FE-3EFB34F73EAE}"/>
    <cellStyle name="Comma 4 2 3 3 4 4" xfId="10083" xr:uid="{12E34040-244E-48BB-A043-23059B53424A}"/>
    <cellStyle name="Comma 4 2 3 3 5" xfId="1958" xr:uid="{00000000-0005-0000-0000-000097080000}"/>
    <cellStyle name="Comma 4 2 3 3 5 2" xfId="4187" xr:uid="{00000000-0005-0000-0000-000098080000}"/>
    <cellStyle name="Comma 4 2 3 3 5 2 2" xfId="8409" xr:uid="{00000000-0005-0000-0000-000099080000}"/>
    <cellStyle name="Comma 4 2 3 3 5 2 2 2" xfId="16859" xr:uid="{856C6BD4-515A-4550-8BB0-8E846E133F4B}"/>
    <cellStyle name="Comma 4 2 3 3 5 2 3" xfId="12641" xr:uid="{08BBF586-D26E-4A14-ADA6-B1B7F0B56E9B}"/>
    <cellStyle name="Comma 4 2 3 3 5 3" xfId="6264" xr:uid="{00000000-0005-0000-0000-00009A080000}"/>
    <cellStyle name="Comma 4 2 3 3 5 3 2" xfId="14714" xr:uid="{53FE69D4-6D23-46E6-BA70-812404EF77D3}"/>
    <cellStyle name="Comma 4 2 3 3 5 4" xfId="10496" xr:uid="{CA4797AA-C7A9-49D7-B149-EEC75DF61CAB}"/>
    <cellStyle name="Comma 4 2 3 3 6" xfId="2393" xr:uid="{00000000-0005-0000-0000-00009B080000}"/>
    <cellStyle name="Comma 4 2 3 3 6 2" xfId="6677" xr:uid="{00000000-0005-0000-0000-00009C080000}"/>
    <cellStyle name="Comma 4 2 3 3 6 2 2" xfId="15127" xr:uid="{B5B173D0-FF1A-42DE-9560-A144AC30B135}"/>
    <cellStyle name="Comma 4 2 3 3 6 3" xfId="10909" xr:uid="{2AC4FC11-5A50-4C5C-BCDE-A10C7F9518F0}"/>
    <cellStyle name="Comma 4 2 3 3 7" xfId="2370" xr:uid="{00000000-0005-0000-0000-00009D080000}"/>
    <cellStyle name="Comma 4 2 3 3 8" xfId="2771" xr:uid="{00000000-0005-0000-0000-00009E080000}"/>
    <cellStyle name="Comma 4 2 3 3 8 2" xfId="6994" xr:uid="{00000000-0005-0000-0000-00009F080000}"/>
    <cellStyle name="Comma 4 2 3 3 8 2 2" xfId="15444" xr:uid="{3D8C1257-5242-4646-B320-8815C746D60C}"/>
    <cellStyle name="Comma 4 2 3 3 8 3" xfId="11226" xr:uid="{1FBB0CAB-9C0C-4E03-AAE8-31141B0FB5DC}"/>
    <cellStyle name="Comma 4 2 3 3 9" xfId="4611" xr:uid="{00000000-0005-0000-0000-0000A0080000}"/>
    <cellStyle name="Comma 4 2 3 3 9 2" xfId="13061" xr:uid="{689DD936-B4A1-477D-A91E-8FCF66AFDE1C}"/>
    <cellStyle name="Comma 4 2 3 4" xfId="674" xr:uid="{00000000-0005-0000-0000-0000A1080000}"/>
    <cellStyle name="Comma 4 2 3 4 2" xfId="2945" xr:uid="{00000000-0005-0000-0000-0000A2080000}"/>
    <cellStyle name="Comma 4 2 3 4 2 2" xfId="7167" xr:uid="{00000000-0005-0000-0000-0000A3080000}"/>
    <cellStyle name="Comma 4 2 3 4 2 2 2" xfId="15617" xr:uid="{F3F197F7-E646-4AEF-93E8-3FF2E336B8A7}"/>
    <cellStyle name="Comma 4 2 3 4 2 3" xfId="11399" xr:uid="{2CF9C12C-8A5D-43C0-BC75-7925F3847C16}"/>
    <cellStyle name="Comma 4 2 3 4 3" xfId="5022" xr:uid="{00000000-0005-0000-0000-0000A4080000}"/>
    <cellStyle name="Comma 4 2 3 4 3 2" xfId="13472" xr:uid="{09E19DD9-76F2-4C0F-B55D-A3D8AFCAC706}"/>
    <cellStyle name="Comma 4 2 3 4 4" xfId="9254" xr:uid="{F94D8D18-7D06-4359-93DE-7C181B6321A0}"/>
    <cellStyle name="Comma 4 2 3 5" xfId="1127" xr:uid="{00000000-0005-0000-0000-0000A5080000}"/>
    <cellStyle name="Comma 4 2 3 5 2" xfId="3358" xr:uid="{00000000-0005-0000-0000-0000A6080000}"/>
    <cellStyle name="Comma 4 2 3 5 2 2" xfId="7580" xr:uid="{00000000-0005-0000-0000-0000A7080000}"/>
    <cellStyle name="Comma 4 2 3 5 2 2 2" xfId="16030" xr:uid="{51A400E5-4AFA-4544-9DEE-FD3E0A05D8F2}"/>
    <cellStyle name="Comma 4 2 3 5 2 3" xfId="11812" xr:uid="{D1EDADA2-E1AB-4EA9-9EE6-5BEA5387231B}"/>
    <cellStyle name="Comma 4 2 3 5 3" xfId="5435" xr:uid="{00000000-0005-0000-0000-0000A8080000}"/>
    <cellStyle name="Comma 4 2 3 5 3 2" xfId="13885" xr:uid="{6F20D526-A90C-414E-BA4F-70ADFEDA93A1}"/>
    <cellStyle name="Comma 4 2 3 5 4" xfId="9667" xr:uid="{CDCAD588-D241-4072-8147-1DAB4DD7C9AD}"/>
    <cellStyle name="Comma 4 2 3 6" xfId="1541" xr:uid="{00000000-0005-0000-0000-0000A9080000}"/>
    <cellStyle name="Comma 4 2 3 6 2" xfId="3771" xr:uid="{00000000-0005-0000-0000-0000AA080000}"/>
    <cellStyle name="Comma 4 2 3 6 2 2" xfId="7993" xr:uid="{00000000-0005-0000-0000-0000AB080000}"/>
    <cellStyle name="Comma 4 2 3 6 2 2 2" xfId="16443" xr:uid="{C653EBF3-A8AE-4A84-93C4-B538CBB49E6A}"/>
    <cellStyle name="Comma 4 2 3 6 2 3" xfId="12225" xr:uid="{9E54C5EB-5CFF-4F6D-94A6-38EF4F900308}"/>
    <cellStyle name="Comma 4 2 3 6 3" xfId="5848" xr:uid="{00000000-0005-0000-0000-0000AC080000}"/>
    <cellStyle name="Comma 4 2 3 6 3 2" xfId="14298" xr:uid="{387E52F4-A8D7-402B-B4C0-0EB138D3989C}"/>
    <cellStyle name="Comma 4 2 3 6 4" xfId="10080" xr:uid="{8FB759D2-B9A1-4F88-A715-0C06E1E40CCF}"/>
    <cellStyle name="Comma 4 2 3 7" xfId="1955" xr:uid="{00000000-0005-0000-0000-0000AD080000}"/>
    <cellStyle name="Comma 4 2 3 7 2" xfId="4184" xr:uid="{00000000-0005-0000-0000-0000AE080000}"/>
    <cellStyle name="Comma 4 2 3 7 2 2" xfId="8406" xr:uid="{00000000-0005-0000-0000-0000AF080000}"/>
    <cellStyle name="Comma 4 2 3 7 2 2 2" xfId="16856" xr:uid="{0F44C7D3-74A0-4E63-ADAC-F3C0F33ADBED}"/>
    <cellStyle name="Comma 4 2 3 7 2 3" xfId="12638" xr:uid="{CFF742EF-9B0E-4BFC-8204-A868E4F12935}"/>
    <cellStyle name="Comma 4 2 3 7 3" xfId="6261" xr:uid="{00000000-0005-0000-0000-0000B0080000}"/>
    <cellStyle name="Comma 4 2 3 7 3 2" xfId="14711" xr:uid="{A4EC0D83-AFFF-43CD-89D2-863C7C1C9B84}"/>
    <cellStyle name="Comma 4 2 3 7 4" xfId="10493" xr:uid="{8E713082-EBE5-4B4C-AE5B-EE476359F20D}"/>
    <cellStyle name="Comma 4 2 3 8" xfId="2390" xr:uid="{00000000-0005-0000-0000-0000B1080000}"/>
    <cellStyle name="Comma 4 2 3 8 2" xfId="6674" xr:uid="{00000000-0005-0000-0000-0000B2080000}"/>
    <cellStyle name="Comma 4 2 3 8 2 2" xfId="15124" xr:uid="{44A42B34-6762-4BB8-AA8C-6B819493572A}"/>
    <cellStyle name="Comma 4 2 3 8 3" xfId="10906" xr:uid="{0C55C1DB-A082-4624-931C-34F950872600}"/>
    <cellStyle name="Comma 4 2 3 9" xfId="2373" xr:uid="{00000000-0005-0000-0000-0000B3080000}"/>
    <cellStyle name="Comma 4 2 4" xfId="140" xr:uid="{00000000-0005-0000-0000-0000B4080000}"/>
    <cellStyle name="Comma 4 2 4 10" xfId="4612" xr:uid="{00000000-0005-0000-0000-0000B5080000}"/>
    <cellStyle name="Comma 4 2 4 10 2" xfId="13062" xr:uid="{CB797BC0-226C-4492-9A33-08B904E11A6A}"/>
    <cellStyle name="Comma 4 2 4 11" xfId="8844" xr:uid="{13D004F0-10A8-4165-A634-B15E749D443E}"/>
    <cellStyle name="Comma 4 2 4 2" xfId="141" xr:uid="{00000000-0005-0000-0000-0000B6080000}"/>
    <cellStyle name="Comma 4 2 4 2 10" xfId="8845" xr:uid="{EEBC3CBA-B864-4CAB-AFE7-E399BBC5EEDB}"/>
    <cellStyle name="Comma 4 2 4 2 2" xfId="679" xr:uid="{00000000-0005-0000-0000-0000B7080000}"/>
    <cellStyle name="Comma 4 2 4 2 2 2" xfId="2950" xr:uid="{00000000-0005-0000-0000-0000B8080000}"/>
    <cellStyle name="Comma 4 2 4 2 2 2 2" xfId="7172" xr:uid="{00000000-0005-0000-0000-0000B9080000}"/>
    <cellStyle name="Comma 4 2 4 2 2 2 2 2" xfId="15622" xr:uid="{EA8CD61C-CD2A-4069-AA04-9408C7E87945}"/>
    <cellStyle name="Comma 4 2 4 2 2 2 3" xfId="11404" xr:uid="{B7D5BCE5-7755-4E74-96AE-D4FA6ED59508}"/>
    <cellStyle name="Comma 4 2 4 2 2 3" xfId="5027" xr:uid="{00000000-0005-0000-0000-0000BA080000}"/>
    <cellStyle name="Comma 4 2 4 2 2 3 2" xfId="13477" xr:uid="{31F97C43-838B-47C9-A9C9-FB9620775F2E}"/>
    <cellStyle name="Comma 4 2 4 2 2 4" xfId="9259" xr:uid="{9D3AA321-1E9A-4203-897C-B3284F7E15D0}"/>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035" xr:uid="{C6C025F9-8AF0-489B-B53C-A0D087C0D7A9}"/>
    <cellStyle name="Comma 4 2 4 2 3 2 3" xfId="11817" xr:uid="{23A383DC-E271-4454-AACC-30994E46334D}"/>
    <cellStyle name="Comma 4 2 4 2 3 3" xfId="5440" xr:uid="{00000000-0005-0000-0000-0000BE080000}"/>
    <cellStyle name="Comma 4 2 4 2 3 3 2" xfId="13890" xr:uid="{73263404-A537-44A4-99EF-BF57D10B4C0B}"/>
    <cellStyle name="Comma 4 2 4 2 3 4" xfId="9672" xr:uid="{E50E8985-D2B7-4FA7-A0A2-C1A26B71D5A9}"/>
    <cellStyle name="Comma 4 2 4 2 4" xfId="1546" xr:uid="{00000000-0005-0000-0000-0000BF080000}"/>
    <cellStyle name="Comma 4 2 4 2 4 2" xfId="3776" xr:uid="{00000000-0005-0000-0000-0000C0080000}"/>
    <cellStyle name="Comma 4 2 4 2 4 2 2" xfId="7998" xr:uid="{00000000-0005-0000-0000-0000C1080000}"/>
    <cellStyle name="Comma 4 2 4 2 4 2 2 2" xfId="16448" xr:uid="{2606E3D8-D04A-4DF8-A855-D3E101AA8058}"/>
    <cellStyle name="Comma 4 2 4 2 4 2 3" xfId="12230" xr:uid="{DC80F5B3-97AA-47FE-842F-3A3797910996}"/>
    <cellStyle name="Comma 4 2 4 2 4 3" xfId="5853" xr:uid="{00000000-0005-0000-0000-0000C2080000}"/>
    <cellStyle name="Comma 4 2 4 2 4 3 2" xfId="14303" xr:uid="{240527E9-4655-40D0-8F0D-44C7DDCAD5E8}"/>
    <cellStyle name="Comma 4 2 4 2 4 4" xfId="10085" xr:uid="{D0364E01-10E1-442D-A9DB-5403D33E20EE}"/>
    <cellStyle name="Comma 4 2 4 2 5" xfId="1960" xr:uid="{00000000-0005-0000-0000-0000C3080000}"/>
    <cellStyle name="Comma 4 2 4 2 5 2" xfId="4189" xr:uid="{00000000-0005-0000-0000-0000C4080000}"/>
    <cellStyle name="Comma 4 2 4 2 5 2 2" xfId="8411" xr:uid="{00000000-0005-0000-0000-0000C5080000}"/>
    <cellStyle name="Comma 4 2 4 2 5 2 2 2" xfId="16861" xr:uid="{D0252215-BBE4-4EEE-8979-DEA27E716C3A}"/>
    <cellStyle name="Comma 4 2 4 2 5 2 3" xfId="12643" xr:uid="{4A642594-6413-4D1A-B470-9BAF1539908E}"/>
    <cellStyle name="Comma 4 2 4 2 5 3" xfId="6266" xr:uid="{00000000-0005-0000-0000-0000C6080000}"/>
    <cellStyle name="Comma 4 2 4 2 5 3 2" xfId="14716" xr:uid="{36298FA9-1DE9-450C-8DC8-56818E78A7AC}"/>
    <cellStyle name="Comma 4 2 4 2 5 4" xfId="10498" xr:uid="{6EA17C66-ED7E-4FAE-825A-A0F55304A4F2}"/>
    <cellStyle name="Comma 4 2 4 2 6" xfId="2395" xr:uid="{00000000-0005-0000-0000-0000C7080000}"/>
    <cellStyle name="Comma 4 2 4 2 6 2" xfId="6679" xr:uid="{00000000-0005-0000-0000-0000C8080000}"/>
    <cellStyle name="Comma 4 2 4 2 6 2 2" xfId="15129" xr:uid="{22E24069-58FC-48A2-A0C9-E3AB53AEBEF4}"/>
    <cellStyle name="Comma 4 2 4 2 6 3" xfId="10911" xr:uid="{107DD7F2-D666-48E1-823D-5C1060FA9E71}"/>
    <cellStyle name="Comma 4 2 4 2 7" xfId="2368" xr:uid="{00000000-0005-0000-0000-0000C9080000}"/>
    <cellStyle name="Comma 4 2 4 2 8" xfId="2773" xr:uid="{00000000-0005-0000-0000-0000CA080000}"/>
    <cellStyle name="Comma 4 2 4 2 8 2" xfId="6996" xr:uid="{00000000-0005-0000-0000-0000CB080000}"/>
    <cellStyle name="Comma 4 2 4 2 8 2 2" xfId="15446" xr:uid="{7516E62F-2AB5-4D84-8F22-498F5323B482}"/>
    <cellStyle name="Comma 4 2 4 2 8 3" xfId="11228" xr:uid="{A33660F6-7559-4C9F-A007-3E2833A24711}"/>
    <cellStyle name="Comma 4 2 4 2 9" xfId="4613" xr:uid="{00000000-0005-0000-0000-0000CC080000}"/>
    <cellStyle name="Comma 4 2 4 2 9 2" xfId="13063" xr:uid="{7EC71707-B1B8-472E-9CA6-942E01E6E543}"/>
    <cellStyle name="Comma 4 2 4 3" xfId="678" xr:uid="{00000000-0005-0000-0000-0000CD080000}"/>
    <cellStyle name="Comma 4 2 4 3 2" xfId="2949" xr:uid="{00000000-0005-0000-0000-0000CE080000}"/>
    <cellStyle name="Comma 4 2 4 3 2 2" xfId="7171" xr:uid="{00000000-0005-0000-0000-0000CF080000}"/>
    <cellStyle name="Comma 4 2 4 3 2 2 2" xfId="15621" xr:uid="{7D46444D-1516-40A7-8635-981C39A0437C}"/>
    <cellStyle name="Comma 4 2 4 3 2 3" xfId="11403" xr:uid="{009B28C9-BDAE-4474-A947-DC44F356EEF8}"/>
    <cellStyle name="Comma 4 2 4 3 3" xfId="5026" xr:uid="{00000000-0005-0000-0000-0000D0080000}"/>
    <cellStyle name="Comma 4 2 4 3 3 2" xfId="13476" xr:uid="{18925AFD-5760-42E9-8A62-7A76895F3229}"/>
    <cellStyle name="Comma 4 2 4 3 4" xfId="9258" xr:uid="{C03C4675-2D2F-460B-802D-9C99F6C52B6B}"/>
    <cellStyle name="Comma 4 2 4 4" xfId="1131" xr:uid="{00000000-0005-0000-0000-0000D1080000}"/>
    <cellStyle name="Comma 4 2 4 4 2" xfId="3362" xr:uid="{00000000-0005-0000-0000-0000D2080000}"/>
    <cellStyle name="Comma 4 2 4 4 2 2" xfId="7584" xr:uid="{00000000-0005-0000-0000-0000D3080000}"/>
    <cellStyle name="Comma 4 2 4 4 2 2 2" xfId="16034" xr:uid="{B19D3121-5D4E-48EE-B478-024DCCACEB34}"/>
    <cellStyle name="Comma 4 2 4 4 2 3" xfId="11816" xr:uid="{3CA43F6E-16BB-48B2-9885-1176A3A14FD9}"/>
    <cellStyle name="Comma 4 2 4 4 3" xfId="5439" xr:uid="{00000000-0005-0000-0000-0000D4080000}"/>
    <cellStyle name="Comma 4 2 4 4 3 2" xfId="13889" xr:uid="{8FC9AF57-882D-4F04-8D56-16A77E3350E0}"/>
    <cellStyle name="Comma 4 2 4 4 4" xfId="9671" xr:uid="{506F2B67-5C4C-49A4-BCBC-9B868671AC58}"/>
    <cellStyle name="Comma 4 2 4 5" xfId="1545" xr:uid="{00000000-0005-0000-0000-0000D5080000}"/>
    <cellStyle name="Comma 4 2 4 5 2" xfId="3775" xr:uid="{00000000-0005-0000-0000-0000D6080000}"/>
    <cellStyle name="Comma 4 2 4 5 2 2" xfId="7997" xr:uid="{00000000-0005-0000-0000-0000D7080000}"/>
    <cellStyle name="Comma 4 2 4 5 2 2 2" xfId="16447" xr:uid="{2D1E162C-F7C4-4E67-9C52-9B71DC03D9FC}"/>
    <cellStyle name="Comma 4 2 4 5 2 3" xfId="12229" xr:uid="{69C8BD79-893D-47DD-ADB7-FF54ACA481E7}"/>
    <cellStyle name="Comma 4 2 4 5 3" xfId="5852" xr:uid="{00000000-0005-0000-0000-0000D8080000}"/>
    <cellStyle name="Comma 4 2 4 5 3 2" xfId="14302" xr:uid="{D9524CD5-20E4-41BF-96D2-AB48B91AB610}"/>
    <cellStyle name="Comma 4 2 4 5 4" xfId="10084" xr:uid="{29AD1554-3F79-4F73-8934-AE5C41C764D3}"/>
    <cellStyle name="Comma 4 2 4 6" xfId="1959" xr:uid="{00000000-0005-0000-0000-0000D9080000}"/>
    <cellStyle name="Comma 4 2 4 6 2" xfId="4188" xr:uid="{00000000-0005-0000-0000-0000DA080000}"/>
    <cellStyle name="Comma 4 2 4 6 2 2" xfId="8410" xr:uid="{00000000-0005-0000-0000-0000DB080000}"/>
    <cellStyle name="Comma 4 2 4 6 2 2 2" xfId="16860" xr:uid="{0431D44A-92F9-441D-91A5-58DA58DF3163}"/>
    <cellStyle name="Comma 4 2 4 6 2 3" xfId="12642" xr:uid="{69F3ABDF-A207-40DE-9D20-2933C18719C4}"/>
    <cellStyle name="Comma 4 2 4 6 3" xfId="6265" xr:uid="{00000000-0005-0000-0000-0000DC080000}"/>
    <cellStyle name="Comma 4 2 4 6 3 2" xfId="14715" xr:uid="{2A1B7D34-C65E-4A56-BD80-49D0AEDCB4F9}"/>
    <cellStyle name="Comma 4 2 4 6 4" xfId="10497" xr:uid="{8562A231-3502-4DF4-AB56-CF6B7D8ECD84}"/>
    <cellStyle name="Comma 4 2 4 7" xfId="2394" xr:uid="{00000000-0005-0000-0000-0000DD080000}"/>
    <cellStyle name="Comma 4 2 4 7 2" xfId="6678" xr:uid="{00000000-0005-0000-0000-0000DE080000}"/>
    <cellStyle name="Comma 4 2 4 7 2 2" xfId="15128" xr:uid="{F5C27DA6-FE1E-45C9-AE9D-2F8EF00FB87B}"/>
    <cellStyle name="Comma 4 2 4 7 3" xfId="10910" xr:uid="{AE141DFA-1953-4CE4-A7DB-E275D16F1FFC}"/>
    <cellStyle name="Comma 4 2 4 8" xfId="2369" xr:uid="{00000000-0005-0000-0000-0000DF080000}"/>
    <cellStyle name="Comma 4 2 4 9" xfId="2772" xr:uid="{00000000-0005-0000-0000-0000E0080000}"/>
    <cellStyle name="Comma 4 2 4 9 2" xfId="6995" xr:uid="{00000000-0005-0000-0000-0000E1080000}"/>
    <cellStyle name="Comma 4 2 4 9 2 2" xfId="15445" xr:uid="{96EBE565-6413-4CF0-A5B3-68719170CA40}"/>
    <cellStyle name="Comma 4 2 4 9 3" xfId="11227" xr:uid="{D2ADDED9-6414-4B11-B46D-C60921803CE0}"/>
    <cellStyle name="Comma 4 2 5" xfId="142" xr:uid="{00000000-0005-0000-0000-0000E2080000}"/>
    <cellStyle name="Comma 4 2 5 10" xfId="8846" xr:uid="{E6B1542A-59FB-4A34-B799-3633E81F56C1}"/>
    <cellStyle name="Comma 4 2 5 2" xfId="680" xr:uid="{00000000-0005-0000-0000-0000E3080000}"/>
    <cellStyle name="Comma 4 2 5 2 2" xfId="2951" xr:uid="{00000000-0005-0000-0000-0000E4080000}"/>
    <cellStyle name="Comma 4 2 5 2 2 2" xfId="7173" xr:uid="{00000000-0005-0000-0000-0000E5080000}"/>
    <cellStyle name="Comma 4 2 5 2 2 2 2" xfId="15623" xr:uid="{CC48DCA8-0EB4-42DA-BC9C-E1C6563241C6}"/>
    <cellStyle name="Comma 4 2 5 2 2 3" xfId="11405" xr:uid="{6326AB8E-46CB-4267-8311-4F708D12FE08}"/>
    <cellStyle name="Comma 4 2 5 2 3" xfId="5028" xr:uid="{00000000-0005-0000-0000-0000E6080000}"/>
    <cellStyle name="Comma 4 2 5 2 3 2" xfId="13478" xr:uid="{E01A94EB-08D0-497F-B9FC-C2FC934B67A6}"/>
    <cellStyle name="Comma 4 2 5 2 4" xfId="9260" xr:uid="{AEB3C876-1E39-4601-9819-3A73605ABCB4}"/>
    <cellStyle name="Comma 4 2 5 3" xfId="1133" xr:uid="{00000000-0005-0000-0000-0000E7080000}"/>
    <cellStyle name="Comma 4 2 5 3 2" xfId="3364" xr:uid="{00000000-0005-0000-0000-0000E8080000}"/>
    <cellStyle name="Comma 4 2 5 3 2 2" xfId="7586" xr:uid="{00000000-0005-0000-0000-0000E9080000}"/>
    <cellStyle name="Comma 4 2 5 3 2 2 2" xfId="16036" xr:uid="{EBBA542F-E180-4E57-8778-01C8176DE6BC}"/>
    <cellStyle name="Comma 4 2 5 3 2 3" xfId="11818" xr:uid="{CC2D4F0F-F2D6-4E26-BF6C-3CB717F32B04}"/>
    <cellStyle name="Comma 4 2 5 3 3" xfId="5441" xr:uid="{00000000-0005-0000-0000-0000EA080000}"/>
    <cellStyle name="Comma 4 2 5 3 3 2" xfId="13891" xr:uid="{ADBE8862-59CF-4643-AF45-C65DB8E3DEA4}"/>
    <cellStyle name="Comma 4 2 5 3 4" xfId="9673" xr:uid="{D5C37480-7F9B-49A1-A912-EC77394CDAAB}"/>
    <cellStyle name="Comma 4 2 5 4" xfId="1547" xr:uid="{00000000-0005-0000-0000-0000EB080000}"/>
    <cellStyle name="Comma 4 2 5 4 2" xfId="3777" xr:uid="{00000000-0005-0000-0000-0000EC080000}"/>
    <cellStyle name="Comma 4 2 5 4 2 2" xfId="7999" xr:uid="{00000000-0005-0000-0000-0000ED080000}"/>
    <cellStyle name="Comma 4 2 5 4 2 2 2" xfId="16449" xr:uid="{B607BF39-9E9B-4E00-B9B0-DF499E25EB66}"/>
    <cellStyle name="Comma 4 2 5 4 2 3" xfId="12231" xr:uid="{A11F73DF-7691-48E1-899B-9CC94FD9DAA3}"/>
    <cellStyle name="Comma 4 2 5 4 3" xfId="5854" xr:uid="{00000000-0005-0000-0000-0000EE080000}"/>
    <cellStyle name="Comma 4 2 5 4 3 2" xfId="14304" xr:uid="{3027BA70-67CA-4293-B2B4-6A026A752E19}"/>
    <cellStyle name="Comma 4 2 5 4 4" xfId="10086" xr:uid="{72C396B0-2C40-4A61-90D1-58CB82FBE424}"/>
    <cellStyle name="Comma 4 2 5 5" xfId="1961" xr:uid="{00000000-0005-0000-0000-0000EF080000}"/>
    <cellStyle name="Comma 4 2 5 5 2" xfId="4190" xr:uid="{00000000-0005-0000-0000-0000F0080000}"/>
    <cellStyle name="Comma 4 2 5 5 2 2" xfId="8412" xr:uid="{00000000-0005-0000-0000-0000F1080000}"/>
    <cellStyle name="Comma 4 2 5 5 2 2 2" xfId="16862" xr:uid="{D25B8BEC-E877-449C-B52B-338A0AC508FC}"/>
    <cellStyle name="Comma 4 2 5 5 2 3" xfId="12644" xr:uid="{004E0CCA-8C69-477F-828A-0DF7E7A916DE}"/>
    <cellStyle name="Comma 4 2 5 5 3" xfId="6267" xr:uid="{00000000-0005-0000-0000-0000F2080000}"/>
    <cellStyle name="Comma 4 2 5 5 3 2" xfId="14717" xr:uid="{4BF3AA3F-FE5D-4BC1-ABD0-FF853128F16A}"/>
    <cellStyle name="Comma 4 2 5 5 4" xfId="10499" xr:uid="{2D77FF54-FAB0-4DAA-8F95-D06FCF843660}"/>
    <cellStyle name="Comma 4 2 5 6" xfId="2396" xr:uid="{00000000-0005-0000-0000-0000F3080000}"/>
    <cellStyle name="Comma 4 2 5 6 2" xfId="6680" xr:uid="{00000000-0005-0000-0000-0000F4080000}"/>
    <cellStyle name="Comma 4 2 5 6 2 2" xfId="15130" xr:uid="{D639E3A6-85C9-4113-B40B-F07894E17C95}"/>
    <cellStyle name="Comma 4 2 5 6 3" xfId="10912" xr:uid="{F783760D-B6CB-42A2-BCF9-0CC705104356}"/>
    <cellStyle name="Comma 4 2 5 7" xfId="2367" xr:uid="{00000000-0005-0000-0000-0000F5080000}"/>
    <cellStyle name="Comma 4 2 5 8" xfId="2774" xr:uid="{00000000-0005-0000-0000-0000F6080000}"/>
    <cellStyle name="Comma 4 2 5 8 2" xfId="6997" xr:uid="{00000000-0005-0000-0000-0000F7080000}"/>
    <cellStyle name="Comma 4 2 5 8 2 2" xfId="15447" xr:uid="{C5D300FB-22EA-4909-8ED3-FB4E31DFF80B}"/>
    <cellStyle name="Comma 4 2 5 8 3" xfId="11229" xr:uid="{CC17B349-DD49-4DE2-A9DC-FFEFA304FFC3}"/>
    <cellStyle name="Comma 4 2 5 9" xfId="4614" xr:uid="{00000000-0005-0000-0000-0000F8080000}"/>
    <cellStyle name="Comma 4 2 5 9 2" xfId="13064" xr:uid="{D34D0018-E63B-4624-848E-26EA45CFF305}"/>
    <cellStyle name="Comma 4 2 6" xfId="143" xr:uid="{00000000-0005-0000-0000-0000F9080000}"/>
    <cellStyle name="Comma 4 2 6 10" xfId="8847" xr:uid="{35B8E12A-9DBF-471E-95A0-288271B08590}"/>
    <cellStyle name="Comma 4 2 6 2" xfId="681" xr:uid="{00000000-0005-0000-0000-0000FA080000}"/>
    <cellStyle name="Comma 4 2 6 2 2" xfId="2952" xr:uid="{00000000-0005-0000-0000-0000FB080000}"/>
    <cellStyle name="Comma 4 2 6 2 2 2" xfId="7174" xr:uid="{00000000-0005-0000-0000-0000FC080000}"/>
    <cellStyle name="Comma 4 2 6 2 2 2 2" xfId="15624" xr:uid="{E10EF122-30DE-4C0C-9ED2-3AAC32F3643D}"/>
    <cellStyle name="Comma 4 2 6 2 2 3" xfId="11406" xr:uid="{DCC7BC7A-A759-4F93-8177-6BC65DC788BD}"/>
    <cellStyle name="Comma 4 2 6 2 3" xfId="5029" xr:uid="{00000000-0005-0000-0000-0000FD080000}"/>
    <cellStyle name="Comma 4 2 6 2 3 2" xfId="13479" xr:uid="{0FBFF2DE-649B-4B91-9027-1E11796071A0}"/>
    <cellStyle name="Comma 4 2 6 2 4" xfId="9261" xr:uid="{604B963F-3E13-4603-9C0C-019D0BBB3A62}"/>
    <cellStyle name="Comma 4 2 6 3" xfId="1134" xr:uid="{00000000-0005-0000-0000-0000FE080000}"/>
    <cellStyle name="Comma 4 2 6 3 2" xfId="3365" xr:uid="{00000000-0005-0000-0000-0000FF080000}"/>
    <cellStyle name="Comma 4 2 6 3 2 2" xfId="7587" xr:uid="{00000000-0005-0000-0000-000000090000}"/>
    <cellStyle name="Comma 4 2 6 3 2 2 2" xfId="16037" xr:uid="{9AAF864D-EA8D-443A-91B2-EAD4BCE93543}"/>
    <cellStyle name="Comma 4 2 6 3 2 3" xfId="11819" xr:uid="{A965FFA7-22F1-4642-89AF-6DFD0DC2314B}"/>
    <cellStyle name="Comma 4 2 6 3 3" xfId="5442" xr:uid="{00000000-0005-0000-0000-000001090000}"/>
    <cellStyle name="Comma 4 2 6 3 3 2" xfId="13892" xr:uid="{752136D2-8957-49C8-A9FE-0D3E38BC1D06}"/>
    <cellStyle name="Comma 4 2 6 3 4" xfId="9674" xr:uid="{8A8ABA66-EA25-418C-A9F6-900743049B2A}"/>
    <cellStyle name="Comma 4 2 6 4" xfId="1548" xr:uid="{00000000-0005-0000-0000-000002090000}"/>
    <cellStyle name="Comma 4 2 6 4 2" xfId="3778" xr:uid="{00000000-0005-0000-0000-000003090000}"/>
    <cellStyle name="Comma 4 2 6 4 2 2" xfId="8000" xr:uid="{00000000-0005-0000-0000-000004090000}"/>
    <cellStyle name="Comma 4 2 6 4 2 2 2" xfId="16450" xr:uid="{273058FC-23B8-41EE-A715-3F5B149F9C66}"/>
    <cellStyle name="Comma 4 2 6 4 2 3" xfId="12232" xr:uid="{AD187C39-935C-435D-816D-10A23F7629B1}"/>
    <cellStyle name="Comma 4 2 6 4 3" xfId="5855" xr:uid="{00000000-0005-0000-0000-000005090000}"/>
    <cellStyle name="Comma 4 2 6 4 3 2" xfId="14305" xr:uid="{014B9D28-C391-444C-8FBF-E63C0CB95946}"/>
    <cellStyle name="Comma 4 2 6 4 4" xfId="10087" xr:uid="{B9D9FEE8-A113-4F8B-A2B0-924DEEA4CBA9}"/>
    <cellStyle name="Comma 4 2 6 5" xfId="1962" xr:uid="{00000000-0005-0000-0000-000006090000}"/>
    <cellStyle name="Comma 4 2 6 5 2" xfId="4191" xr:uid="{00000000-0005-0000-0000-000007090000}"/>
    <cellStyle name="Comma 4 2 6 5 2 2" xfId="8413" xr:uid="{00000000-0005-0000-0000-000008090000}"/>
    <cellStyle name="Comma 4 2 6 5 2 2 2" xfId="16863" xr:uid="{87692106-5115-42BB-BFEC-EBB7A50BC46B}"/>
    <cellStyle name="Comma 4 2 6 5 2 3" xfId="12645" xr:uid="{5C8331B3-2040-441A-A65F-91CC2F41D91F}"/>
    <cellStyle name="Comma 4 2 6 5 3" xfId="6268" xr:uid="{00000000-0005-0000-0000-000009090000}"/>
    <cellStyle name="Comma 4 2 6 5 3 2" xfId="14718" xr:uid="{8D4A3DA5-2DDB-44BC-8B2C-8963F4612C35}"/>
    <cellStyle name="Comma 4 2 6 5 4" xfId="10500" xr:uid="{14266A58-6157-4865-B61E-015D9005F0A4}"/>
    <cellStyle name="Comma 4 2 6 6" xfId="2397" xr:uid="{00000000-0005-0000-0000-00000A090000}"/>
    <cellStyle name="Comma 4 2 6 6 2" xfId="6681" xr:uid="{00000000-0005-0000-0000-00000B090000}"/>
    <cellStyle name="Comma 4 2 6 6 2 2" xfId="15131" xr:uid="{30CDC224-7BF2-4D0C-A13D-4F949B7C7A73}"/>
    <cellStyle name="Comma 4 2 6 6 3" xfId="10913" xr:uid="{9B56CBD1-2AE9-4B38-B281-79EB7A906CBF}"/>
    <cellStyle name="Comma 4 2 6 7" xfId="2366" xr:uid="{00000000-0005-0000-0000-00000C090000}"/>
    <cellStyle name="Comma 4 2 6 8" xfId="2775" xr:uid="{00000000-0005-0000-0000-00000D090000}"/>
    <cellStyle name="Comma 4 2 6 8 2" xfId="6998" xr:uid="{00000000-0005-0000-0000-00000E090000}"/>
    <cellStyle name="Comma 4 2 6 8 2 2" xfId="15448" xr:uid="{B537378C-9CA6-41F9-A240-8F338456AC95}"/>
    <cellStyle name="Comma 4 2 6 8 3" xfId="11230" xr:uid="{66FFFBFA-DD85-44D7-86CD-F9CB06A41731}"/>
    <cellStyle name="Comma 4 2 6 9" xfId="4615" xr:uid="{00000000-0005-0000-0000-00000F090000}"/>
    <cellStyle name="Comma 4 2 6 9 2" xfId="13065" xr:uid="{558A8C41-0FE2-4B32-906E-361A3730C6D2}"/>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5449" xr:uid="{2AACC961-6EF5-4C59-93C3-A71301CA9E26}"/>
    <cellStyle name="Comma 4 3 2 10 3" xfId="11231" xr:uid="{A902D922-0E8C-4462-BDB5-BE33DC8FAB34}"/>
    <cellStyle name="Comma 4 3 2 11" xfId="4616" xr:uid="{00000000-0005-0000-0000-000014090000}"/>
    <cellStyle name="Comma 4 3 2 11 2" xfId="13066" xr:uid="{DEC98253-10A0-4854-980E-72C140039DF5}"/>
    <cellStyle name="Comma 4 3 2 12" xfId="8848" xr:uid="{356F26F3-5C4A-42C0-A7D4-37994E976F6A}"/>
    <cellStyle name="Comma 4 3 2 2" xfId="146" xr:uid="{00000000-0005-0000-0000-000015090000}"/>
    <cellStyle name="Comma 4 3 2 2 10" xfId="4617" xr:uid="{00000000-0005-0000-0000-000016090000}"/>
    <cellStyle name="Comma 4 3 2 2 10 2" xfId="13067" xr:uid="{D2E55610-BCD0-4EE9-A5DE-AC107CCF7A79}"/>
    <cellStyle name="Comma 4 3 2 2 11" xfId="8849" xr:uid="{D245B46A-B3D1-4A39-ABEF-E3FD55547F5A}"/>
    <cellStyle name="Comma 4 3 2 2 2" xfId="147" xr:uid="{00000000-0005-0000-0000-000017090000}"/>
    <cellStyle name="Comma 4 3 2 2 2 10" xfId="8850" xr:uid="{6E9BCB35-A065-43F8-A14A-E6B808332679}"/>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5627" xr:uid="{D019258D-4A81-4128-B557-8800D3AED384}"/>
    <cellStyle name="Comma 4 3 2 2 2 2 2 3" xfId="11409" xr:uid="{1F00B86F-1743-4302-9AC6-97964E20C117}"/>
    <cellStyle name="Comma 4 3 2 2 2 2 3" xfId="5032" xr:uid="{00000000-0005-0000-0000-00001B090000}"/>
    <cellStyle name="Comma 4 3 2 2 2 2 3 2" xfId="13482" xr:uid="{4E72210E-1860-4FB2-AD39-B33B98E373FB}"/>
    <cellStyle name="Comma 4 3 2 2 2 2 4" xfId="9264" xr:uid="{F0F18C8E-0F76-46BD-A6AE-6E5976D65897}"/>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040" xr:uid="{E025576D-5695-4B72-855A-6B5C6C8536D9}"/>
    <cellStyle name="Comma 4 3 2 2 2 3 2 3" xfId="11822" xr:uid="{857691ED-2EA0-4A01-92DC-7BC15AE7FDD2}"/>
    <cellStyle name="Comma 4 3 2 2 2 3 3" xfId="5445" xr:uid="{00000000-0005-0000-0000-00001F090000}"/>
    <cellStyle name="Comma 4 3 2 2 2 3 3 2" xfId="13895" xr:uid="{4AE61ED9-F0F0-4E0E-8ED8-8659680BBCF1}"/>
    <cellStyle name="Comma 4 3 2 2 2 3 4" xfId="9677" xr:uid="{4EE5C94D-4474-4449-B93B-544585898F1C}"/>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6453" xr:uid="{B5A8853D-6B80-4D7A-A616-5D39E571BFA2}"/>
    <cellStyle name="Comma 4 3 2 2 2 4 2 3" xfId="12235" xr:uid="{328B8FA7-E8DE-4A28-805F-9F3DE73BE18C}"/>
    <cellStyle name="Comma 4 3 2 2 2 4 3" xfId="5858" xr:uid="{00000000-0005-0000-0000-000023090000}"/>
    <cellStyle name="Comma 4 3 2 2 2 4 3 2" xfId="14308" xr:uid="{C6DC349E-FD11-475B-BAC2-7627FB5373C9}"/>
    <cellStyle name="Comma 4 3 2 2 2 4 4" xfId="10090" xr:uid="{B726FA1E-9E34-43ED-B7C8-7767E66A0C4B}"/>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6866" xr:uid="{97DCC8D3-F035-42E6-BB94-D73FD2DFD839}"/>
    <cellStyle name="Comma 4 3 2 2 2 5 2 3" xfId="12648" xr:uid="{5CA68C07-101F-4577-BFD4-7E1D7AF151F5}"/>
    <cellStyle name="Comma 4 3 2 2 2 5 3" xfId="6271" xr:uid="{00000000-0005-0000-0000-000027090000}"/>
    <cellStyle name="Comma 4 3 2 2 2 5 3 2" xfId="14721" xr:uid="{E7ED9871-3A0F-424A-81FF-7F9EE1C47FDE}"/>
    <cellStyle name="Comma 4 3 2 2 2 5 4" xfId="10503" xr:uid="{95318D05-9C85-49B0-9BC7-2987D8EC9F21}"/>
    <cellStyle name="Comma 4 3 2 2 2 6" xfId="2400" xr:uid="{00000000-0005-0000-0000-000028090000}"/>
    <cellStyle name="Comma 4 3 2 2 2 6 2" xfId="6684" xr:uid="{00000000-0005-0000-0000-000029090000}"/>
    <cellStyle name="Comma 4 3 2 2 2 6 2 2" xfId="15134" xr:uid="{24D0D837-CFA5-4B6A-8079-8303C7417415}"/>
    <cellStyle name="Comma 4 3 2 2 2 6 3" xfId="10916" xr:uid="{F20C529F-A9E7-43E6-82EC-264DFD31D9F2}"/>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5451" xr:uid="{D3EBDD4C-A843-40DA-A5D4-2DC6F58F5B50}"/>
    <cellStyle name="Comma 4 3 2 2 2 8 3" xfId="11233" xr:uid="{87E625D4-D775-45AF-B15B-50DD61B82CEA}"/>
    <cellStyle name="Comma 4 3 2 2 2 9" xfId="4618" xr:uid="{00000000-0005-0000-0000-00002D090000}"/>
    <cellStyle name="Comma 4 3 2 2 2 9 2" xfId="13068" xr:uid="{DB42872F-5095-4DC7-9B8B-E62C65469685}"/>
    <cellStyle name="Comma 4 3 2 2 3" xfId="683" xr:uid="{00000000-0005-0000-0000-00002E090000}"/>
    <cellStyle name="Comma 4 3 2 2 3 2" xfId="2954" xr:uid="{00000000-0005-0000-0000-00002F090000}"/>
    <cellStyle name="Comma 4 3 2 2 3 2 2" xfId="7176" xr:uid="{00000000-0005-0000-0000-000030090000}"/>
    <cellStyle name="Comma 4 3 2 2 3 2 2 2" xfId="15626" xr:uid="{5AFBE856-0C96-4648-9089-7EB071762242}"/>
    <cellStyle name="Comma 4 3 2 2 3 2 3" xfId="11408" xr:uid="{55DADE4A-EFE4-4C8F-9677-C4F864C74BFA}"/>
    <cellStyle name="Comma 4 3 2 2 3 3" xfId="5031" xr:uid="{00000000-0005-0000-0000-000031090000}"/>
    <cellStyle name="Comma 4 3 2 2 3 3 2" xfId="13481" xr:uid="{DBBA5996-7DF8-4266-9FD6-E1EF1ABFDDA7}"/>
    <cellStyle name="Comma 4 3 2 2 3 4" xfId="9263" xr:uid="{8E9A9BFA-8AC3-467C-8801-51E9EAE1776A}"/>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039" xr:uid="{7CEDCDBB-95CB-4D42-B7E1-40D45E5A9040}"/>
    <cellStyle name="Comma 4 3 2 2 4 2 3" xfId="11821" xr:uid="{71FCD1AC-89F3-4476-99BA-CCBC95D09CBD}"/>
    <cellStyle name="Comma 4 3 2 2 4 3" xfId="5444" xr:uid="{00000000-0005-0000-0000-000035090000}"/>
    <cellStyle name="Comma 4 3 2 2 4 3 2" xfId="13894" xr:uid="{B6F4A377-4FD1-4ED3-B808-DAB55B30012B}"/>
    <cellStyle name="Comma 4 3 2 2 4 4" xfId="9676" xr:uid="{FD037B6D-D38D-4975-9BE7-9EB5A1E848B1}"/>
    <cellStyle name="Comma 4 3 2 2 5" xfId="1550" xr:uid="{00000000-0005-0000-0000-000036090000}"/>
    <cellStyle name="Comma 4 3 2 2 5 2" xfId="3780" xr:uid="{00000000-0005-0000-0000-000037090000}"/>
    <cellStyle name="Comma 4 3 2 2 5 2 2" xfId="8002" xr:uid="{00000000-0005-0000-0000-000038090000}"/>
    <cellStyle name="Comma 4 3 2 2 5 2 2 2" xfId="16452" xr:uid="{5D15D2F9-01FF-4734-B4C4-28DC67894132}"/>
    <cellStyle name="Comma 4 3 2 2 5 2 3" xfId="12234" xr:uid="{9987FAB9-B5D3-48E7-9A5A-E10CBF51E245}"/>
    <cellStyle name="Comma 4 3 2 2 5 3" xfId="5857" xr:uid="{00000000-0005-0000-0000-000039090000}"/>
    <cellStyle name="Comma 4 3 2 2 5 3 2" xfId="14307" xr:uid="{98A285C4-C03F-4353-956F-68394CF26FE8}"/>
    <cellStyle name="Comma 4 3 2 2 5 4" xfId="10089" xr:uid="{8785A2D0-D013-4FE6-A70F-C326CE2ABA08}"/>
    <cellStyle name="Comma 4 3 2 2 6" xfId="1964" xr:uid="{00000000-0005-0000-0000-00003A090000}"/>
    <cellStyle name="Comma 4 3 2 2 6 2" xfId="4193" xr:uid="{00000000-0005-0000-0000-00003B090000}"/>
    <cellStyle name="Comma 4 3 2 2 6 2 2" xfId="8415" xr:uid="{00000000-0005-0000-0000-00003C090000}"/>
    <cellStyle name="Comma 4 3 2 2 6 2 2 2" xfId="16865" xr:uid="{28A169FD-3D35-41EF-B446-307391E33666}"/>
    <cellStyle name="Comma 4 3 2 2 6 2 3" xfId="12647" xr:uid="{6E834487-9A74-4242-8D4E-2CAC12ADB532}"/>
    <cellStyle name="Comma 4 3 2 2 6 3" xfId="6270" xr:uid="{00000000-0005-0000-0000-00003D090000}"/>
    <cellStyle name="Comma 4 3 2 2 6 3 2" xfId="14720" xr:uid="{D6812D9A-4FF8-46C9-9B64-B1A419188228}"/>
    <cellStyle name="Comma 4 3 2 2 6 4" xfId="10502" xr:uid="{1FEEF153-6844-4F18-B60D-163A2FB5B169}"/>
    <cellStyle name="Comma 4 3 2 2 7" xfId="2399" xr:uid="{00000000-0005-0000-0000-00003E090000}"/>
    <cellStyle name="Comma 4 3 2 2 7 2" xfId="6683" xr:uid="{00000000-0005-0000-0000-00003F090000}"/>
    <cellStyle name="Comma 4 3 2 2 7 2 2" xfId="15133" xr:uid="{4F7F24C9-C9A5-4F80-9618-92E2D373DD10}"/>
    <cellStyle name="Comma 4 3 2 2 7 3" xfId="10915" xr:uid="{00881EE5-5B6F-4865-9E8A-E2FFDAEB576D}"/>
    <cellStyle name="Comma 4 3 2 2 8" xfId="2364" xr:uid="{00000000-0005-0000-0000-000040090000}"/>
    <cellStyle name="Comma 4 3 2 2 9" xfId="2777" xr:uid="{00000000-0005-0000-0000-000041090000}"/>
    <cellStyle name="Comma 4 3 2 2 9 2" xfId="7000" xr:uid="{00000000-0005-0000-0000-000042090000}"/>
    <cellStyle name="Comma 4 3 2 2 9 2 2" xfId="15450" xr:uid="{9569C8CB-CEE4-4B50-B910-D5068A9B2572}"/>
    <cellStyle name="Comma 4 3 2 2 9 3" xfId="11232" xr:uid="{469E508C-E5B4-4F3D-994F-C87CB83A9FA0}"/>
    <cellStyle name="Comma 4 3 2 3" xfId="148" xr:uid="{00000000-0005-0000-0000-000043090000}"/>
    <cellStyle name="Comma 4 3 2 3 10" xfId="8851" xr:uid="{D8169262-D76C-4CF7-B417-F25404BA1ECD}"/>
    <cellStyle name="Comma 4 3 2 3 2" xfId="685" xr:uid="{00000000-0005-0000-0000-000044090000}"/>
    <cellStyle name="Comma 4 3 2 3 2 2" xfId="2956" xr:uid="{00000000-0005-0000-0000-000045090000}"/>
    <cellStyle name="Comma 4 3 2 3 2 2 2" xfId="7178" xr:uid="{00000000-0005-0000-0000-000046090000}"/>
    <cellStyle name="Comma 4 3 2 3 2 2 2 2" xfId="15628" xr:uid="{B074618D-0600-47FB-A4BE-85817EC8D955}"/>
    <cellStyle name="Comma 4 3 2 3 2 2 3" xfId="11410" xr:uid="{8528EC68-903C-4CD2-83A7-BA5285E5CABC}"/>
    <cellStyle name="Comma 4 3 2 3 2 3" xfId="5033" xr:uid="{00000000-0005-0000-0000-000047090000}"/>
    <cellStyle name="Comma 4 3 2 3 2 3 2" xfId="13483" xr:uid="{DD894A52-1982-4843-8B65-1D567CC15748}"/>
    <cellStyle name="Comma 4 3 2 3 2 4" xfId="9265" xr:uid="{00E449A3-E4A3-451C-B6A9-E259A3E01301}"/>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041" xr:uid="{6C35B1B7-B9E1-4720-86B0-35588B70F6A9}"/>
    <cellStyle name="Comma 4 3 2 3 3 2 3" xfId="11823" xr:uid="{A44FFF41-18B7-4214-B2D6-E2C207F62142}"/>
    <cellStyle name="Comma 4 3 2 3 3 3" xfId="5446" xr:uid="{00000000-0005-0000-0000-00004B090000}"/>
    <cellStyle name="Comma 4 3 2 3 3 3 2" xfId="13896" xr:uid="{330F8F68-DD6C-435C-9CB0-54FEF34D5016}"/>
    <cellStyle name="Comma 4 3 2 3 3 4" xfId="9678" xr:uid="{B6BD538E-7E66-4F68-A27F-5D14DFC243E6}"/>
    <cellStyle name="Comma 4 3 2 3 4" xfId="1552" xr:uid="{00000000-0005-0000-0000-00004C090000}"/>
    <cellStyle name="Comma 4 3 2 3 4 2" xfId="3782" xr:uid="{00000000-0005-0000-0000-00004D090000}"/>
    <cellStyle name="Comma 4 3 2 3 4 2 2" xfId="8004" xr:uid="{00000000-0005-0000-0000-00004E090000}"/>
    <cellStyle name="Comma 4 3 2 3 4 2 2 2" xfId="16454" xr:uid="{6018D87F-03C1-4DCB-8946-4822107272B0}"/>
    <cellStyle name="Comma 4 3 2 3 4 2 3" xfId="12236" xr:uid="{4BD8413E-4F4E-4F72-849C-152A2690A524}"/>
    <cellStyle name="Comma 4 3 2 3 4 3" xfId="5859" xr:uid="{00000000-0005-0000-0000-00004F090000}"/>
    <cellStyle name="Comma 4 3 2 3 4 3 2" xfId="14309" xr:uid="{E79BB5A1-0F05-4AC3-9A39-F0AC49A48C19}"/>
    <cellStyle name="Comma 4 3 2 3 4 4" xfId="10091" xr:uid="{4FCFBB44-E004-46B9-81FD-298571C9D9E4}"/>
    <cellStyle name="Comma 4 3 2 3 5" xfId="1966" xr:uid="{00000000-0005-0000-0000-000050090000}"/>
    <cellStyle name="Comma 4 3 2 3 5 2" xfId="4195" xr:uid="{00000000-0005-0000-0000-000051090000}"/>
    <cellStyle name="Comma 4 3 2 3 5 2 2" xfId="8417" xr:uid="{00000000-0005-0000-0000-000052090000}"/>
    <cellStyle name="Comma 4 3 2 3 5 2 2 2" xfId="16867" xr:uid="{D0C29F89-80EF-43A6-9524-7038BA767F54}"/>
    <cellStyle name="Comma 4 3 2 3 5 2 3" xfId="12649" xr:uid="{BB8BFF5E-881D-41FA-98F1-2E46DBE585D6}"/>
    <cellStyle name="Comma 4 3 2 3 5 3" xfId="6272" xr:uid="{00000000-0005-0000-0000-000053090000}"/>
    <cellStyle name="Comma 4 3 2 3 5 3 2" xfId="14722" xr:uid="{90486283-34CB-4743-AF7A-8BDC2E0F9067}"/>
    <cellStyle name="Comma 4 3 2 3 5 4" xfId="10504" xr:uid="{84584F2F-F2CE-4055-A06A-4F2FC0D6E911}"/>
    <cellStyle name="Comma 4 3 2 3 6" xfId="2401" xr:uid="{00000000-0005-0000-0000-000054090000}"/>
    <cellStyle name="Comma 4 3 2 3 6 2" xfId="6685" xr:uid="{00000000-0005-0000-0000-000055090000}"/>
    <cellStyle name="Comma 4 3 2 3 6 2 2" xfId="15135" xr:uid="{1756690C-D7AF-43A1-8096-386B9693FD19}"/>
    <cellStyle name="Comma 4 3 2 3 6 3" xfId="10917" xr:uid="{3A760E08-6E7C-404C-8C15-74134C476E60}"/>
    <cellStyle name="Comma 4 3 2 3 7" xfId="2362" xr:uid="{00000000-0005-0000-0000-000056090000}"/>
    <cellStyle name="Comma 4 3 2 3 8" xfId="2779" xr:uid="{00000000-0005-0000-0000-000057090000}"/>
    <cellStyle name="Comma 4 3 2 3 8 2" xfId="7002" xr:uid="{00000000-0005-0000-0000-000058090000}"/>
    <cellStyle name="Comma 4 3 2 3 8 2 2" xfId="15452" xr:uid="{B336CFC8-7751-48B1-9282-42F6D05265B1}"/>
    <cellStyle name="Comma 4 3 2 3 8 3" xfId="11234" xr:uid="{5BDF2B6F-5BCF-4DAE-84AD-786EF391BC01}"/>
    <cellStyle name="Comma 4 3 2 3 9" xfId="4619" xr:uid="{00000000-0005-0000-0000-000059090000}"/>
    <cellStyle name="Comma 4 3 2 3 9 2" xfId="13069" xr:uid="{758080C8-3188-4DAD-B39A-CAB8F72CF297}"/>
    <cellStyle name="Comma 4 3 2 4" xfId="682" xr:uid="{00000000-0005-0000-0000-00005A090000}"/>
    <cellStyle name="Comma 4 3 2 4 2" xfId="2953" xr:uid="{00000000-0005-0000-0000-00005B090000}"/>
    <cellStyle name="Comma 4 3 2 4 2 2" xfId="7175" xr:uid="{00000000-0005-0000-0000-00005C090000}"/>
    <cellStyle name="Comma 4 3 2 4 2 2 2" xfId="15625" xr:uid="{F7A0E2F8-2BA4-4FF4-8528-65A14363916B}"/>
    <cellStyle name="Comma 4 3 2 4 2 3" xfId="11407" xr:uid="{7966C802-25B7-490D-9387-42903A038769}"/>
    <cellStyle name="Comma 4 3 2 4 3" xfId="5030" xr:uid="{00000000-0005-0000-0000-00005D090000}"/>
    <cellStyle name="Comma 4 3 2 4 3 2" xfId="13480" xr:uid="{B2D67C8B-1748-485D-BE7D-917A086535E4}"/>
    <cellStyle name="Comma 4 3 2 4 4" xfId="9262" xr:uid="{D40E3727-7A09-43FF-9F79-C5E24B46EB0C}"/>
    <cellStyle name="Comma 4 3 2 5" xfId="1135" xr:uid="{00000000-0005-0000-0000-00005E090000}"/>
    <cellStyle name="Comma 4 3 2 5 2" xfId="3366" xr:uid="{00000000-0005-0000-0000-00005F090000}"/>
    <cellStyle name="Comma 4 3 2 5 2 2" xfId="7588" xr:uid="{00000000-0005-0000-0000-000060090000}"/>
    <cellStyle name="Comma 4 3 2 5 2 2 2" xfId="16038" xr:uid="{1773F715-162C-4875-B2C7-7530FC31E6DC}"/>
    <cellStyle name="Comma 4 3 2 5 2 3" xfId="11820" xr:uid="{30B189F3-6844-41D8-8E8F-1E020DD78351}"/>
    <cellStyle name="Comma 4 3 2 5 3" xfId="5443" xr:uid="{00000000-0005-0000-0000-000061090000}"/>
    <cellStyle name="Comma 4 3 2 5 3 2" xfId="13893" xr:uid="{717EA53B-AAEA-40FA-A2E5-D65E4B693F5D}"/>
    <cellStyle name="Comma 4 3 2 5 4" xfId="9675" xr:uid="{3DBF301C-C121-4BE4-B78F-039AF5108075}"/>
    <cellStyle name="Comma 4 3 2 6" xfId="1549" xr:uid="{00000000-0005-0000-0000-000062090000}"/>
    <cellStyle name="Comma 4 3 2 6 2" xfId="3779" xr:uid="{00000000-0005-0000-0000-000063090000}"/>
    <cellStyle name="Comma 4 3 2 6 2 2" xfId="8001" xr:uid="{00000000-0005-0000-0000-000064090000}"/>
    <cellStyle name="Comma 4 3 2 6 2 2 2" xfId="16451" xr:uid="{0DC67079-0EAF-4C7E-B083-4C20D509AD89}"/>
    <cellStyle name="Comma 4 3 2 6 2 3" xfId="12233" xr:uid="{EBC88A2D-12AD-4B29-A553-78264967BE40}"/>
    <cellStyle name="Comma 4 3 2 6 3" xfId="5856" xr:uid="{00000000-0005-0000-0000-000065090000}"/>
    <cellStyle name="Comma 4 3 2 6 3 2" xfId="14306" xr:uid="{10F9C87E-5D02-48B3-90D7-680AEAB5A794}"/>
    <cellStyle name="Comma 4 3 2 6 4" xfId="10088" xr:uid="{C953E2EB-AF8B-40E2-92B4-500ECE823CF6}"/>
    <cellStyle name="Comma 4 3 2 7" xfId="1963" xr:uid="{00000000-0005-0000-0000-000066090000}"/>
    <cellStyle name="Comma 4 3 2 7 2" xfId="4192" xr:uid="{00000000-0005-0000-0000-000067090000}"/>
    <cellStyle name="Comma 4 3 2 7 2 2" xfId="8414" xr:uid="{00000000-0005-0000-0000-000068090000}"/>
    <cellStyle name="Comma 4 3 2 7 2 2 2" xfId="16864" xr:uid="{2E2CE56B-48F3-4CEF-BB99-0A5B78160AA3}"/>
    <cellStyle name="Comma 4 3 2 7 2 3" xfId="12646" xr:uid="{4680BC02-1B59-43DD-B56D-CB0D38CFB83E}"/>
    <cellStyle name="Comma 4 3 2 7 3" xfId="6269" xr:uid="{00000000-0005-0000-0000-000069090000}"/>
    <cellStyle name="Comma 4 3 2 7 3 2" xfId="14719" xr:uid="{A17BA10C-E439-4F32-AF23-1735388FEEAB}"/>
    <cellStyle name="Comma 4 3 2 7 4" xfId="10501" xr:uid="{DCEAB0EC-4371-4CD6-B087-2D3F05948769}"/>
    <cellStyle name="Comma 4 3 2 8" xfId="2398" xr:uid="{00000000-0005-0000-0000-00006A090000}"/>
    <cellStyle name="Comma 4 3 2 8 2" xfId="6682" xr:uid="{00000000-0005-0000-0000-00006B090000}"/>
    <cellStyle name="Comma 4 3 2 8 2 2" xfId="15132" xr:uid="{ED770C1B-FF35-4F07-A328-397D733E5F94}"/>
    <cellStyle name="Comma 4 3 2 8 3" xfId="10914" xr:uid="{78A0239D-6780-4E42-9CF6-83EB141F4612}"/>
    <cellStyle name="Comma 4 3 2 9" xfId="2365" xr:uid="{00000000-0005-0000-0000-00006C090000}"/>
    <cellStyle name="Comma 4 3 3" xfId="149" xr:uid="{00000000-0005-0000-0000-00006D090000}"/>
    <cellStyle name="Comma 4 3 3 10" xfId="4620" xr:uid="{00000000-0005-0000-0000-00006E090000}"/>
    <cellStyle name="Comma 4 3 3 10 2" xfId="13070" xr:uid="{01C6D4AD-6678-481B-9162-BCAD5ED361A7}"/>
    <cellStyle name="Comma 4 3 3 11" xfId="8852" xr:uid="{BE81E7B2-7BE2-45BB-A9B0-FA09D7467EAF}"/>
    <cellStyle name="Comma 4 3 3 2" xfId="150" xr:uid="{00000000-0005-0000-0000-00006F090000}"/>
    <cellStyle name="Comma 4 3 3 2 10" xfId="8853" xr:uid="{86EB1EF3-0263-4E35-86AD-C00A54AA47E6}"/>
    <cellStyle name="Comma 4 3 3 2 2" xfId="687" xr:uid="{00000000-0005-0000-0000-000070090000}"/>
    <cellStyle name="Comma 4 3 3 2 2 2" xfId="2958" xr:uid="{00000000-0005-0000-0000-000071090000}"/>
    <cellStyle name="Comma 4 3 3 2 2 2 2" xfId="7180" xr:uid="{00000000-0005-0000-0000-000072090000}"/>
    <cellStyle name="Comma 4 3 3 2 2 2 2 2" xfId="15630" xr:uid="{119B40AD-29A9-4D68-BAFB-F79EB789A90E}"/>
    <cellStyle name="Comma 4 3 3 2 2 2 3" xfId="11412" xr:uid="{13A5FB98-F31A-40CE-B9F0-072DA583EDF8}"/>
    <cellStyle name="Comma 4 3 3 2 2 3" xfId="5035" xr:uid="{00000000-0005-0000-0000-000073090000}"/>
    <cellStyle name="Comma 4 3 3 2 2 3 2" xfId="13485" xr:uid="{DFA50925-551A-4374-AC47-E3035EEA24FE}"/>
    <cellStyle name="Comma 4 3 3 2 2 4" xfId="9267" xr:uid="{D63BDBA5-3386-4795-A102-5FD41D16F2DB}"/>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043" xr:uid="{096E8558-5396-40C6-AFCB-6243D9DCE420}"/>
    <cellStyle name="Comma 4 3 3 2 3 2 3" xfId="11825" xr:uid="{F748D8A6-6951-4AAA-9EB8-BE1838170C7C}"/>
    <cellStyle name="Comma 4 3 3 2 3 3" xfId="5448" xr:uid="{00000000-0005-0000-0000-000077090000}"/>
    <cellStyle name="Comma 4 3 3 2 3 3 2" xfId="13898" xr:uid="{45BF88BB-0A1E-4283-8005-8EF5FFBE5C47}"/>
    <cellStyle name="Comma 4 3 3 2 3 4" xfId="9680" xr:uid="{6291AC43-96E3-445E-B5D4-4A0B5AABAC5A}"/>
    <cellStyle name="Comma 4 3 3 2 4" xfId="1554" xr:uid="{00000000-0005-0000-0000-000078090000}"/>
    <cellStyle name="Comma 4 3 3 2 4 2" xfId="3784" xr:uid="{00000000-0005-0000-0000-000079090000}"/>
    <cellStyle name="Comma 4 3 3 2 4 2 2" xfId="8006" xr:uid="{00000000-0005-0000-0000-00007A090000}"/>
    <cellStyle name="Comma 4 3 3 2 4 2 2 2" xfId="16456" xr:uid="{7D15C501-B819-4005-B2EB-35CC3CB81893}"/>
    <cellStyle name="Comma 4 3 3 2 4 2 3" xfId="12238" xr:uid="{23DBF8BB-CD17-483E-85C8-0E66CE8B9128}"/>
    <cellStyle name="Comma 4 3 3 2 4 3" xfId="5861" xr:uid="{00000000-0005-0000-0000-00007B090000}"/>
    <cellStyle name="Comma 4 3 3 2 4 3 2" xfId="14311" xr:uid="{C8F39634-3D98-44B1-93B7-A365B8ACE397}"/>
    <cellStyle name="Comma 4 3 3 2 4 4" xfId="10093" xr:uid="{AA7804EA-8EA3-4377-93F5-9294FDA53421}"/>
    <cellStyle name="Comma 4 3 3 2 5" xfId="1968" xr:uid="{00000000-0005-0000-0000-00007C090000}"/>
    <cellStyle name="Comma 4 3 3 2 5 2" xfId="4197" xr:uid="{00000000-0005-0000-0000-00007D090000}"/>
    <cellStyle name="Comma 4 3 3 2 5 2 2" xfId="8419" xr:uid="{00000000-0005-0000-0000-00007E090000}"/>
    <cellStyle name="Comma 4 3 3 2 5 2 2 2" xfId="16869" xr:uid="{E43DD034-1AFD-431A-8B9E-3B8379C5CA0B}"/>
    <cellStyle name="Comma 4 3 3 2 5 2 3" xfId="12651" xr:uid="{43C93629-9648-4CCC-B26B-3A89E988082E}"/>
    <cellStyle name="Comma 4 3 3 2 5 3" xfId="6274" xr:uid="{00000000-0005-0000-0000-00007F090000}"/>
    <cellStyle name="Comma 4 3 3 2 5 3 2" xfId="14724" xr:uid="{FF2142D0-701B-4893-8004-4BB5147212B8}"/>
    <cellStyle name="Comma 4 3 3 2 5 4" xfId="10506" xr:uid="{30EAAF76-524D-4FC2-A28B-6922237A3AC6}"/>
    <cellStyle name="Comma 4 3 3 2 6" xfId="2403" xr:uid="{00000000-0005-0000-0000-000080090000}"/>
    <cellStyle name="Comma 4 3 3 2 6 2" xfId="6687" xr:uid="{00000000-0005-0000-0000-000081090000}"/>
    <cellStyle name="Comma 4 3 3 2 6 2 2" xfId="15137" xr:uid="{B4048A10-F9BC-4F4B-8DEF-ED7A67107421}"/>
    <cellStyle name="Comma 4 3 3 2 6 3" xfId="10919" xr:uid="{03861582-78F9-4892-B734-A7F366C33BAE}"/>
    <cellStyle name="Comma 4 3 3 2 7" xfId="2360" xr:uid="{00000000-0005-0000-0000-000082090000}"/>
    <cellStyle name="Comma 4 3 3 2 8" xfId="2781" xr:uid="{00000000-0005-0000-0000-000083090000}"/>
    <cellStyle name="Comma 4 3 3 2 8 2" xfId="7004" xr:uid="{00000000-0005-0000-0000-000084090000}"/>
    <cellStyle name="Comma 4 3 3 2 8 2 2" xfId="15454" xr:uid="{10CDF3D5-282C-44F9-B4D1-3C92A2FA8F4B}"/>
    <cellStyle name="Comma 4 3 3 2 8 3" xfId="11236" xr:uid="{52270A72-79B8-4DC0-8510-7063DD056891}"/>
    <cellStyle name="Comma 4 3 3 2 9" xfId="4621" xr:uid="{00000000-0005-0000-0000-000085090000}"/>
    <cellStyle name="Comma 4 3 3 2 9 2" xfId="13071" xr:uid="{17B63641-F503-4CA4-9CA4-4AA977683CD1}"/>
    <cellStyle name="Comma 4 3 3 3" xfId="686" xr:uid="{00000000-0005-0000-0000-000086090000}"/>
    <cellStyle name="Comma 4 3 3 3 2" xfId="2957" xr:uid="{00000000-0005-0000-0000-000087090000}"/>
    <cellStyle name="Comma 4 3 3 3 2 2" xfId="7179" xr:uid="{00000000-0005-0000-0000-000088090000}"/>
    <cellStyle name="Comma 4 3 3 3 2 2 2" xfId="15629" xr:uid="{86AD6ADE-373A-4A9B-8A3E-ABABEE55539E}"/>
    <cellStyle name="Comma 4 3 3 3 2 3" xfId="11411" xr:uid="{D06B56AF-51E1-42DA-943A-DE7B26FAF2D7}"/>
    <cellStyle name="Comma 4 3 3 3 3" xfId="5034" xr:uid="{00000000-0005-0000-0000-000089090000}"/>
    <cellStyle name="Comma 4 3 3 3 3 2" xfId="13484" xr:uid="{D52645AA-83C2-40C2-B90F-825BBB520331}"/>
    <cellStyle name="Comma 4 3 3 3 4" xfId="9266" xr:uid="{90D857F0-CB08-43E1-A8A7-CC359A599200}"/>
    <cellStyle name="Comma 4 3 3 4" xfId="1139" xr:uid="{00000000-0005-0000-0000-00008A090000}"/>
    <cellStyle name="Comma 4 3 3 4 2" xfId="3370" xr:uid="{00000000-0005-0000-0000-00008B090000}"/>
    <cellStyle name="Comma 4 3 3 4 2 2" xfId="7592" xr:uid="{00000000-0005-0000-0000-00008C090000}"/>
    <cellStyle name="Comma 4 3 3 4 2 2 2" xfId="16042" xr:uid="{6E3EA09F-C184-49DB-8DD5-786F57752218}"/>
    <cellStyle name="Comma 4 3 3 4 2 3" xfId="11824" xr:uid="{7F298D4A-3F20-4788-8ED5-87A499CC4581}"/>
    <cellStyle name="Comma 4 3 3 4 3" xfId="5447" xr:uid="{00000000-0005-0000-0000-00008D090000}"/>
    <cellStyle name="Comma 4 3 3 4 3 2" xfId="13897" xr:uid="{F5F7E02C-2394-4E46-B422-52BD3E34632C}"/>
    <cellStyle name="Comma 4 3 3 4 4" xfId="9679" xr:uid="{F179728D-F5B0-413B-B3F8-10D9B760A87A}"/>
    <cellStyle name="Comma 4 3 3 5" xfId="1553" xr:uid="{00000000-0005-0000-0000-00008E090000}"/>
    <cellStyle name="Comma 4 3 3 5 2" xfId="3783" xr:uid="{00000000-0005-0000-0000-00008F090000}"/>
    <cellStyle name="Comma 4 3 3 5 2 2" xfId="8005" xr:uid="{00000000-0005-0000-0000-000090090000}"/>
    <cellStyle name="Comma 4 3 3 5 2 2 2" xfId="16455" xr:uid="{50BD92A8-694E-45E8-A8D8-9553E1344DCE}"/>
    <cellStyle name="Comma 4 3 3 5 2 3" xfId="12237" xr:uid="{ADACA4C1-EFE3-41F9-9403-76583DBC80DF}"/>
    <cellStyle name="Comma 4 3 3 5 3" xfId="5860" xr:uid="{00000000-0005-0000-0000-000091090000}"/>
    <cellStyle name="Comma 4 3 3 5 3 2" xfId="14310" xr:uid="{EE4686DF-DDA4-48E0-818E-EAB40A214A50}"/>
    <cellStyle name="Comma 4 3 3 5 4" xfId="10092" xr:uid="{9F51E135-2CC5-42A8-AF12-4F6B6E653BC0}"/>
    <cellStyle name="Comma 4 3 3 6" xfId="1967" xr:uid="{00000000-0005-0000-0000-000092090000}"/>
    <cellStyle name="Comma 4 3 3 6 2" xfId="4196" xr:uid="{00000000-0005-0000-0000-000093090000}"/>
    <cellStyle name="Comma 4 3 3 6 2 2" xfId="8418" xr:uid="{00000000-0005-0000-0000-000094090000}"/>
    <cellStyle name="Comma 4 3 3 6 2 2 2" xfId="16868" xr:uid="{31B2DF6C-F46A-4E0F-8A51-6372006963EF}"/>
    <cellStyle name="Comma 4 3 3 6 2 3" xfId="12650" xr:uid="{B875A443-2ADC-4A1F-9565-C935477853A6}"/>
    <cellStyle name="Comma 4 3 3 6 3" xfId="6273" xr:uid="{00000000-0005-0000-0000-000095090000}"/>
    <cellStyle name="Comma 4 3 3 6 3 2" xfId="14723" xr:uid="{2AD0EF30-9143-4609-9C01-3BF23BDF0F80}"/>
    <cellStyle name="Comma 4 3 3 6 4" xfId="10505" xr:uid="{1EB070D6-B066-4143-9E3B-9E20D5E99212}"/>
    <cellStyle name="Comma 4 3 3 7" xfId="2402" xr:uid="{00000000-0005-0000-0000-000096090000}"/>
    <cellStyle name="Comma 4 3 3 7 2" xfId="6686" xr:uid="{00000000-0005-0000-0000-000097090000}"/>
    <cellStyle name="Comma 4 3 3 7 2 2" xfId="15136" xr:uid="{0A41150A-6D33-42D0-80C9-51459AA7E867}"/>
    <cellStyle name="Comma 4 3 3 7 3" xfId="10918" xr:uid="{1729935A-8303-4219-AA8B-5E225AE2C634}"/>
    <cellStyle name="Comma 4 3 3 8" xfId="2361" xr:uid="{00000000-0005-0000-0000-000098090000}"/>
    <cellStyle name="Comma 4 3 3 9" xfId="2780" xr:uid="{00000000-0005-0000-0000-000099090000}"/>
    <cellStyle name="Comma 4 3 3 9 2" xfId="7003" xr:uid="{00000000-0005-0000-0000-00009A090000}"/>
    <cellStyle name="Comma 4 3 3 9 2 2" xfId="15453" xr:uid="{587D1580-A83E-4188-947C-876D88F1349B}"/>
    <cellStyle name="Comma 4 3 3 9 3" xfId="11235" xr:uid="{FD932DD2-A2C0-4C01-9E60-7CEDF8033293}"/>
    <cellStyle name="Comma 4 3 4" xfId="151" xr:uid="{00000000-0005-0000-0000-00009B090000}"/>
    <cellStyle name="Comma 4 3 4 10" xfId="8854" xr:uid="{A7D3BF5D-E237-4E5A-A2BD-539B3F5858C3}"/>
    <cellStyle name="Comma 4 3 4 2" xfId="688" xr:uid="{00000000-0005-0000-0000-00009C090000}"/>
    <cellStyle name="Comma 4 3 4 2 2" xfId="2959" xr:uid="{00000000-0005-0000-0000-00009D090000}"/>
    <cellStyle name="Comma 4 3 4 2 2 2" xfId="7181" xr:uid="{00000000-0005-0000-0000-00009E090000}"/>
    <cellStyle name="Comma 4 3 4 2 2 2 2" xfId="15631" xr:uid="{5B147FD1-B89B-4EA6-938B-F34C82F25DB4}"/>
    <cellStyle name="Comma 4 3 4 2 2 3" xfId="11413" xr:uid="{FF3BC3B5-1868-4B80-9D3F-50B142478A09}"/>
    <cellStyle name="Comma 4 3 4 2 3" xfId="5036" xr:uid="{00000000-0005-0000-0000-00009F090000}"/>
    <cellStyle name="Comma 4 3 4 2 3 2" xfId="13486" xr:uid="{6DAD9899-6711-4DB3-8505-AD878A314E89}"/>
    <cellStyle name="Comma 4 3 4 2 4" xfId="9268" xr:uid="{88477549-9B87-4919-A4CF-5E263CE41F00}"/>
    <cellStyle name="Comma 4 3 4 3" xfId="1141" xr:uid="{00000000-0005-0000-0000-0000A0090000}"/>
    <cellStyle name="Comma 4 3 4 3 2" xfId="3372" xr:uid="{00000000-0005-0000-0000-0000A1090000}"/>
    <cellStyle name="Comma 4 3 4 3 2 2" xfId="7594" xr:uid="{00000000-0005-0000-0000-0000A2090000}"/>
    <cellStyle name="Comma 4 3 4 3 2 2 2" xfId="16044" xr:uid="{1E2670A5-D278-401A-937B-578CE443DAF7}"/>
    <cellStyle name="Comma 4 3 4 3 2 3" xfId="11826" xr:uid="{A9951953-7E52-43CF-9692-DF598C7610B9}"/>
    <cellStyle name="Comma 4 3 4 3 3" xfId="5449" xr:uid="{00000000-0005-0000-0000-0000A3090000}"/>
    <cellStyle name="Comma 4 3 4 3 3 2" xfId="13899" xr:uid="{78D88F0F-5AB2-4C62-B607-C1E1730BC763}"/>
    <cellStyle name="Comma 4 3 4 3 4" xfId="9681" xr:uid="{AB16BDEB-6C69-492C-8493-37925190D22B}"/>
    <cellStyle name="Comma 4 3 4 4" xfId="1555" xr:uid="{00000000-0005-0000-0000-0000A4090000}"/>
    <cellStyle name="Comma 4 3 4 4 2" xfId="3785" xr:uid="{00000000-0005-0000-0000-0000A5090000}"/>
    <cellStyle name="Comma 4 3 4 4 2 2" xfId="8007" xr:uid="{00000000-0005-0000-0000-0000A6090000}"/>
    <cellStyle name="Comma 4 3 4 4 2 2 2" xfId="16457" xr:uid="{29CB122E-E3D4-4F88-BF5A-3E164F0FCAF5}"/>
    <cellStyle name="Comma 4 3 4 4 2 3" xfId="12239" xr:uid="{BEF93F15-7ECE-456D-BB89-E031DABE1587}"/>
    <cellStyle name="Comma 4 3 4 4 3" xfId="5862" xr:uid="{00000000-0005-0000-0000-0000A7090000}"/>
    <cellStyle name="Comma 4 3 4 4 3 2" xfId="14312" xr:uid="{88788933-F3EA-4897-BA66-AF544756428B}"/>
    <cellStyle name="Comma 4 3 4 4 4" xfId="10094" xr:uid="{0A1B30A4-4DB7-41C1-B9FE-E341EBF60199}"/>
    <cellStyle name="Comma 4 3 4 5" xfId="1969" xr:uid="{00000000-0005-0000-0000-0000A8090000}"/>
    <cellStyle name="Comma 4 3 4 5 2" xfId="4198" xr:uid="{00000000-0005-0000-0000-0000A9090000}"/>
    <cellStyle name="Comma 4 3 4 5 2 2" xfId="8420" xr:uid="{00000000-0005-0000-0000-0000AA090000}"/>
    <cellStyle name="Comma 4 3 4 5 2 2 2" xfId="16870" xr:uid="{BA692E43-C09A-4912-98B0-4FDA4527C16C}"/>
    <cellStyle name="Comma 4 3 4 5 2 3" xfId="12652" xr:uid="{1C52C160-2D34-46AC-B5AD-8F1B56C3553B}"/>
    <cellStyle name="Comma 4 3 4 5 3" xfId="6275" xr:uid="{00000000-0005-0000-0000-0000AB090000}"/>
    <cellStyle name="Comma 4 3 4 5 3 2" xfId="14725" xr:uid="{5E8528D3-C3D9-4D11-89B0-DA37869F2F9C}"/>
    <cellStyle name="Comma 4 3 4 5 4" xfId="10507" xr:uid="{28CB340C-6960-4CDA-81F1-634F4EB5785C}"/>
    <cellStyle name="Comma 4 3 4 6" xfId="2404" xr:uid="{00000000-0005-0000-0000-0000AC090000}"/>
    <cellStyle name="Comma 4 3 4 6 2" xfId="6688" xr:uid="{00000000-0005-0000-0000-0000AD090000}"/>
    <cellStyle name="Comma 4 3 4 6 2 2" xfId="15138" xr:uid="{68F66F95-90F0-417C-A59F-54E91FA933BD}"/>
    <cellStyle name="Comma 4 3 4 6 3" xfId="10920" xr:uid="{7486F98C-28DF-4825-95D7-AA127E93DBA0}"/>
    <cellStyle name="Comma 4 3 4 7" xfId="2700" xr:uid="{00000000-0005-0000-0000-0000AE090000}"/>
    <cellStyle name="Comma 4 3 4 8" xfId="2782" xr:uid="{00000000-0005-0000-0000-0000AF090000}"/>
    <cellStyle name="Comma 4 3 4 8 2" xfId="7005" xr:uid="{00000000-0005-0000-0000-0000B0090000}"/>
    <cellStyle name="Comma 4 3 4 8 2 2" xfId="15455" xr:uid="{4EB35FBA-F4E2-4E8E-AE19-7A5B7A58CE0C}"/>
    <cellStyle name="Comma 4 3 4 8 3" xfId="11237" xr:uid="{18673735-F7CF-4B1E-8896-1AE48652DEA5}"/>
    <cellStyle name="Comma 4 3 4 9" xfId="4622" xr:uid="{00000000-0005-0000-0000-0000B1090000}"/>
    <cellStyle name="Comma 4 3 4 9 2" xfId="13072" xr:uid="{E6EDC6D1-7565-4E96-9BEC-2ADA472BD5F1}"/>
    <cellStyle name="Comma 4 3 5" xfId="152" xr:uid="{00000000-0005-0000-0000-0000B2090000}"/>
    <cellStyle name="Comma 4 3 5 10" xfId="8855" xr:uid="{E9C59CC2-C1D2-4005-8A06-3573963D98E4}"/>
    <cellStyle name="Comma 4 3 5 2" xfId="689" xr:uid="{00000000-0005-0000-0000-0000B3090000}"/>
    <cellStyle name="Comma 4 3 5 2 2" xfId="2960" xr:uid="{00000000-0005-0000-0000-0000B4090000}"/>
    <cellStyle name="Comma 4 3 5 2 2 2" xfId="7182" xr:uid="{00000000-0005-0000-0000-0000B5090000}"/>
    <cellStyle name="Comma 4 3 5 2 2 2 2" xfId="15632" xr:uid="{87253A95-AB4C-4E5C-AED3-977EE0EAF1FA}"/>
    <cellStyle name="Comma 4 3 5 2 2 3" xfId="11414" xr:uid="{D0D2D0D4-EC27-4E84-9759-5C068C471F4E}"/>
    <cellStyle name="Comma 4 3 5 2 3" xfId="5037" xr:uid="{00000000-0005-0000-0000-0000B6090000}"/>
    <cellStyle name="Comma 4 3 5 2 3 2" xfId="13487" xr:uid="{3FC4298B-4C03-4935-A8F1-03E3995D348F}"/>
    <cellStyle name="Comma 4 3 5 2 4" xfId="9269" xr:uid="{32157F29-B9CD-452F-BC96-2940F4B86F2E}"/>
    <cellStyle name="Comma 4 3 5 3" xfId="1142" xr:uid="{00000000-0005-0000-0000-0000B7090000}"/>
    <cellStyle name="Comma 4 3 5 3 2" xfId="3373" xr:uid="{00000000-0005-0000-0000-0000B8090000}"/>
    <cellStyle name="Comma 4 3 5 3 2 2" xfId="7595" xr:uid="{00000000-0005-0000-0000-0000B9090000}"/>
    <cellStyle name="Comma 4 3 5 3 2 2 2" xfId="16045" xr:uid="{804A1CFA-3A77-4707-B5F5-12B1663B904B}"/>
    <cellStyle name="Comma 4 3 5 3 2 3" xfId="11827" xr:uid="{F0728010-DFD1-427E-8889-160C8DA4AA7E}"/>
    <cellStyle name="Comma 4 3 5 3 3" xfId="5450" xr:uid="{00000000-0005-0000-0000-0000BA090000}"/>
    <cellStyle name="Comma 4 3 5 3 3 2" xfId="13900" xr:uid="{9D2A519E-185E-46D6-A99D-E143EC0AA040}"/>
    <cellStyle name="Comma 4 3 5 3 4" xfId="9682" xr:uid="{75C8869F-5A8A-4B86-BCD6-9DB58E4D820C}"/>
    <cellStyle name="Comma 4 3 5 4" xfId="1556" xr:uid="{00000000-0005-0000-0000-0000BB090000}"/>
    <cellStyle name="Comma 4 3 5 4 2" xfId="3786" xr:uid="{00000000-0005-0000-0000-0000BC090000}"/>
    <cellStyle name="Comma 4 3 5 4 2 2" xfId="8008" xr:uid="{00000000-0005-0000-0000-0000BD090000}"/>
    <cellStyle name="Comma 4 3 5 4 2 2 2" xfId="16458" xr:uid="{27FB1AF3-BFC5-47EF-8FD7-F3A25DC09E5E}"/>
    <cellStyle name="Comma 4 3 5 4 2 3" xfId="12240" xr:uid="{0403932E-927E-4387-A1C0-BCB4AED0B235}"/>
    <cellStyle name="Comma 4 3 5 4 3" xfId="5863" xr:uid="{00000000-0005-0000-0000-0000BE090000}"/>
    <cellStyle name="Comma 4 3 5 4 3 2" xfId="14313" xr:uid="{EB35B7C9-5035-406E-B45F-3007AF57919B}"/>
    <cellStyle name="Comma 4 3 5 4 4" xfId="10095" xr:uid="{3313897E-E5E2-46DD-9AEC-6CD7992579A1}"/>
    <cellStyle name="Comma 4 3 5 5" xfId="1970" xr:uid="{00000000-0005-0000-0000-0000BF090000}"/>
    <cellStyle name="Comma 4 3 5 5 2" xfId="4199" xr:uid="{00000000-0005-0000-0000-0000C0090000}"/>
    <cellStyle name="Comma 4 3 5 5 2 2" xfId="8421" xr:uid="{00000000-0005-0000-0000-0000C1090000}"/>
    <cellStyle name="Comma 4 3 5 5 2 2 2" xfId="16871" xr:uid="{9C42642F-8C55-423B-B38A-88AD88C4C543}"/>
    <cellStyle name="Comma 4 3 5 5 2 3" xfId="12653" xr:uid="{EC708AF4-9FAC-4FED-8074-FAD243AFF6D0}"/>
    <cellStyle name="Comma 4 3 5 5 3" xfId="6276" xr:uid="{00000000-0005-0000-0000-0000C2090000}"/>
    <cellStyle name="Comma 4 3 5 5 3 2" xfId="14726" xr:uid="{3A895E82-AE20-4592-8010-6AE3A9A60BAA}"/>
    <cellStyle name="Comma 4 3 5 5 4" xfId="10508" xr:uid="{E4EF78FD-B2B6-4F22-A9E4-8E3E925A78FC}"/>
    <cellStyle name="Comma 4 3 5 6" xfId="2405" xr:uid="{00000000-0005-0000-0000-0000C3090000}"/>
    <cellStyle name="Comma 4 3 5 6 2" xfId="6689" xr:uid="{00000000-0005-0000-0000-0000C4090000}"/>
    <cellStyle name="Comma 4 3 5 6 2 2" xfId="15139" xr:uid="{E2354CDA-9EC9-447C-9718-C9D48F0A5F12}"/>
    <cellStyle name="Comma 4 3 5 6 3" xfId="10921" xr:uid="{C7219EC0-8825-4CB6-94C8-F7BCB0E046A5}"/>
    <cellStyle name="Comma 4 3 5 7" xfId="2701" xr:uid="{00000000-0005-0000-0000-0000C5090000}"/>
    <cellStyle name="Comma 4 3 5 8" xfId="2783" xr:uid="{00000000-0005-0000-0000-0000C6090000}"/>
    <cellStyle name="Comma 4 3 5 8 2" xfId="7006" xr:uid="{00000000-0005-0000-0000-0000C7090000}"/>
    <cellStyle name="Comma 4 3 5 8 2 2" xfId="15456" xr:uid="{48CC1B0E-2156-4644-A43C-C4D3B16FD6BC}"/>
    <cellStyle name="Comma 4 3 5 8 3" xfId="11238" xr:uid="{B75325A0-1D7A-409B-ACBD-1C6BDB53F383}"/>
    <cellStyle name="Comma 4 3 5 9" xfId="4623" xr:uid="{00000000-0005-0000-0000-0000C8090000}"/>
    <cellStyle name="Comma 4 3 5 9 2" xfId="13073" xr:uid="{D9BD7785-4FAB-4C50-A392-94736E07B258}"/>
    <cellStyle name="Comma 4 4" xfId="153" xr:uid="{00000000-0005-0000-0000-0000C9090000}"/>
    <cellStyle name="Comma 4 4 10" xfId="2784" xr:uid="{00000000-0005-0000-0000-0000CA090000}"/>
    <cellStyle name="Comma 4 4 10 2" xfId="7007" xr:uid="{00000000-0005-0000-0000-0000CB090000}"/>
    <cellStyle name="Comma 4 4 10 2 2" xfId="15457" xr:uid="{3BE8D25A-98A5-42D0-8CD9-3A94E2B70844}"/>
    <cellStyle name="Comma 4 4 10 3" xfId="11239" xr:uid="{655AC655-4FD2-45A9-B801-AF89560AD0D8}"/>
    <cellStyle name="Comma 4 4 11" xfId="4624" xr:uid="{00000000-0005-0000-0000-0000CC090000}"/>
    <cellStyle name="Comma 4 4 11 2" xfId="13074" xr:uid="{BE11777D-7710-448F-BAB0-EFEB4C424AE7}"/>
    <cellStyle name="Comma 4 4 12" xfId="8856" xr:uid="{84020251-7639-4B64-B3CD-861B77294814}"/>
    <cellStyle name="Comma 4 4 2" xfId="154" xr:uid="{00000000-0005-0000-0000-0000CD090000}"/>
    <cellStyle name="Comma 4 4 2 10" xfId="4625" xr:uid="{00000000-0005-0000-0000-0000CE090000}"/>
    <cellStyle name="Comma 4 4 2 10 2" xfId="13075" xr:uid="{489B34D0-5AA0-475F-A298-29CF08D52535}"/>
    <cellStyle name="Comma 4 4 2 11" xfId="8857" xr:uid="{11FF70D1-74F7-43A3-8E8E-EE5037949BAB}"/>
    <cellStyle name="Comma 4 4 2 2" xfId="155" xr:uid="{00000000-0005-0000-0000-0000CF090000}"/>
    <cellStyle name="Comma 4 4 2 2 10" xfId="8858" xr:uid="{86254449-4156-4599-A624-C4BA84164EEA}"/>
    <cellStyle name="Comma 4 4 2 2 2" xfId="692" xr:uid="{00000000-0005-0000-0000-0000D0090000}"/>
    <cellStyle name="Comma 4 4 2 2 2 2" xfId="2963" xr:uid="{00000000-0005-0000-0000-0000D1090000}"/>
    <cellStyle name="Comma 4 4 2 2 2 2 2" xfId="7185" xr:uid="{00000000-0005-0000-0000-0000D2090000}"/>
    <cellStyle name="Comma 4 4 2 2 2 2 2 2" xfId="15635" xr:uid="{E9AEF008-0A1C-4673-A18C-A6A0F9FEBF96}"/>
    <cellStyle name="Comma 4 4 2 2 2 2 3" xfId="11417" xr:uid="{66AFFE4D-F303-45C7-99FF-2BC9F41DD1F6}"/>
    <cellStyle name="Comma 4 4 2 2 2 3" xfId="5040" xr:uid="{00000000-0005-0000-0000-0000D3090000}"/>
    <cellStyle name="Comma 4 4 2 2 2 3 2" xfId="13490" xr:uid="{9E13C7C2-E214-4487-BFA1-399EA0A977BE}"/>
    <cellStyle name="Comma 4 4 2 2 2 4" xfId="9272" xr:uid="{24386ABA-7C56-47FE-9690-BAD059A528BE}"/>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048" xr:uid="{5B739AFF-B8D3-429C-A161-6D8E57B4EE6B}"/>
    <cellStyle name="Comma 4 4 2 2 3 2 3" xfId="11830" xr:uid="{1CAB0AE6-AFE8-4C83-86C7-500FC439B935}"/>
    <cellStyle name="Comma 4 4 2 2 3 3" xfId="5453" xr:uid="{00000000-0005-0000-0000-0000D7090000}"/>
    <cellStyle name="Comma 4 4 2 2 3 3 2" xfId="13903" xr:uid="{616F473B-7629-4EF9-8439-D41BA2BB15E7}"/>
    <cellStyle name="Comma 4 4 2 2 3 4" xfId="9685" xr:uid="{8FA69215-381D-4BCC-BA3E-17233735CFCF}"/>
    <cellStyle name="Comma 4 4 2 2 4" xfId="1559" xr:uid="{00000000-0005-0000-0000-0000D8090000}"/>
    <cellStyle name="Comma 4 4 2 2 4 2" xfId="3789" xr:uid="{00000000-0005-0000-0000-0000D9090000}"/>
    <cellStyle name="Comma 4 4 2 2 4 2 2" xfId="8011" xr:uid="{00000000-0005-0000-0000-0000DA090000}"/>
    <cellStyle name="Comma 4 4 2 2 4 2 2 2" xfId="16461" xr:uid="{74299185-95BD-46AA-85EC-7C67A2B40A1A}"/>
    <cellStyle name="Comma 4 4 2 2 4 2 3" xfId="12243" xr:uid="{1CF1C6C0-3519-41A7-9418-8FAB7B0558E5}"/>
    <cellStyle name="Comma 4 4 2 2 4 3" xfId="5866" xr:uid="{00000000-0005-0000-0000-0000DB090000}"/>
    <cellStyle name="Comma 4 4 2 2 4 3 2" xfId="14316" xr:uid="{B52B83E1-E936-4060-84E5-2E5659DBF630}"/>
    <cellStyle name="Comma 4 4 2 2 4 4" xfId="10098" xr:uid="{51BDCAF8-DFBC-4C36-B530-4D5D762DA49D}"/>
    <cellStyle name="Comma 4 4 2 2 5" xfId="1973" xr:uid="{00000000-0005-0000-0000-0000DC090000}"/>
    <cellStyle name="Comma 4 4 2 2 5 2" xfId="4202" xr:uid="{00000000-0005-0000-0000-0000DD090000}"/>
    <cellStyle name="Comma 4 4 2 2 5 2 2" xfId="8424" xr:uid="{00000000-0005-0000-0000-0000DE090000}"/>
    <cellStyle name="Comma 4 4 2 2 5 2 2 2" xfId="16874" xr:uid="{A68F55BB-9D62-4033-9C5A-F2D8B68CD5B4}"/>
    <cellStyle name="Comma 4 4 2 2 5 2 3" xfId="12656" xr:uid="{536AF9AF-732B-4C82-88EF-CE5EC8118AD3}"/>
    <cellStyle name="Comma 4 4 2 2 5 3" xfId="6279" xr:uid="{00000000-0005-0000-0000-0000DF090000}"/>
    <cellStyle name="Comma 4 4 2 2 5 3 2" xfId="14729" xr:uid="{F0AB74D4-DB5B-4118-A4A7-865A92E8AA51}"/>
    <cellStyle name="Comma 4 4 2 2 5 4" xfId="10511" xr:uid="{56605948-E27A-47CF-9CF8-B411B6640497}"/>
    <cellStyle name="Comma 4 4 2 2 6" xfId="2408" xr:uid="{00000000-0005-0000-0000-0000E0090000}"/>
    <cellStyle name="Comma 4 4 2 2 6 2" xfId="6692" xr:uid="{00000000-0005-0000-0000-0000E1090000}"/>
    <cellStyle name="Comma 4 4 2 2 6 2 2" xfId="15142" xr:uid="{5BE4DEED-5237-490F-8180-B3D0881DCED9}"/>
    <cellStyle name="Comma 4 4 2 2 6 3" xfId="10924" xr:uid="{11961710-A8D9-4F40-9C86-F82DE549C0C7}"/>
    <cellStyle name="Comma 4 4 2 2 7" xfId="2704" xr:uid="{00000000-0005-0000-0000-0000E2090000}"/>
    <cellStyle name="Comma 4 4 2 2 8" xfId="2786" xr:uid="{00000000-0005-0000-0000-0000E3090000}"/>
    <cellStyle name="Comma 4 4 2 2 8 2" xfId="7009" xr:uid="{00000000-0005-0000-0000-0000E4090000}"/>
    <cellStyle name="Comma 4 4 2 2 8 2 2" xfId="15459" xr:uid="{AF22C0E9-AD1E-4F18-A907-23A2FFF74C35}"/>
    <cellStyle name="Comma 4 4 2 2 8 3" xfId="11241" xr:uid="{72A67E16-000F-4B9A-8D9E-8FEB1137AFCC}"/>
    <cellStyle name="Comma 4 4 2 2 9" xfId="4626" xr:uid="{00000000-0005-0000-0000-0000E5090000}"/>
    <cellStyle name="Comma 4 4 2 2 9 2" xfId="13076" xr:uid="{62911469-C408-4B9C-AE53-2CA44BDB1359}"/>
    <cellStyle name="Comma 4 4 2 3" xfId="691" xr:uid="{00000000-0005-0000-0000-0000E6090000}"/>
    <cellStyle name="Comma 4 4 2 3 2" xfId="2962" xr:uid="{00000000-0005-0000-0000-0000E7090000}"/>
    <cellStyle name="Comma 4 4 2 3 2 2" xfId="7184" xr:uid="{00000000-0005-0000-0000-0000E8090000}"/>
    <cellStyle name="Comma 4 4 2 3 2 2 2" xfId="15634" xr:uid="{B86FA5C8-7876-4F88-9FD8-01DB4AAA2C62}"/>
    <cellStyle name="Comma 4 4 2 3 2 3" xfId="11416" xr:uid="{79B000CE-3BD2-4D75-89C8-520D537D8F7C}"/>
    <cellStyle name="Comma 4 4 2 3 3" xfId="5039" xr:uid="{00000000-0005-0000-0000-0000E9090000}"/>
    <cellStyle name="Comma 4 4 2 3 3 2" xfId="13489" xr:uid="{F41DC298-BE5D-489D-99D9-2DB1F07360A2}"/>
    <cellStyle name="Comma 4 4 2 3 4" xfId="9271" xr:uid="{EEC279EF-2A3C-4A1D-A87F-2DFF1A7A3635}"/>
    <cellStyle name="Comma 4 4 2 4" xfId="1144" xr:uid="{00000000-0005-0000-0000-0000EA090000}"/>
    <cellStyle name="Comma 4 4 2 4 2" xfId="3375" xr:uid="{00000000-0005-0000-0000-0000EB090000}"/>
    <cellStyle name="Comma 4 4 2 4 2 2" xfId="7597" xr:uid="{00000000-0005-0000-0000-0000EC090000}"/>
    <cellStyle name="Comma 4 4 2 4 2 2 2" xfId="16047" xr:uid="{52DBCBCF-119E-4455-9C93-D4A81A5437A3}"/>
    <cellStyle name="Comma 4 4 2 4 2 3" xfId="11829" xr:uid="{B67893BA-D58F-4293-8AD4-7EFC7EC3AB14}"/>
    <cellStyle name="Comma 4 4 2 4 3" xfId="5452" xr:uid="{00000000-0005-0000-0000-0000ED090000}"/>
    <cellStyle name="Comma 4 4 2 4 3 2" xfId="13902" xr:uid="{13CDFA68-92DC-4961-8E03-C3DF8F4AAFFD}"/>
    <cellStyle name="Comma 4 4 2 4 4" xfId="9684" xr:uid="{D0CCF192-16AF-4880-8265-8C8F8610F909}"/>
    <cellStyle name="Comma 4 4 2 5" xfId="1558" xr:uid="{00000000-0005-0000-0000-0000EE090000}"/>
    <cellStyle name="Comma 4 4 2 5 2" xfId="3788" xr:uid="{00000000-0005-0000-0000-0000EF090000}"/>
    <cellStyle name="Comma 4 4 2 5 2 2" xfId="8010" xr:uid="{00000000-0005-0000-0000-0000F0090000}"/>
    <cellStyle name="Comma 4 4 2 5 2 2 2" xfId="16460" xr:uid="{256E212B-AAEE-4C99-9C96-957090C05269}"/>
    <cellStyle name="Comma 4 4 2 5 2 3" xfId="12242" xr:uid="{D042C56D-B785-45E9-A1C8-428161D193BC}"/>
    <cellStyle name="Comma 4 4 2 5 3" xfId="5865" xr:uid="{00000000-0005-0000-0000-0000F1090000}"/>
    <cellStyle name="Comma 4 4 2 5 3 2" xfId="14315" xr:uid="{9D7C398E-FE9E-46EA-B40F-0303F83C1B50}"/>
    <cellStyle name="Comma 4 4 2 5 4" xfId="10097" xr:uid="{E9807131-E4D6-4FE8-8412-EEC78D4D1F29}"/>
    <cellStyle name="Comma 4 4 2 6" xfId="1972" xr:uid="{00000000-0005-0000-0000-0000F2090000}"/>
    <cellStyle name="Comma 4 4 2 6 2" xfId="4201" xr:uid="{00000000-0005-0000-0000-0000F3090000}"/>
    <cellStyle name="Comma 4 4 2 6 2 2" xfId="8423" xr:uid="{00000000-0005-0000-0000-0000F4090000}"/>
    <cellStyle name="Comma 4 4 2 6 2 2 2" xfId="16873" xr:uid="{9FE92E7D-D6F6-467B-9B3F-A0F592E53E1D}"/>
    <cellStyle name="Comma 4 4 2 6 2 3" xfId="12655" xr:uid="{11EC0C48-D583-475C-B419-6B0B8556DAC5}"/>
    <cellStyle name="Comma 4 4 2 6 3" xfId="6278" xr:uid="{00000000-0005-0000-0000-0000F5090000}"/>
    <cellStyle name="Comma 4 4 2 6 3 2" xfId="14728" xr:uid="{8025F79E-F751-48B7-96D3-9DFDFD8AB288}"/>
    <cellStyle name="Comma 4 4 2 6 4" xfId="10510" xr:uid="{778B4521-6C76-4B4C-A591-1D73A1661803}"/>
    <cellStyle name="Comma 4 4 2 7" xfId="2407" xr:uid="{00000000-0005-0000-0000-0000F6090000}"/>
    <cellStyle name="Comma 4 4 2 7 2" xfId="6691" xr:uid="{00000000-0005-0000-0000-0000F7090000}"/>
    <cellStyle name="Comma 4 4 2 7 2 2" xfId="15141" xr:uid="{5C1D22FC-369B-47E4-9706-3083356826E1}"/>
    <cellStyle name="Comma 4 4 2 7 3" xfId="10923" xr:uid="{84AE2807-F7C5-4339-BBDC-14B2669DD5E8}"/>
    <cellStyle name="Comma 4 4 2 8" xfId="2703" xr:uid="{00000000-0005-0000-0000-0000F8090000}"/>
    <cellStyle name="Comma 4 4 2 9" xfId="2785" xr:uid="{00000000-0005-0000-0000-0000F9090000}"/>
    <cellStyle name="Comma 4 4 2 9 2" xfId="7008" xr:uid="{00000000-0005-0000-0000-0000FA090000}"/>
    <cellStyle name="Comma 4 4 2 9 2 2" xfId="15458" xr:uid="{C2629DB2-834D-42C2-B51C-DC6C16E5DF71}"/>
    <cellStyle name="Comma 4 4 2 9 3" xfId="11240" xr:uid="{21771DFF-B7A7-474C-B7F3-D6CE81DBB11F}"/>
    <cellStyle name="Comma 4 4 3" xfId="156" xr:uid="{00000000-0005-0000-0000-0000FB090000}"/>
    <cellStyle name="Comma 4 4 3 10" xfId="8859" xr:uid="{B18F123F-A1B7-4FED-860C-E6F0F407B340}"/>
    <cellStyle name="Comma 4 4 3 2" xfId="693" xr:uid="{00000000-0005-0000-0000-0000FC090000}"/>
    <cellStyle name="Comma 4 4 3 2 2" xfId="2964" xr:uid="{00000000-0005-0000-0000-0000FD090000}"/>
    <cellStyle name="Comma 4 4 3 2 2 2" xfId="7186" xr:uid="{00000000-0005-0000-0000-0000FE090000}"/>
    <cellStyle name="Comma 4 4 3 2 2 2 2" xfId="15636" xr:uid="{A6CE423B-CC45-4FF6-9E03-9420F506D702}"/>
    <cellStyle name="Comma 4 4 3 2 2 3" xfId="11418" xr:uid="{090B276A-45F1-4D46-BD07-D0214F081B65}"/>
    <cellStyle name="Comma 4 4 3 2 3" xfId="5041" xr:uid="{00000000-0005-0000-0000-0000FF090000}"/>
    <cellStyle name="Comma 4 4 3 2 3 2" xfId="13491" xr:uid="{7BE5E7DF-F961-4FC0-B368-393FA3BC99C0}"/>
    <cellStyle name="Comma 4 4 3 2 4" xfId="9273" xr:uid="{1B417B6F-1BA3-44CE-BBB5-A74FD38E29E0}"/>
    <cellStyle name="Comma 4 4 3 3" xfId="1146" xr:uid="{00000000-0005-0000-0000-0000000A0000}"/>
    <cellStyle name="Comma 4 4 3 3 2" xfId="3377" xr:uid="{00000000-0005-0000-0000-0000010A0000}"/>
    <cellStyle name="Comma 4 4 3 3 2 2" xfId="7599" xr:uid="{00000000-0005-0000-0000-0000020A0000}"/>
    <cellStyle name="Comma 4 4 3 3 2 2 2" xfId="16049" xr:uid="{97026765-1933-41A2-ADD3-9F9150259BBE}"/>
    <cellStyle name="Comma 4 4 3 3 2 3" xfId="11831" xr:uid="{5534B759-0DA6-4DCE-8541-58949307D11E}"/>
    <cellStyle name="Comma 4 4 3 3 3" xfId="5454" xr:uid="{00000000-0005-0000-0000-0000030A0000}"/>
    <cellStyle name="Comma 4 4 3 3 3 2" xfId="13904" xr:uid="{571955B6-67D4-4CD1-B2C1-237D8154670A}"/>
    <cellStyle name="Comma 4 4 3 3 4" xfId="9686" xr:uid="{6329F39C-10C8-4D5A-8278-A4D04FB29880}"/>
    <cellStyle name="Comma 4 4 3 4" xfId="1560" xr:uid="{00000000-0005-0000-0000-0000040A0000}"/>
    <cellStyle name="Comma 4 4 3 4 2" xfId="3790" xr:uid="{00000000-0005-0000-0000-0000050A0000}"/>
    <cellStyle name="Comma 4 4 3 4 2 2" xfId="8012" xr:uid="{00000000-0005-0000-0000-0000060A0000}"/>
    <cellStyle name="Comma 4 4 3 4 2 2 2" xfId="16462" xr:uid="{A171EABF-05EC-4869-8B4A-044BD5CEA2F5}"/>
    <cellStyle name="Comma 4 4 3 4 2 3" xfId="12244" xr:uid="{56425D5A-3CD3-406A-93E7-30142EE80B59}"/>
    <cellStyle name="Comma 4 4 3 4 3" xfId="5867" xr:uid="{00000000-0005-0000-0000-0000070A0000}"/>
    <cellStyle name="Comma 4 4 3 4 3 2" xfId="14317" xr:uid="{B9D1F9D3-9E9A-4BDA-A8B2-8EDBA5CC55A8}"/>
    <cellStyle name="Comma 4 4 3 4 4" xfId="10099" xr:uid="{89164CE0-C47F-41D5-9950-F814AED01D17}"/>
    <cellStyle name="Comma 4 4 3 5" xfId="1974" xr:uid="{00000000-0005-0000-0000-0000080A0000}"/>
    <cellStyle name="Comma 4 4 3 5 2" xfId="4203" xr:uid="{00000000-0005-0000-0000-0000090A0000}"/>
    <cellStyle name="Comma 4 4 3 5 2 2" xfId="8425" xr:uid="{00000000-0005-0000-0000-00000A0A0000}"/>
    <cellStyle name="Comma 4 4 3 5 2 2 2" xfId="16875" xr:uid="{2B888401-EE69-4B7C-BFB4-08A36D3A0159}"/>
    <cellStyle name="Comma 4 4 3 5 2 3" xfId="12657" xr:uid="{7C94D430-BCAD-4F10-BD87-06B2B7583B8E}"/>
    <cellStyle name="Comma 4 4 3 5 3" xfId="6280" xr:uid="{00000000-0005-0000-0000-00000B0A0000}"/>
    <cellStyle name="Comma 4 4 3 5 3 2" xfId="14730" xr:uid="{870AF90D-0D2D-4B61-99BA-28C2422595F4}"/>
    <cellStyle name="Comma 4 4 3 5 4" xfId="10512" xr:uid="{CC1E46DC-DF43-455C-8219-330E93D6313F}"/>
    <cellStyle name="Comma 4 4 3 6" xfId="2409" xr:uid="{00000000-0005-0000-0000-00000C0A0000}"/>
    <cellStyle name="Comma 4 4 3 6 2" xfId="6693" xr:uid="{00000000-0005-0000-0000-00000D0A0000}"/>
    <cellStyle name="Comma 4 4 3 6 2 2" xfId="15143" xr:uid="{A58810CC-1819-4732-8829-BECFCCF6F9E3}"/>
    <cellStyle name="Comma 4 4 3 6 3" xfId="10925" xr:uid="{953B3440-9FB3-4C8C-A14A-77BAC977CD6D}"/>
    <cellStyle name="Comma 4 4 3 7" xfId="2705" xr:uid="{00000000-0005-0000-0000-00000E0A0000}"/>
    <cellStyle name="Comma 4 4 3 8" xfId="2787" xr:uid="{00000000-0005-0000-0000-00000F0A0000}"/>
    <cellStyle name="Comma 4 4 3 8 2" xfId="7010" xr:uid="{00000000-0005-0000-0000-0000100A0000}"/>
    <cellStyle name="Comma 4 4 3 8 2 2" xfId="15460" xr:uid="{DC304960-B2D6-4882-9CAA-B6F9E4FD0A35}"/>
    <cellStyle name="Comma 4 4 3 8 3" xfId="11242" xr:uid="{0DDADD03-8860-4159-B535-130566A5E8D2}"/>
    <cellStyle name="Comma 4 4 3 9" xfId="4627" xr:uid="{00000000-0005-0000-0000-0000110A0000}"/>
    <cellStyle name="Comma 4 4 3 9 2" xfId="13077" xr:uid="{265CA10B-A3AC-4BD0-A8B1-E91EB1FBD0CE}"/>
    <cellStyle name="Comma 4 4 4" xfId="690" xr:uid="{00000000-0005-0000-0000-0000120A0000}"/>
    <cellStyle name="Comma 4 4 4 2" xfId="2961" xr:uid="{00000000-0005-0000-0000-0000130A0000}"/>
    <cellStyle name="Comma 4 4 4 2 2" xfId="7183" xr:uid="{00000000-0005-0000-0000-0000140A0000}"/>
    <cellStyle name="Comma 4 4 4 2 2 2" xfId="15633" xr:uid="{9B18CE85-0854-47EC-BB45-2A766280B8EC}"/>
    <cellStyle name="Comma 4 4 4 2 3" xfId="11415" xr:uid="{0F45E1FF-D8F5-4658-9DC7-FA07BED8984B}"/>
    <cellStyle name="Comma 4 4 4 3" xfId="5038" xr:uid="{00000000-0005-0000-0000-0000150A0000}"/>
    <cellStyle name="Comma 4 4 4 3 2" xfId="13488" xr:uid="{85DB8DD7-213E-4F26-95A9-9D7AFC554750}"/>
    <cellStyle name="Comma 4 4 4 4" xfId="9270" xr:uid="{D6D79C96-5CED-4BB3-823D-193B1A41BD57}"/>
    <cellStyle name="Comma 4 4 5" xfId="1143" xr:uid="{00000000-0005-0000-0000-0000160A0000}"/>
    <cellStyle name="Comma 4 4 5 2" xfId="3374" xr:uid="{00000000-0005-0000-0000-0000170A0000}"/>
    <cellStyle name="Comma 4 4 5 2 2" xfId="7596" xr:uid="{00000000-0005-0000-0000-0000180A0000}"/>
    <cellStyle name="Comma 4 4 5 2 2 2" xfId="16046" xr:uid="{1D135541-574C-4C33-943F-7CD9E0652EAB}"/>
    <cellStyle name="Comma 4 4 5 2 3" xfId="11828" xr:uid="{ED7041F9-DE4D-45AD-9284-DAFCB85E77AE}"/>
    <cellStyle name="Comma 4 4 5 3" xfId="5451" xr:uid="{00000000-0005-0000-0000-0000190A0000}"/>
    <cellStyle name="Comma 4 4 5 3 2" xfId="13901" xr:uid="{4E6EC2E2-B140-4B79-ACFB-4F699201EA4D}"/>
    <cellStyle name="Comma 4 4 5 4" xfId="9683" xr:uid="{976B5AAA-1DA7-4831-9C87-B086228FB286}"/>
    <cellStyle name="Comma 4 4 6" xfId="1557" xr:uid="{00000000-0005-0000-0000-00001A0A0000}"/>
    <cellStyle name="Comma 4 4 6 2" xfId="3787" xr:uid="{00000000-0005-0000-0000-00001B0A0000}"/>
    <cellStyle name="Comma 4 4 6 2 2" xfId="8009" xr:uid="{00000000-0005-0000-0000-00001C0A0000}"/>
    <cellStyle name="Comma 4 4 6 2 2 2" xfId="16459" xr:uid="{8D1855E4-0FFA-4178-9098-78303A1797FD}"/>
    <cellStyle name="Comma 4 4 6 2 3" xfId="12241" xr:uid="{312C8504-578F-406A-B686-C7D3553FC61D}"/>
    <cellStyle name="Comma 4 4 6 3" xfId="5864" xr:uid="{00000000-0005-0000-0000-00001D0A0000}"/>
    <cellStyle name="Comma 4 4 6 3 2" xfId="14314" xr:uid="{BAB0CFE8-104D-4B1A-AE7F-0E56E6AE97FF}"/>
    <cellStyle name="Comma 4 4 6 4" xfId="10096" xr:uid="{D3197FCF-069F-4F6D-96D1-4D547F3065F5}"/>
    <cellStyle name="Comma 4 4 7" xfId="1971" xr:uid="{00000000-0005-0000-0000-00001E0A0000}"/>
    <cellStyle name="Comma 4 4 7 2" xfId="4200" xr:uid="{00000000-0005-0000-0000-00001F0A0000}"/>
    <cellStyle name="Comma 4 4 7 2 2" xfId="8422" xr:uid="{00000000-0005-0000-0000-0000200A0000}"/>
    <cellStyle name="Comma 4 4 7 2 2 2" xfId="16872" xr:uid="{F84A1F94-F39E-4D9B-8CF1-B8101E1241F2}"/>
    <cellStyle name="Comma 4 4 7 2 3" xfId="12654" xr:uid="{A9E80256-96C7-44BF-86B8-66EBD3010917}"/>
    <cellStyle name="Comma 4 4 7 3" xfId="6277" xr:uid="{00000000-0005-0000-0000-0000210A0000}"/>
    <cellStyle name="Comma 4 4 7 3 2" xfId="14727" xr:uid="{FE79E1FF-7F8E-46F3-B96B-EA7A15544FF2}"/>
    <cellStyle name="Comma 4 4 7 4" xfId="10509" xr:uid="{C80429EF-5032-4B1C-BDBE-9AF0C3C62EB6}"/>
    <cellStyle name="Comma 4 4 8" xfId="2406" xr:uid="{00000000-0005-0000-0000-0000220A0000}"/>
    <cellStyle name="Comma 4 4 8 2" xfId="6690" xr:uid="{00000000-0005-0000-0000-0000230A0000}"/>
    <cellStyle name="Comma 4 4 8 2 2" xfId="15140" xr:uid="{DC214E8E-E5C3-4841-AD6C-2AAFC59E4DC4}"/>
    <cellStyle name="Comma 4 4 8 3" xfId="10922" xr:uid="{73F7E9A9-AADE-4502-A36B-36F6C97A1903}"/>
    <cellStyle name="Comma 4 4 9" xfId="2702" xr:uid="{00000000-0005-0000-0000-0000240A0000}"/>
    <cellStyle name="Comma 4 5" xfId="157" xr:uid="{00000000-0005-0000-0000-0000250A0000}"/>
    <cellStyle name="Comma 4 5 10" xfId="4628" xr:uid="{00000000-0005-0000-0000-0000260A0000}"/>
    <cellStyle name="Comma 4 5 10 2" xfId="13078" xr:uid="{FF153E0E-6A9E-4EC5-BF2D-883D3CAB659B}"/>
    <cellStyle name="Comma 4 5 11" xfId="8860" xr:uid="{35B59950-D714-4ABE-A370-1EB90D7279C0}"/>
    <cellStyle name="Comma 4 5 2" xfId="158" xr:uid="{00000000-0005-0000-0000-0000270A0000}"/>
    <cellStyle name="Comma 4 5 2 10" xfId="8861" xr:uid="{001C6C88-B25A-4BEC-8B91-DEE3EF882857}"/>
    <cellStyle name="Comma 4 5 2 2" xfId="695" xr:uid="{00000000-0005-0000-0000-0000280A0000}"/>
    <cellStyle name="Comma 4 5 2 2 2" xfId="2966" xr:uid="{00000000-0005-0000-0000-0000290A0000}"/>
    <cellStyle name="Comma 4 5 2 2 2 2" xfId="7188" xr:uid="{00000000-0005-0000-0000-00002A0A0000}"/>
    <cellStyle name="Comma 4 5 2 2 2 2 2" xfId="15638" xr:uid="{A137379E-C9B0-4155-AB7F-91F2667E9FC7}"/>
    <cellStyle name="Comma 4 5 2 2 2 3" xfId="11420" xr:uid="{E1C878B5-B5DF-43B5-8AD9-3653E9A3031A}"/>
    <cellStyle name="Comma 4 5 2 2 3" xfId="5043" xr:uid="{00000000-0005-0000-0000-00002B0A0000}"/>
    <cellStyle name="Comma 4 5 2 2 3 2" xfId="13493" xr:uid="{F3D29BFA-BF36-4F4D-BAA5-1EFDCD8FB64A}"/>
    <cellStyle name="Comma 4 5 2 2 4" xfId="9275" xr:uid="{E1BFBBE6-59B6-4B86-AEA1-A90ABFB9ABCF}"/>
    <cellStyle name="Comma 4 5 2 3" xfId="1148" xr:uid="{00000000-0005-0000-0000-00002C0A0000}"/>
    <cellStyle name="Comma 4 5 2 3 2" xfId="3379" xr:uid="{00000000-0005-0000-0000-00002D0A0000}"/>
    <cellStyle name="Comma 4 5 2 3 2 2" xfId="7601" xr:uid="{00000000-0005-0000-0000-00002E0A0000}"/>
    <cellStyle name="Comma 4 5 2 3 2 2 2" xfId="16051" xr:uid="{81C0FDD7-2E66-42CB-82E0-125C894B7809}"/>
    <cellStyle name="Comma 4 5 2 3 2 3" xfId="11833" xr:uid="{D51207CA-F385-4827-923F-FA8F5274E19D}"/>
    <cellStyle name="Comma 4 5 2 3 3" xfId="5456" xr:uid="{00000000-0005-0000-0000-00002F0A0000}"/>
    <cellStyle name="Comma 4 5 2 3 3 2" xfId="13906" xr:uid="{364DE07A-B1C3-413F-91E8-46EC0F13995E}"/>
    <cellStyle name="Comma 4 5 2 3 4" xfId="9688" xr:uid="{84AFDCBA-6D4E-4DBF-971A-E81FD05111ED}"/>
    <cellStyle name="Comma 4 5 2 4" xfId="1562" xr:uid="{00000000-0005-0000-0000-0000300A0000}"/>
    <cellStyle name="Comma 4 5 2 4 2" xfId="3792" xr:uid="{00000000-0005-0000-0000-0000310A0000}"/>
    <cellStyle name="Comma 4 5 2 4 2 2" xfId="8014" xr:uid="{00000000-0005-0000-0000-0000320A0000}"/>
    <cellStyle name="Comma 4 5 2 4 2 2 2" xfId="16464" xr:uid="{3AB6D4BD-B0DD-40DC-9D87-F31702E5EC3B}"/>
    <cellStyle name="Comma 4 5 2 4 2 3" xfId="12246" xr:uid="{2CD495E8-1265-4CA6-8ADD-E192FFD2A337}"/>
    <cellStyle name="Comma 4 5 2 4 3" xfId="5869" xr:uid="{00000000-0005-0000-0000-0000330A0000}"/>
    <cellStyle name="Comma 4 5 2 4 3 2" xfId="14319" xr:uid="{0AD1ECD4-9935-48BB-9839-5564BA6580D8}"/>
    <cellStyle name="Comma 4 5 2 4 4" xfId="10101" xr:uid="{7E4552D8-9B07-4D46-9027-0F05065D406D}"/>
    <cellStyle name="Comma 4 5 2 5" xfId="1976" xr:uid="{00000000-0005-0000-0000-0000340A0000}"/>
    <cellStyle name="Comma 4 5 2 5 2" xfId="4205" xr:uid="{00000000-0005-0000-0000-0000350A0000}"/>
    <cellStyle name="Comma 4 5 2 5 2 2" xfId="8427" xr:uid="{00000000-0005-0000-0000-0000360A0000}"/>
    <cellStyle name="Comma 4 5 2 5 2 2 2" xfId="16877" xr:uid="{BAD3EC68-9881-46AC-A177-AD66F1FF931B}"/>
    <cellStyle name="Comma 4 5 2 5 2 3" xfId="12659" xr:uid="{441AD59E-0710-4412-871B-C8E97754F4F1}"/>
    <cellStyle name="Comma 4 5 2 5 3" xfId="6282" xr:uid="{00000000-0005-0000-0000-0000370A0000}"/>
    <cellStyle name="Comma 4 5 2 5 3 2" xfId="14732" xr:uid="{29CBDA3C-6F5B-4F03-842D-0548BD0A410D}"/>
    <cellStyle name="Comma 4 5 2 5 4" xfId="10514" xr:uid="{61E9EFD9-3AD4-4BEB-8784-3669B4CC914F}"/>
    <cellStyle name="Comma 4 5 2 6" xfId="2411" xr:uid="{00000000-0005-0000-0000-0000380A0000}"/>
    <cellStyle name="Comma 4 5 2 6 2" xfId="6695" xr:uid="{00000000-0005-0000-0000-0000390A0000}"/>
    <cellStyle name="Comma 4 5 2 6 2 2" xfId="15145" xr:uid="{7BA27683-722A-45E3-831E-C47D3D849564}"/>
    <cellStyle name="Comma 4 5 2 6 3" xfId="10927" xr:uid="{EC276DB5-59AE-47E4-A3A2-DD109F6A0BB6}"/>
    <cellStyle name="Comma 4 5 2 7" xfId="2707" xr:uid="{00000000-0005-0000-0000-00003A0A0000}"/>
    <cellStyle name="Comma 4 5 2 8" xfId="2789" xr:uid="{00000000-0005-0000-0000-00003B0A0000}"/>
    <cellStyle name="Comma 4 5 2 8 2" xfId="7012" xr:uid="{00000000-0005-0000-0000-00003C0A0000}"/>
    <cellStyle name="Comma 4 5 2 8 2 2" xfId="15462" xr:uid="{D788B51D-64AC-4635-B723-A3A3EBF54313}"/>
    <cellStyle name="Comma 4 5 2 8 3" xfId="11244" xr:uid="{8C94EA69-413E-4257-89B5-296DC5A5FE23}"/>
    <cellStyle name="Comma 4 5 2 9" xfId="4629" xr:uid="{00000000-0005-0000-0000-00003D0A0000}"/>
    <cellStyle name="Comma 4 5 2 9 2" xfId="13079" xr:uid="{E2CF8F96-44F7-40AC-BD78-3ACE2A1AB1D0}"/>
    <cellStyle name="Comma 4 5 3" xfId="694" xr:uid="{00000000-0005-0000-0000-00003E0A0000}"/>
    <cellStyle name="Comma 4 5 3 2" xfId="2965" xr:uid="{00000000-0005-0000-0000-00003F0A0000}"/>
    <cellStyle name="Comma 4 5 3 2 2" xfId="7187" xr:uid="{00000000-0005-0000-0000-0000400A0000}"/>
    <cellStyle name="Comma 4 5 3 2 2 2" xfId="15637" xr:uid="{8187D90E-1B06-490B-AF57-A1D19BD37905}"/>
    <cellStyle name="Comma 4 5 3 2 3" xfId="11419" xr:uid="{EBD86994-9938-4517-9783-C4C8C17A073D}"/>
    <cellStyle name="Comma 4 5 3 3" xfId="5042" xr:uid="{00000000-0005-0000-0000-0000410A0000}"/>
    <cellStyle name="Comma 4 5 3 3 2" xfId="13492" xr:uid="{E44DA435-F423-4831-A278-713912FC1665}"/>
    <cellStyle name="Comma 4 5 3 4" xfId="9274" xr:uid="{455A2079-B5A8-41F5-A033-5C7C28D394E9}"/>
    <cellStyle name="Comma 4 5 4" xfId="1147" xr:uid="{00000000-0005-0000-0000-0000420A0000}"/>
    <cellStyle name="Comma 4 5 4 2" xfId="3378" xr:uid="{00000000-0005-0000-0000-0000430A0000}"/>
    <cellStyle name="Comma 4 5 4 2 2" xfId="7600" xr:uid="{00000000-0005-0000-0000-0000440A0000}"/>
    <cellStyle name="Comma 4 5 4 2 2 2" xfId="16050" xr:uid="{950F622B-FE4C-468F-8DD2-2BB0BC156D32}"/>
    <cellStyle name="Comma 4 5 4 2 3" xfId="11832" xr:uid="{BAC34D16-714F-4392-B1A4-6B89BDF611EF}"/>
    <cellStyle name="Comma 4 5 4 3" xfId="5455" xr:uid="{00000000-0005-0000-0000-0000450A0000}"/>
    <cellStyle name="Comma 4 5 4 3 2" xfId="13905" xr:uid="{F256149A-3C82-45EB-8C80-F489A594CE01}"/>
    <cellStyle name="Comma 4 5 4 4" xfId="9687" xr:uid="{E45EBF1E-D473-4CE4-9E89-16D0901CB696}"/>
    <cellStyle name="Comma 4 5 5" xfId="1561" xr:uid="{00000000-0005-0000-0000-0000460A0000}"/>
    <cellStyle name="Comma 4 5 5 2" xfId="3791" xr:uid="{00000000-0005-0000-0000-0000470A0000}"/>
    <cellStyle name="Comma 4 5 5 2 2" xfId="8013" xr:uid="{00000000-0005-0000-0000-0000480A0000}"/>
    <cellStyle name="Comma 4 5 5 2 2 2" xfId="16463" xr:uid="{37AC1D85-0F10-4847-B304-9D5DF15A5EC5}"/>
    <cellStyle name="Comma 4 5 5 2 3" xfId="12245" xr:uid="{0016BAFD-6C63-40C9-9CB4-37B4BC7E7C75}"/>
    <cellStyle name="Comma 4 5 5 3" xfId="5868" xr:uid="{00000000-0005-0000-0000-0000490A0000}"/>
    <cellStyle name="Comma 4 5 5 3 2" xfId="14318" xr:uid="{8C175447-FB0F-4373-82A9-633F6414E03E}"/>
    <cellStyle name="Comma 4 5 5 4" xfId="10100" xr:uid="{BC7322CA-355F-4F93-A4F6-9A51B99D75F7}"/>
    <cellStyle name="Comma 4 5 6" xfId="1975" xr:uid="{00000000-0005-0000-0000-00004A0A0000}"/>
    <cellStyle name="Comma 4 5 6 2" xfId="4204" xr:uid="{00000000-0005-0000-0000-00004B0A0000}"/>
    <cellStyle name="Comma 4 5 6 2 2" xfId="8426" xr:uid="{00000000-0005-0000-0000-00004C0A0000}"/>
    <cellStyle name="Comma 4 5 6 2 2 2" xfId="16876" xr:uid="{94292E94-F1C8-4D81-851B-C34E0758DF9B}"/>
    <cellStyle name="Comma 4 5 6 2 3" xfId="12658" xr:uid="{29265ABB-9C94-407F-BAEE-36CD2873D9BE}"/>
    <cellStyle name="Comma 4 5 6 3" xfId="6281" xr:uid="{00000000-0005-0000-0000-00004D0A0000}"/>
    <cellStyle name="Comma 4 5 6 3 2" xfId="14731" xr:uid="{BC972750-6A21-4457-B232-43A2FBBEBFCA}"/>
    <cellStyle name="Comma 4 5 6 4" xfId="10513" xr:uid="{06B035D1-4B8F-44EE-9CBC-938748DB15AB}"/>
    <cellStyle name="Comma 4 5 7" xfId="2410" xr:uid="{00000000-0005-0000-0000-00004E0A0000}"/>
    <cellStyle name="Comma 4 5 7 2" xfId="6694" xr:uid="{00000000-0005-0000-0000-00004F0A0000}"/>
    <cellStyle name="Comma 4 5 7 2 2" xfId="15144" xr:uid="{DA4703F0-9786-4D66-8B76-E57CD393916B}"/>
    <cellStyle name="Comma 4 5 7 3" xfId="10926" xr:uid="{BD8A76BB-363E-44B2-939C-8A55549C3AAE}"/>
    <cellStyle name="Comma 4 5 8" xfId="2706" xr:uid="{00000000-0005-0000-0000-0000500A0000}"/>
    <cellStyle name="Comma 4 5 9" xfId="2788" xr:uid="{00000000-0005-0000-0000-0000510A0000}"/>
    <cellStyle name="Comma 4 5 9 2" xfId="7011" xr:uid="{00000000-0005-0000-0000-0000520A0000}"/>
    <cellStyle name="Comma 4 5 9 2 2" xfId="15461" xr:uid="{01E1EF15-C343-4FFA-A0E2-3C0FE7991421}"/>
    <cellStyle name="Comma 4 5 9 3" xfId="11243" xr:uid="{3B940137-A648-46A0-9756-6A9E7C5A8BB9}"/>
    <cellStyle name="Comma 4 6" xfId="159" xr:uid="{00000000-0005-0000-0000-0000530A0000}"/>
    <cellStyle name="Comma 4 6 10" xfId="8862" xr:uid="{68D5D844-3051-41DD-8D7A-4A7A5D74BA96}"/>
    <cellStyle name="Comma 4 6 2" xfId="696" xr:uid="{00000000-0005-0000-0000-0000540A0000}"/>
    <cellStyle name="Comma 4 6 2 2" xfId="2967" xr:uid="{00000000-0005-0000-0000-0000550A0000}"/>
    <cellStyle name="Comma 4 6 2 2 2" xfId="7189" xr:uid="{00000000-0005-0000-0000-0000560A0000}"/>
    <cellStyle name="Comma 4 6 2 2 2 2" xfId="15639" xr:uid="{556B9E52-4E1F-4C4A-A485-84C1DDC61E3A}"/>
    <cellStyle name="Comma 4 6 2 2 3" xfId="11421" xr:uid="{BB11E9DB-E1BD-4B1B-B727-B683B6B677B4}"/>
    <cellStyle name="Comma 4 6 2 3" xfId="5044" xr:uid="{00000000-0005-0000-0000-0000570A0000}"/>
    <cellStyle name="Comma 4 6 2 3 2" xfId="13494" xr:uid="{044C1744-AF27-4232-8144-AA0161E60ABC}"/>
    <cellStyle name="Comma 4 6 2 4" xfId="9276" xr:uid="{B18EBBAD-78F1-4775-94D0-B0161B108A04}"/>
    <cellStyle name="Comma 4 6 3" xfId="1149" xr:uid="{00000000-0005-0000-0000-0000580A0000}"/>
    <cellStyle name="Comma 4 6 3 2" xfId="3380" xr:uid="{00000000-0005-0000-0000-0000590A0000}"/>
    <cellStyle name="Comma 4 6 3 2 2" xfId="7602" xr:uid="{00000000-0005-0000-0000-00005A0A0000}"/>
    <cellStyle name="Comma 4 6 3 2 2 2" xfId="16052" xr:uid="{F63FC66D-C3C9-45DE-8248-7FA0311C454C}"/>
    <cellStyle name="Comma 4 6 3 2 3" xfId="11834" xr:uid="{3B836AC2-A693-4547-B161-48E521C9A0B7}"/>
    <cellStyle name="Comma 4 6 3 3" xfId="5457" xr:uid="{00000000-0005-0000-0000-00005B0A0000}"/>
    <cellStyle name="Comma 4 6 3 3 2" xfId="13907" xr:uid="{84A14ED8-5C68-4ACF-AC8E-E69B7A90FDCB}"/>
    <cellStyle name="Comma 4 6 3 4" xfId="9689" xr:uid="{2BBCFD98-97AA-4427-99DA-7583620A7688}"/>
    <cellStyle name="Comma 4 6 4" xfId="1563" xr:uid="{00000000-0005-0000-0000-00005C0A0000}"/>
    <cellStyle name="Comma 4 6 4 2" xfId="3793" xr:uid="{00000000-0005-0000-0000-00005D0A0000}"/>
    <cellStyle name="Comma 4 6 4 2 2" xfId="8015" xr:uid="{00000000-0005-0000-0000-00005E0A0000}"/>
    <cellStyle name="Comma 4 6 4 2 2 2" xfId="16465" xr:uid="{619D036C-1979-486A-B2AC-CDC6BC6F3218}"/>
    <cellStyle name="Comma 4 6 4 2 3" xfId="12247" xr:uid="{7F2E8C14-8C5C-4123-A95A-5F149DA02F66}"/>
    <cellStyle name="Comma 4 6 4 3" xfId="5870" xr:uid="{00000000-0005-0000-0000-00005F0A0000}"/>
    <cellStyle name="Comma 4 6 4 3 2" xfId="14320" xr:uid="{F2276DE0-8384-4033-BC06-594E8E6D94A0}"/>
    <cellStyle name="Comma 4 6 4 4" xfId="10102" xr:uid="{9E01D967-0D96-49E2-A5BE-CC64C5AD4529}"/>
    <cellStyle name="Comma 4 6 5" xfId="1977" xr:uid="{00000000-0005-0000-0000-0000600A0000}"/>
    <cellStyle name="Comma 4 6 5 2" xfId="4206" xr:uid="{00000000-0005-0000-0000-0000610A0000}"/>
    <cellStyle name="Comma 4 6 5 2 2" xfId="8428" xr:uid="{00000000-0005-0000-0000-0000620A0000}"/>
    <cellStyle name="Comma 4 6 5 2 2 2" xfId="16878" xr:uid="{836DA80D-6B2B-40D8-990C-8DD9F2830530}"/>
    <cellStyle name="Comma 4 6 5 2 3" xfId="12660" xr:uid="{5F83074A-5AC2-4D18-B3B9-559AACB14D56}"/>
    <cellStyle name="Comma 4 6 5 3" xfId="6283" xr:uid="{00000000-0005-0000-0000-0000630A0000}"/>
    <cellStyle name="Comma 4 6 5 3 2" xfId="14733" xr:uid="{FB94FBCF-CE46-46AB-83CA-82A7CF3D603B}"/>
    <cellStyle name="Comma 4 6 5 4" xfId="10515" xr:uid="{222BDE5F-4F64-4664-97CC-DAF6A2B20F6C}"/>
    <cellStyle name="Comma 4 6 6" xfId="2412" xr:uid="{00000000-0005-0000-0000-0000640A0000}"/>
    <cellStyle name="Comma 4 6 6 2" xfId="6696" xr:uid="{00000000-0005-0000-0000-0000650A0000}"/>
    <cellStyle name="Comma 4 6 6 2 2" xfId="15146" xr:uid="{D24AB649-8C84-4ADE-8DF5-2BC3F6916188}"/>
    <cellStyle name="Comma 4 6 6 3" xfId="10928" xr:uid="{E4F96A8E-B56B-4B46-8FB9-923A992FFD55}"/>
    <cellStyle name="Comma 4 6 7" xfId="2708" xr:uid="{00000000-0005-0000-0000-0000660A0000}"/>
    <cellStyle name="Comma 4 6 8" xfId="2790" xr:uid="{00000000-0005-0000-0000-0000670A0000}"/>
    <cellStyle name="Comma 4 6 8 2" xfId="7013" xr:uid="{00000000-0005-0000-0000-0000680A0000}"/>
    <cellStyle name="Comma 4 6 8 2 2" xfId="15463" xr:uid="{6D851321-BE0A-4BFB-A874-EF8B3011271C}"/>
    <cellStyle name="Comma 4 6 8 3" xfId="11245" xr:uid="{4BDEF6B4-9E86-413E-83BC-A3DC0D783D4D}"/>
    <cellStyle name="Comma 4 6 9" xfId="4630" xr:uid="{00000000-0005-0000-0000-0000690A0000}"/>
    <cellStyle name="Comma 4 6 9 2" xfId="13080" xr:uid="{BDFE1AD8-5A61-48C4-8D04-F477B2D02893}"/>
    <cellStyle name="Comma 4 7" xfId="160" xr:uid="{00000000-0005-0000-0000-00006A0A0000}"/>
    <cellStyle name="Comma 4 7 10" xfId="8863" xr:uid="{22C71DD3-FAC9-44EB-9240-4AFAB423DE21}"/>
    <cellStyle name="Comma 4 7 2" xfId="697" xr:uid="{00000000-0005-0000-0000-00006B0A0000}"/>
    <cellStyle name="Comma 4 7 2 2" xfId="2968" xr:uid="{00000000-0005-0000-0000-00006C0A0000}"/>
    <cellStyle name="Comma 4 7 2 2 2" xfId="7190" xr:uid="{00000000-0005-0000-0000-00006D0A0000}"/>
    <cellStyle name="Comma 4 7 2 2 2 2" xfId="15640" xr:uid="{A28ADA79-C57C-4EE9-9774-D252FA087A90}"/>
    <cellStyle name="Comma 4 7 2 2 3" xfId="11422" xr:uid="{D7B952B7-4497-47EE-ACCD-03905CBE4098}"/>
    <cellStyle name="Comma 4 7 2 3" xfId="5045" xr:uid="{00000000-0005-0000-0000-00006E0A0000}"/>
    <cellStyle name="Comma 4 7 2 3 2" xfId="13495" xr:uid="{C35E38BA-FA9D-4EC3-88E7-A19800ADABCA}"/>
    <cellStyle name="Comma 4 7 2 4" xfId="9277" xr:uid="{6D07AA75-D826-42EA-B52D-2B1200814D19}"/>
    <cellStyle name="Comma 4 7 3" xfId="1150" xr:uid="{00000000-0005-0000-0000-00006F0A0000}"/>
    <cellStyle name="Comma 4 7 3 2" xfId="3381" xr:uid="{00000000-0005-0000-0000-0000700A0000}"/>
    <cellStyle name="Comma 4 7 3 2 2" xfId="7603" xr:uid="{00000000-0005-0000-0000-0000710A0000}"/>
    <cellStyle name="Comma 4 7 3 2 2 2" xfId="16053" xr:uid="{DE02AB0F-B410-4FA6-943A-32FD3488D922}"/>
    <cellStyle name="Comma 4 7 3 2 3" xfId="11835" xr:uid="{7964431B-3A08-4CF7-877C-B64FD73BD89F}"/>
    <cellStyle name="Comma 4 7 3 3" xfId="5458" xr:uid="{00000000-0005-0000-0000-0000720A0000}"/>
    <cellStyle name="Comma 4 7 3 3 2" xfId="13908" xr:uid="{4315E33C-0C1E-43D7-8D8A-FFC837775079}"/>
    <cellStyle name="Comma 4 7 3 4" xfId="9690" xr:uid="{3B5A21DB-B6DB-4199-B5E3-6DD4161A61A4}"/>
    <cellStyle name="Comma 4 7 4" xfId="1564" xr:uid="{00000000-0005-0000-0000-0000730A0000}"/>
    <cellStyle name="Comma 4 7 4 2" xfId="3794" xr:uid="{00000000-0005-0000-0000-0000740A0000}"/>
    <cellStyle name="Comma 4 7 4 2 2" xfId="8016" xr:uid="{00000000-0005-0000-0000-0000750A0000}"/>
    <cellStyle name="Comma 4 7 4 2 2 2" xfId="16466" xr:uid="{FB4BA7DD-44C1-4E34-AC01-E2E6BD202881}"/>
    <cellStyle name="Comma 4 7 4 2 3" xfId="12248" xr:uid="{E3DB64B9-8AFE-4F52-A38E-054A6731B0EC}"/>
    <cellStyle name="Comma 4 7 4 3" xfId="5871" xr:uid="{00000000-0005-0000-0000-0000760A0000}"/>
    <cellStyle name="Comma 4 7 4 3 2" xfId="14321" xr:uid="{563D5C37-FC01-4E84-BDEC-0EFECD88A91C}"/>
    <cellStyle name="Comma 4 7 4 4" xfId="10103" xr:uid="{4C988FB5-9887-46B3-B9E5-E68C1D9870F5}"/>
    <cellStyle name="Comma 4 7 5" xfId="1978" xr:uid="{00000000-0005-0000-0000-0000770A0000}"/>
    <cellStyle name="Comma 4 7 5 2" xfId="4207" xr:uid="{00000000-0005-0000-0000-0000780A0000}"/>
    <cellStyle name="Comma 4 7 5 2 2" xfId="8429" xr:uid="{00000000-0005-0000-0000-0000790A0000}"/>
    <cellStyle name="Comma 4 7 5 2 2 2" xfId="16879" xr:uid="{2D665E1D-4566-4030-B11B-5C45E1C1ACA9}"/>
    <cellStyle name="Comma 4 7 5 2 3" xfId="12661" xr:uid="{0598FA2B-CC75-4DDA-B3C6-8E0F13F8A2C5}"/>
    <cellStyle name="Comma 4 7 5 3" xfId="6284" xr:uid="{00000000-0005-0000-0000-00007A0A0000}"/>
    <cellStyle name="Comma 4 7 5 3 2" xfId="14734" xr:uid="{32AA464F-E1C7-4262-A577-F7CE72084667}"/>
    <cellStyle name="Comma 4 7 5 4" xfId="10516" xr:uid="{C371712A-B244-4CEA-8C50-E3AEBA00A254}"/>
    <cellStyle name="Comma 4 7 6" xfId="2413" xr:uid="{00000000-0005-0000-0000-00007B0A0000}"/>
    <cellStyle name="Comma 4 7 6 2" xfId="6697" xr:uid="{00000000-0005-0000-0000-00007C0A0000}"/>
    <cellStyle name="Comma 4 7 6 2 2" xfId="15147" xr:uid="{77040F97-4876-4E0C-8F8F-5B2A19B0750F}"/>
    <cellStyle name="Comma 4 7 6 3" xfId="10929" xr:uid="{4893AD6E-D040-4133-A969-D5AF08CFBBCD}"/>
    <cellStyle name="Comma 4 7 7" xfId="2709" xr:uid="{00000000-0005-0000-0000-00007D0A0000}"/>
    <cellStyle name="Comma 4 7 8" xfId="2791" xr:uid="{00000000-0005-0000-0000-00007E0A0000}"/>
    <cellStyle name="Comma 4 7 8 2" xfId="7014" xr:uid="{00000000-0005-0000-0000-00007F0A0000}"/>
    <cellStyle name="Comma 4 7 8 2 2" xfId="15464" xr:uid="{8AD08907-EE2B-440D-A7F0-0C4273EA3E9C}"/>
    <cellStyle name="Comma 4 7 8 3" xfId="11246" xr:uid="{D6BF7071-3D89-4F51-9FED-717A9F30851A}"/>
    <cellStyle name="Comma 4 7 9" xfId="4631" xr:uid="{00000000-0005-0000-0000-0000800A0000}"/>
    <cellStyle name="Comma 4 7 9 2" xfId="13081" xr:uid="{FF9F827C-5222-4A41-8EC4-80F109AD6FF5}"/>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9" xr:uid="{6FA59930-B8AD-451B-9082-5E216E9A81C8}"/>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7166" xr:uid="{D6E27A87-8A1D-47B1-AD9E-249C337B215A}"/>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3" xfId="17172" xr:uid="{FE7C0C96-BA67-4911-AD0F-B69BB8664739}"/>
    <cellStyle name="Currency 14 3 3" xfId="17169" xr:uid="{E985623B-81C2-4A93-A6EF-F28F47190ED6}"/>
    <cellStyle name="Currency 14 4" xfId="12952" xr:uid="{37DE38E3-9833-4821-8480-5A3E9FDCE9C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5465" xr:uid="{5AAD4346-1ECA-43C2-9B13-70C5D859D2FE}"/>
    <cellStyle name="Currency 3 2 2 10 3" xfId="11247" xr:uid="{965584FF-E782-468E-893E-3AD106267DEF}"/>
    <cellStyle name="Currency 3 2 2 11" xfId="4632" xr:uid="{00000000-0005-0000-0000-0000A50A0000}"/>
    <cellStyle name="Currency 3 2 2 11 2" xfId="13082" xr:uid="{846B3D26-2C7C-4DE4-8A63-611E6E65E16B}"/>
    <cellStyle name="Currency 3 2 2 12" xfId="8864" xr:uid="{E3F3B33D-A9AC-4EAD-A8D4-A1D953F5CFA0}"/>
    <cellStyle name="Currency 3 2 2 2" xfId="179" xr:uid="{00000000-0005-0000-0000-0000A60A0000}"/>
    <cellStyle name="Currency 3 2 2 2 10" xfId="4633" xr:uid="{00000000-0005-0000-0000-0000A70A0000}"/>
    <cellStyle name="Currency 3 2 2 2 10 2" xfId="13083" xr:uid="{1A7873FB-4AF0-42B0-A0EE-EE2A2164B48D}"/>
    <cellStyle name="Currency 3 2 2 2 11" xfId="8865" xr:uid="{AA6A57EE-5452-403B-BF26-9747E471D20A}"/>
    <cellStyle name="Currency 3 2 2 2 2" xfId="180" xr:uid="{00000000-0005-0000-0000-0000A80A0000}"/>
    <cellStyle name="Currency 3 2 2 2 2 10" xfId="8866" xr:uid="{E37242B7-1EB6-4716-AD04-BC397EAB68CE}"/>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5643" xr:uid="{9F7D7242-08B0-42DE-B7FA-8C1FBC930844}"/>
    <cellStyle name="Currency 3 2 2 2 2 2 2 3" xfId="11425" xr:uid="{791634B6-E830-4AA9-8A3F-DE0E1DBD5B82}"/>
    <cellStyle name="Currency 3 2 2 2 2 2 3" xfId="5048" xr:uid="{00000000-0005-0000-0000-0000AC0A0000}"/>
    <cellStyle name="Currency 3 2 2 2 2 2 3 2" xfId="13498" xr:uid="{A3570510-6B71-4E52-9957-2545E18FE430}"/>
    <cellStyle name="Currency 3 2 2 2 2 2 4" xfId="9280" xr:uid="{1A5978B5-4467-43BC-A205-A9434C7599EB}"/>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056" xr:uid="{A5B8F30C-7061-4E00-B6FB-C81DA1DE82E1}"/>
    <cellStyle name="Currency 3 2 2 2 2 3 2 3" xfId="11838" xr:uid="{EC7E3C70-FA13-4131-967D-97BC011D7EAD}"/>
    <cellStyle name="Currency 3 2 2 2 2 3 3" xfId="5461" xr:uid="{00000000-0005-0000-0000-0000B00A0000}"/>
    <cellStyle name="Currency 3 2 2 2 2 3 3 2" xfId="13911" xr:uid="{D69A42DF-98BD-4EAE-A629-DD73FEB9C5C7}"/>
    <cellStyle name="Currency 3 2 2 2 2 3 4" xfId="9693" xr:uid="{A10182FB-8E27-492E-8176-357DF4EADCD7}"/>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6469" xr:uid="{CABEC742-B8D4-43DF-82E2-F8A34ECC01AE}"/>
    <cellStyle name="Currency 3 2 2 2 2 4 2 3" xfId="12251" xr:uid="{FF90B1B0-6DB2-401C-A700-2D64B6AD06BF}"/>
    <cellStyle name="Currency 3 2 2 2 2 4 3" xfId="5874" xr:uid="{00000000-0005-0000-0000-0000B40A0000}"/>
    <cellStyle name="Currency 3 2 2 2 2 4 3 2" xfId="14324" xr:uid="{307A2B9C-ACE3-4A19-BF11-326EC87B2B59}"/>
    <cellStyle name="Currency 3 2 2 2 2 4 4" xfId="10106" xr:uid="{15F80BD4-9719-4F07-A3CF-ABB7AC831286}"/>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6882" xr:uid="{051BF6C1-14DA-433F-A169-08F902520266}"/>
    <cellStyle name="Currency 3 2 2 2 2 5 2 3" xfId="12664" xr:uid="{C90FE42B-371E-4E7C-A5BC-1CEB3F94DBD4}"/>
    <cellStyle name="Currency 3 2 2 2 2 5 3" xfId="6287" xr:uid="{00000000-0005-0000-0000-0000B80A0000}"/>
    <cellStyle name="Currency 3 2 2 2 2 5 3 2" xfId="14737" xr:uid="{C4A6C9FF-D744-4B48-ACD9-8CAFC45BFD67}"/>
    <cellStyle name="Currency 3 2 2 2 2 5 4" xfId="10519" xr:uid="{9C9106CF-1EFC-4193-9972-7F3FFF7EE12D}"/>
    <cellStyle name="Currency 3 2 2 2 2 6" xfId="2416" xr:uid="{00000000-0005-0000-0000-0000B90A0000}"/>
    <cellStyle name="Currency 3 2 2 2 2 6 2" xfId="6700" xr:uid="{00000000-0005-0000-0000-0000BA0A0000}"/>
    <cellStyle name="Currency 3 2 2 2 2 6 2 2" xfId="15150" xr:uid="{9B6D349A-E982-4528-9071-49DB94C47D29}"/>
    <cellStyle name="Currency 3 2 2 2 2 6 3" xfId="10932" xr:uid="{66FF936F-353F-4652-96E9-E3D5D920F8B5}"/>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5467" xr:uid="{8CD92718-F938-4875-9D1E-AE3BB540162A}"/>
    <cellStyle name="Currency 3 2 2 2 2 8 3" xfId="11249" xr:uid="{24A3E701-4254-4A46-9C09-22A201F0AD00}"/>
    <cellStyle name="Currency 3 2 2 2 2 9" xfId="4634" xr:uid="{00000000-0005-0000-0000-0000BE0A0000}"/>
    <cellStyle name="Currency 3 2 2 2 2 9 2" xfId="13084" xr:uid="{D22BAC5F-FF06-488E-8C8F-850A88844E68}"/>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5642" xr:uid="{018E4439-9A4E-43ED-BB5B-A75E5BFCEC44}"/>
    <cellStyle name="Currency 3 2 2 2 3 2 3" xfId="11424" xr:uid="{82305D4F-D0E1-42B3-9F04-427BD68D2606}"/>
    <cellStyle name="Currency 3 2 2 2 3 3" xfId="5047" xr:uid="{00000000-0005-0000-0000-0000C20A0000}"/>
    <cellStyle name="Currency 3 2 2 2 3 3 2" xfId="13497" xr:uid="{F689F381-0D01-4094-B561-6193E0A79F3C}"/>
    <cellStyle name="Currency 3 2 2 2 3 4" xfId="9279" xr:uid="{73EF736A-53BD-49D6-A79E-A8150A89FBF5}"/>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055" xr:uid="{B500E0FD-43CC-46DD-A90E-4C6A6BA541FC}"/>
    <cellStyle name="Currency 3 2 2 2 4 2 3" xfId="11837" xr:uid="{5FC231FE-7DE4-4826-9DA2-BD2F6DE9BDA2}"/>
    <cellStyle name="Currency 3 2 2 2 4 3" xfId="5460" xr:uid="{00000000-0005-0000-0000-0000C60A0000}"/>
    <cellStyle name="Currency 3 2 2 2 4 3 2" xfId="13910" xr:uid="{615E2A9F-165B-4B8D-A1E3-0C970F458795}"/>
    <cellStyle name="Currency 3 2 2 2 4 4" xfId="9692" xr:uid="{7BAEFE65-D5C6-49B7-B536-27DFF7E8F3B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6468" xr:uid="{EE534A73-53AC-42AC-A552-CFC0AADECB3B}"/>
    <cellStyle name="Currency 3 2 2 2 5 2 3" xfId="12250" xr:uid="{4FD8E6F8-2CE7-4779-B87B-9425C1B7C522}"/>
    <cellStyle name="Currency 3 2 2 2 5 3" xfId="5873" xr:uid="{00000000-0005-0000-0000-0000CA0A0000}"/>
    <cellStyle name="Currency 3 2 2 2 5 3 2" xfId="14323" xr:uid="{165F5625-92F9-4EED-BFF2-158907B3D32B}"/>
    <cellStyle name="Currency 3 2 2 2 5 4" xfId="10105" xr:uid="{02563A12-6806-484F-80C0-2A2A6154E924}"/>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6881" xr:uid="{150ACA99-E5D2-49D3-85B5-128F2311454B}"/>
    <cellStyle name="Currency 3 2 2 2 6 2 3" xfId="12663" xr:uid="{1C522433-38F3-4B6A-A4B8-9108DF94B0E9}"/>
    <cellStyle name="Currency 3 2 2 2 6 3" xfId="6286" xr:uid="{00000000-0005-0000-0000-0000CE0A0000}"/>
    <cellStyle name="Currency 3 2 2 2 6 3 2" xfId="14736" xr:uid="{B0EDD736-6C40-45DA-A8EC-4C981007B0C8}"/>
    <cellStyle name="Currency 3 2 2 2 6 4" xfId="10518" xr:uid="{D4A2C3AB-5ABB-444B-943B-103C3A29A044}"/>
    <cellStyle name="Currency 3 2 2 2 7" xfId="2415" xr:uid="{00000000-0005-0000-0000-0000CF0A0000}"/>
    <cellStyle name="Currency 3 2 2 2 7 2" xfId="6699" xr:uid="{00000000-0005-0000-0000-0000D00A0000}"/>
    <cellStyle name="Currency 3 2 2 2 7 2 2" xfId="15149" xr:uid="{0E3A83DE-D93D-47C7-A050-136B477919D9}"/>
    <cellStyle name="Currency 3 2 2 2 7 3" xfId="10931" xr:uid="{1A0087AB-47FB-4BB3-9A32-8A7F07D1116D}"/>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5466" xr:uid="{569ED4BC-1558-4CBB-91EC-585B6F3F98D7}"/>
    <cellStyle name="Currency 3 2 2 2 9 3" xfId="11248" xr:uid="{097D6C1B-CDB7-4D8B-800A-DB2603B13CDC}"/>
    <cellStyle name="Currency 3 2 2 3" xfId="181" xr:uid="{00000000-0005-0000-0000-0000D40A0000}"/>
    <cellStyle name="Currency 3 2 2 3 10" xfId="8867" xr:uid="{B26C0B17-DDD6-4B71-82E0-51FCBB6C44E6}"/>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5644" xr:uid="{E0105F95-D580-4641-B3BF-A7F62AE20A5E}"/>
    <cellStyle name="Currency 3 2 2 3 2 2 3" xfId="11426" xr:uid="{32849539-72D1-44B0-978F-FA79EE9BD4F4}"/>
    <cellStyle name="Currency 3 2 2 3 2 3" xfId="5049" xr:uid="{00000000-0005-0000-0000-0000D80A0000}"/>
    <cellStyle name="Currency 3 2 2 3 2 3 2" xfId="13499" xr:uid="{AC53F41F-ECD3-4E1A-8CA4-13EF4BA46D4A}"/>
    <cellStyle name="Currency 3 2 2 3 2 4" xfId="9281" xr:uid="{0E5A56A8-0315-4CD4-9F47-69AD0280C71A}"/>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057" xr:uid="{44FACA50-9665-4A15-BC32-0FE919424FB4}"/>
    <cellStyle name="Currency 3 2 2 3 3 2 3" xfId="11839" xr:uid="{8C01E99A-CCF5-480C-8BF0-7C1E90F85D6F}"/>
    <cellStyle name="Currency 3 2 2 3 3 3" xfId="5462" xr:uid="{00000000-0005-0000-0000-0000DC0A0000}"/>
    <cellStyle name="Currency 3 2 2 3 3 3 2" xfId="13912" xr:uid="{0EC85A69-40DB-4918-8440-3D666192B332}"/>
    <cellStyle name="Currency 3 2 2 3 3 4" xfId="9694" xr:uid="{DA31FE5C-5318-4686-B072-370597F06E62}"/>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6470" xr:uid="{78259A7B-8E3D-438D-984C-0A9BA6E9887C}"/>
    <cellStyle name="Currency 3 2 2 3 4 2 3" xfId="12252" xr:uid="{54B9FE4F-A618-4279-B980-8BB96BB4D1CC}"/>
    <cellStyle name="Currency 3 2 2 3 4 3" xfId="5875" xr:uid="{00000000-0005-0000-0000-0000E00A0000}"/>
    <cellStyle name="Currency 3 2 2 3 4 3 2" xfId="14325" xr:uid="{C1B9F438-6D2C-4C97-A537-9A3783F5BDA5}"/>
    <cellStyle name="Currency 3 2 2 3 4 4" xfId="10107" xr:uid="{F0D2702B-3C65-4FC9-B1CD-F91C977AE0EB}"/>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6883" xr:uid="{B98445C8-4D98-4BC7-9DEC-5A9802A238D6}"/>
    <cellStyle name="Currency 3 2 2 3 5 2 3" xfId="12665" xr:uid="{8EA5A9FC-E9B1-4B20-B20E-56EACFE8F2AA}"/>
    <cellStyle name="Currency 3 2 2 3 5 3" xfId="6288" xr:uid="{00000000-0005-0000-0000-0000E40A0000}"/>
    <cellStyle name="Currency 3 2 2 3 5 3 2" xfId="14738" xr:uid="{6F559E5C-650E-4250-A607-7E95BDB528AC}"/>
    <cellStyle name="Currency 3 2 2 3 5 4" xfId="10520" xr:uid="{4D836CC6-5EC2-49A6-9890-160B9D1D6AF7}"/>
    <cellStyle name="Currency 3 2 2 3 6" xfId="2417" xr:uid="{00000000-0005-0000-0000-0000E50A0000}"/>
    <cellStyle name="Currency 3 2 2 3 6 2" xfId="6701" xr:uid="{00000000-0005-0000-0000-0000E60A0000}"/>
    <cellStyle name="Currency 3 2 2 3 6 2 2" xfId="15151" xr:uid="{E3C846CE-5E0E-47B3-B122-6D21069B5BC9}"/>
    <cellStyle name="Currency 3 2 2 3 6 3" xfId="10933" xr:uid="{720EA10A-B034-44DA-A424-75C51C9FAE2C}"/>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5468" xr:uid="{18E5EF5D-580A-4970-B295-93C15A5D443B}"/>
    <cellStyle name="Currency 3 2 2 3 8 3" xfId="11250" xr:uid="{A72C032A-856A-4722-A9BF-07004F19C975}"/>
    <cellStyle name="Currency 3 2 2 3 9" xfId="4635" xr:uid="{00000000-0005-0000-0000-0000EA0A0000}"/>
    <cellStyle name="Currency 3 2 2 3 9 2" xfId="13085" xr:uid="{90562DE4-5A40-4126-9A45-C596FE881830}"/>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5641" xr:uid="{57184E60-C8A2-4C6E-9DB8-1D4E45740B81}"/>
    <cellStyle name="Currency 3 2 2 4 2 3" xfId="11423" xr:uid="{BCAB3FDD-8F37-48DE-9AFD-13859A0A5382}"/>
    <cellStyle name="Currency 3 2 2 4 3" xfId="5046" xr:uid="{00000000-0005-0000-0000-0000EE0A0000}"/>
    <cellStyle name="Currency 3 2 2 4 3 2" xfId="13496" xr:uid="{E50B3909-622A-4DD7-89E2-E388886A463F}"/>
    <cellStyle name="Currency 3 2 2 4 4" xfId="9278" xr:uid="{332DD9BB-3E69-4921-A7C7-B57BBCD4F9ED}"/>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054" xr:uid="{FEDC653C-B003-4410-A178-F31E58258ADF}"/>
    <cellStyle name="Currency 3 2 2 5 2 3" xfId="11836" xr:uid="{93751208-532E-4239-986C-E889D99C58F1}"/>
    <cellStyle name="Currency 3 2 2 5 3" xfId="5459" xr:uid="{00000000-0005-0000-0000-0000F20A0000}"/>
    <cellStyle name="Currency 3 2 2 5 3 2" xfId="13909" xr:uid="{95056454-826C-4862-A9F8-D77D9858A478}"/>
    <cellStyle name="Currency 3 2 2 5 4" xfId="9691" xr:uid="{6C9607BA-24B6-4195-8294-612B63088FA5}"/>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6467" xr:uid="{5CB80526-2BB0-4B64-B027-C020759DD353}"/>
    <cellStyle name="Currency 3 2 2 6 2 3" xfId="12249" xr:uid="{DA930D54-9B67-4EFA-BA43-B624468ADFFD}"/>
    <cellStyle name="Currency 3 2 2 6 3" xfId="5872" xr:uid="{00000000-0005-0000-0000-0000F60A0000}"/>
    <cellStyle name="Currency 3 2 2 6 3 2" xfId="14322" xr:uid="{FC0CDB8C-96F9-4DD5-9640-1F056E7C528A}"/>
    <cellStyle name="Currency 3 2 2 6 4" xfId="10104" xr:uid="{9E565A83-059B-4356-9E5A-470D2CE78FA1}"/>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6880" xr:uid="{7AB5145A-36F5-4337-8F1A-967BA3BAE4DB}"/>
    <cellStyle name="Currency 3 2 2 7 2 3" xfId="12662" xr:uid="{2BF2306D-6043-4D69-829F-682BD28EFB02}"/>
    <cellStyle name="Currency 3 2 2 7 3" xfId="6285" xr:uid="{00000000-0005-0000-0000-0000FA0A0000}"/>
    <cellStyle name="Currency 3 2 2 7 3 2" xfId="14735" xr:uid="{9BC2B60C-63C1-4842-806F-86904FC5BAB6}"/>
    <cellStyle name="Currency 3 2 2 7 4" xfId="10517" xr:uid="{FE7C6278-41AC-4675-B298-C79050731BAC}"/>
    <cellStyle name="Currency 3 2 2 8" xfId="2414" xr:uid="{00000000-0005-0000-0000-0000FB0A0000}"/>
    <cellStyle name="Currency 3 2 2 8 2" xfId="6698" xr:uid="{00000000-0005-0000-0000-0000FC0A0000}"/>
    <cellStyle name="Currency 3 2 2 8 2 2" xfId="15148" xr:uid="{51DD6EE2-35E6-47CA-818B-94E20AFF2635}"/>
    <cellStyle name="Currency 3 2 2 8 3" xfId="10930" xr:uid="{2300B9BB-52A8-411C-BB18-0781DF08CF9B}"/>
    <cellStyle name="Currency 3 2 2 9" xfId="2711" xr:uid="{00000000-0005-0000-0000-0000FD0A0000}"/>
    <cellStyle name="Currency 3 2 3" xfId="182" xr:uid="{00000000-0005-0000-0000-0000FE0A0000}"/>
    <cellStyle name="Currency 3 2 3 10" xfId="4636" xr:uid="{00000000-0005-0000-0000-0000FF0A0000}"/>
    <cellStyle name="Currency 3 2 3 10 2" xfId="13086" xr:uid="{3868CBD1-93BF-48BF-8A45-2BF7EE94AFC1}"/>
    <cellStyle name="Currency 3 2 3 11" xfId="8868" xr:uid="{EF192DFD-4F21-413B-AF2F-144F8EC2BFC6}"/>
    <cellStyle name="Currency 3 2 3 2" xfId="183" xr:uid="{00000000-0005-0000-0000-0000000B0000}"/>
    <cellStyle name="Currency 3 2 3 2 10" xfId="8869" xr:uid="{7BA2E0BF-9242-4047-9708-3812E3E654E6}"/>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5646" xr:uid="{B5A7D88E-FFB4-4520-983A-F70F7A9BB1CB}"/>
    <cellStyle name="Currency 3 2 3 2 2 2 3" xfId="11428" xr:uid="{7E62301C-D590-4A24-B511-329ADA9DE81D}"/>
    <cellStyle name="Currency 3 2 3 2 2 3" xfId="5051" xr:uid="{00000000-0005-0000-0000-0000040B0000}"/>
    <cellStyle name="Currency 3 2 3 2 2 3 2" xfId="13501" xr:uid="{616B81C5-3692-4966-8DFD-F65164D3DC38}"/>
    <cellStyle name="Currency 3 2 3 2 2 4" xfId="9283" xr:uid="{F38C91AA-7E0E-44B9-8EA5-0E21AB473A47}"/>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059" xr:uid="{2B11BD63-3F6D-4CBB-BE75-6A9BA921E075}"/>
    <cellStyle name="Currency 3 2 3 2 3 2 3" xfId="11841" xr:uid="{20264CD5-84F2-4199-A13C-23511B3D3587}"/>
    <cellStyle name="Currency 3 2 3 2 3 3" xfId="5464" xr:uid="{00000000-0005-0000-0000-0000080B0000}"/>
    <cellStyle name="Currency 3 2 3 2 3 3 2" xfId="13914" xr:uid="{05E6F95F-8A89-4862-A5C2-55C3B5F6C7BC}"/>
    <cellStyle name="Currency 3 2 3 2 3 4" xfId="9696" xr:uid="{1A420F1C-F582-45A7-97D7-8F5778AB10A5}"/>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6472" xr:uid="{F9879596-4B87-4A7E-A7AC-D28D972D8E0E}"/>
    <cellStyle name="Currency 3 2 3 2 4 2 3" xfId="12254" xr:uid="{86D70AFF-E61E-48DB-8014-FC99E6A4692D}"/>
    <cellStyle name="Currency 3 2 3 2 4 3" xfId="5877" xr:uid="{00000000-0005-0000-0000-00000C0B0000}"/>
    <cellStyle name="Currency 3 2 3 2 4 3 2" xfId="14327" xr:uid="{801DD8DB-3431-47E4-A416-2631E1DF30D9}"/>
    <cellStyle name="Currency 3 2 3 2 4 4" xfId="10109" xr:uid="{65991597-7A3C-400D-AD9A-528A7E489D59}"/>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6885" xr:uid="{E0B3A284-27E5-4207-8CA7-EFD3D76943F2}"/>
    <cellStyle name="Currency 3 2 3 2 5 2 3" xfId="12667" xr:uid="{F3D995C0-2874-460B-AB83-EFEC9448A80E}"/>
    <cellStyle name="Currency 3 2 3 2 5 3" xfId="6290" xr:uid="{00000000-0005-0000-0000-0000100B0000}"/>
    <cellStyle name="Currency 3 2 3 2 5 3 2" xfId="14740" xr:uid="{D3149C1C-80B8-47EB-867F-C6BBC9D56407}"/>
    <cellStyle name="Currency 3 2 3 2 5 4" xfId="10522" xr:uid="{BAAE6B7A-16C6-4F0D-82B9-234E386E08F2}"/>
    <cellStyle name="Currency 3 2 3 2 6" xfId="2419" xr:uid="{00000000-0005-0000-0000-0000110B0000}"/>
    <cellStyle name="Currency 3 2 3 2 6 2" xfId="6703" xr:uid="{00000000-0005-0000-0000-0000120B0000}"/>
    <cellStyle name="Currency 3 2 3 2 6 2 2" xfId="15153" xr:uid="{44025A64-2888-46CB-B88B-65541F514F4F}"/>
    <cellStyle name="Currency 3 2 3 2 6 3" xfId="10935" xr:uid="{F61739F9-A520-4B63-93EA-E0E1DB2B43B7}"/>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5470" xr:uid="{961768FF-2117-4BFF-9E41-B2AC08F2B2E1}"/>
    <cellStyle name="Currency 3 2 3 2 8 3" xfId="11252" xr:uid="{968E04E5-0E2D-469C-929A-AD3FBFA35115}"/>
    <cellStyle name="Currency 3 2 3 2 9" xfId="4637" xr:uid="{00000000-0005-0000-0000-0000160B0000}"/>
    <cellStyle name="Currency 3 2 3 2 9 2" xfId="13087" xr:uid="{F1E31554-39A8-4678-B070-E8A843F7894C}"/>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5645" xr:uid="{E4C77968-7901-46B2-8A81-C2A462AD4DBE}"/>
    <cellStyle name="Currency 3 2 3 3 2 3" xfId="11427" xr:uid="{CF565565-F287-4DC2-88AB-08C2968BFB0A}"/>
    <cellStyle name="Currency 3 2 3 3 3" xfId="5050" xr:uid="{00000000-0005-0000-0000-00001A0B0000}"/>
    <cellStyle name="Currency 3 2 3 3 3 2" xfId="13500" xr:uid="{EEFD5E1D-70A8-485E-B061-7E809D99CD2C}"/>
    <cellStyle name="Currency 3 2 3 3 4" xfId="9282" xr:uid="{589956BB-B30C-4915-8ED4-EC06A77B4EA0}"/>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058" xr:uid="{5769479E-BB5B-4863-9637-B59A932E790F}"/>
    <cellStyle name="Currency 3 2 3 4 2 3" xfId="11840" xr:uid="{B251A9DF-94C7-4A07-A221-BD1811E7EE9D}"/>
    <cellStyle name="Currency 3 2 3 4 3" xfId="5463" xr:uid="{00000000-0005-0000-0000-00001E0B0000}"/>
    <cellStyle name="Currency 3 2 3 4 3 2" xfId="13913" xr:uid="{3F067C5C-2A3A-4906-A7E8-6BCB0BF05257}"/>
    <cellStyle name="Currency 3 2 3 4 4" xfId="9695" xr:uid="{0453FA7D-AA01-4B36-929C-07CCA7DCE30B}"/>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6471" xr:uid="{0A4E09CC-AEB1-459D-AE69-A3D8A027B3FC}"/>
    <cellStyle name="Currency 3 2 3 5 2 3" xfId="12253" xr:uid="{4C2A6EF6-E116-4B47-A43D-56B41B3C6564}"/>
    <cellStyle name="Currency 3 2 3 5 3" xfId="5876" xr:uid="{00000000-0005-0000-0000-0000220B0000}"/>
    <cellStyle name="Currency 3 2 3 5 3 2" xfId="14326" xr:uid="{3A3C341B-1B42-4666-BC46-4600FCC2119E}"/>
    <cellStyle name="Currency 3 2 3 5 4" xfId="10108" xr:uid="{98E91C93-3E32-4FBD-BABD-EA7E018C6D40}"/>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6884" xr:uid="{3D483EBE-E74E-4E5A-B5EF-039EB0B7E6DB}"/>
    <cellStyle name="Currency 3 2 3 6 2 3" xfId="12666" xr:uid="{98213A55-6A20-470F-AF62-DB4334398146}"/>
    <cellStyle name="Currency 3 2 3 6 3" xfId="6289" xr:uid="{00000000-0005-0000-0000-0000260B0000}"/>
    <cellStyle name="Currency 3 2 3 6 3 2" xfId="14739" xr:uid="{7D188059-60C8-400D-8F4E-DF32F4CD1FC4}"/>
    <cellStyle name="Currency 3 2 3 6 4" xfId="10521" xr:uid="{CB8DD901-7F71-4176-A463-73D938004DAE}"/>
    <cellStyle name="Currency 3 2 3 7" xfId="2418" xr:uid="{00000000-0005-0000-0000-0000270B0000}"/>
    <cellStyle name="Currency 3 2 3 7 2" xfId="6702" xr:uid="{00000000-0005-0000-0000-0000280B0000}"/>
    <cellStyle name="Currency 3 2 3 7 2 2" xfId="15152" xr:uid="{CB791871-F1A3-4608-B609-9C9BCC192F57}"/>
    <cellStyle name="Currency 3 2 3 7 3" xfId="10934" xr:uid="{13DD33D7-6B1C-4414-8338-D59647ACD9F1}"/>
    <cellStyle name="Currency 3 2 3 8" xfId="2715" xr:uid="{00000000-0005-0000-0000-0000290B0000}"/>
    <cellStyle name="Currency 3 2 3 9" xfId="2796" xr:uid="{00000000-0005-0000-0000-00002A0B0000}"/>
    <cellStyle name="Currency 3 2 3 9 2" xfId="7019" xr:uid="{00000000-0005-0000-0000-00002B0B0000}"/>
    <cellStyle name="Currency 3 2 3 9 2 2" xfId="15469" xr:uid="{F7883EDF-8AB2-4D84-B070-9930481CF3AD}"/>
    <cellStyle name="Currency 3 2 3 9 3" xfId="11251" xr:uid="{4D31A881-951C-4D4B-BC2D-C4DE6599A0B8}"/>
    <cellStyle name="Currency 3 2 4" xfId="184" xr:uid="{00000000-0005-0000-0000-00002C0B0000}"/>
    <cellStyle name="Currency 3 2 4 10" xfId="8870" xr:uid="{06EC3740-9835-400C-A707-F7D1696CE52D}"/>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5647" xr:uid="{E4FA247F-EE84-4921-ACBE-E35DDB67E7AC}"/>
    <cellStyle name="Currency 3 2 4 2 2 3" xfId="11429" xr:uid="{1CBC60BF-2EEB-4194-A7AA-A4CC3552F4B4}"/>
    <cellStyle name="Currency 3 2 4 2 3" xfId="5052" xr:uid="{00000000-0005-0000-0000-0000300B0000}"/>
    <cellStyle name="Currency 3 2 4 2 3 2" xfId="13502" xr:uid="{742D0B3A-05A7-4D06-930C-633E967A865F}"/>
    <cellStyle name="Currency 3 2 4 2 4" xfId="9284" xr:uid="{0DE9E3D9-CA14-4D84-ACB4-B412F65527C7}"/>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060" xr:uid="{4742B70E-3D5F-45BD-AF4D-164F257EACEF}"/>
    <cellStyle name="Currency 3 2 4 3 2 3" xfId="11842" xr:uid="{2B621E1D-A8E0-46AD-80F4-49E809458E41}"/>
    <cellStyle name="Currency 3 2 4 3 3" xfId="5465" xr:uid="{00000000-0005-0000-0000-0000340B0000}"/>
    <cellStyle name="Currency 3 2 4 3 3 2" xfId="13915" xr:uid="{20942974-7137-403C-BEA7-AE7614565EA4}"/>
    <cellStyle name="Currency 3 2 4 3 4" xfId="9697" xr:uid="{F7D6BE6D-FD29-4F30-A644-E83D8CE8EC5D}"/>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6473" xr:uid="{747D8516-647B-42F3-ACD2-27B816C7CE87}"/>
    <cellStyle name="Currency 3 2 4 4 2 3" xfId="12255" xr:uid="{DB0ECE7F-3B18-4454-8F45-48488B7E400E}"/>
    <cellStyle name="Currency 3 2 4 4 3" xfId="5878" xr:uid="{00000000-0005-0000-0000-0000380B0000}"/>
    <cellStyle name="Currency 3 2 4 4 3 2" xfId="14328" xr:uid="{5903B81F-8600-4196-A754-ECF6F36D1F69}"/>
    <cellStyle name="Currency 3 2 4 4 4" xfId="10110" xr:uid="{5148414F-2525-41F3-A906-F5BC3D10FA94}"/>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6886" xr:uid="{B85A40FA-D951-49BB-8546-834CFDC8ED5E}"/>
    <cellStyle name="Currency 3 2 4 5 2 3" xfId="12668" xr:uid="{3C8103DA-9294-4BB0-9E77-815C0B0F9015}"/>
    <cellStyle name="Currency 3 2 4 5 3" xfId="6291" xr:uid="{00000000-0005-0000-0000-00003C0B0000}"/>
    <cellStyle name="Currency 3 2 4 5 3 2" xfId="14741" xr:uid="{53EC5A6C-CDBE-4CCC-BD39-4F6807DAE63E}"/>
    <cellStyle name="Currency 3 2 4 5 4" xfId="10523" xr:uid="{0E5FA22C-5803-4D64-B5C7-0B5D35F2349C}"/>
    <cellStyle name="Currency 3 2 4 6" xfId="2420" xr:uid="{00000000-0005-0000-0000-00003D0B0000}"/>
    <cellStyle name="Currency 3 2 4 6 2" xfId="6704" xr:uid="{00000000-0005-0000-0000-00003E0B0000}"/>
    <cellStyle name="Currency 3 2 4 6 2 2" xfId="15154" xr:uid="{C7589242-2CA8-465F-9174-294060F43ECC}"/>
    <cellStyle name="Currency 3 2 4 6 3" xfId="10936" xr:uid="{D1D495EC-E0FE-4BCF-9BF4-EB536EC77BE4}"/>
    <cellStyle name="Currency 3 2 4 7" xfId="2717" xr:uid="{00000000-0005-0000-0000-00003F0B0000}"/>
    <cellStyle name="Currency 3 2 4 8" xfId="2798" xr:uid="{00000000-0005-0000-0000-0000400B0000}"/>
    <cellStyle name="Currency 3 2 4 8 2" xfId="7021" xr:uid="{00000000-0005-0000-0000-0000410B0000}"/>
    <cellStyle name="Currency 3 2 4 8 2 2" xfId="15471" xr:uid="{05643E53-BD84-44A0-9757-7125B4A20FA4}"/>
    <cellStyle name="Currency 3 2 4 8 3" xfId="11253" xr:uid="{5912532A-4E57-40E6-911E-2A411C085915}"/>
    <cellStyle name="Currency 3 2 4 9" xfId="4638" xr:uid="{00000000-0005-0000-0000-0000420B0000}"/>
    <cellStyle name="Currency 3 2 4 9 2" xfId="13088" xr:uid="{E18C509F-FBA6-40F6-926F-4D3268D2AE79}"/>
    <cellStyle name="Currency 3 2 5" xfId="185" xr:uid="{00000000-0005-0000-0000-0000430B0000}"/>
    <cellStyle name="Currency 3 2 5 10" xfId="8871" xr:uid="{67B198F7-9D17-4298-9B28-8BDD2E3C74BE}"/>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5648" xr:uid="{72A7A6DF-F0D4-4299-B0B8-E543BD03C472}"/>
    <cellStyle name="Currency 3 2 5 2 2 3" xfId="11430" xr:uid="{F356C25E-7614-41A9-9542-035A4843DB66}"/>
    <cellStyle name="Currency 3 2 5 2 3" xfId="5053" xr:uid="{00000000-0005-0000-0000-0000470B0000}"/>
    <cellStyle name="Currency 3 2 5 2 3 2" xfId="13503" xr:uid="{7220BC71-E619-4A9B-A937-DAACBE670599}"/>
    <cellStyle name="Currency 3 2 5 2 4" xfId="9285" xr:uid="{926C0753-3C5C-4DA8-9CA9-E1EB48331147}"/>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061" xr:uid="{06900EC7-B7D9-4F00-8AFD-FAA01E5C56FC}"/>
    <cellStyle name="Currency 3 2 5 3 2 3" xfId="11843" xr:uid="{1B4A777C-FA67-48DE-8294-CF3084D21362}"/>
    <cellStyle name="Currency 3 2 5 3 3" xfId="5466" xr:uid="{00000000-0005-0000-0000-00004B0B0000}"/>
    <cellStyle name="Currency 3 2 5 3 3 2" xfId="13916" xr:uid="{905094AA-AE3D-4897-B5BD-FA5BC3F7DEC1}"/>
    <cellStyle name="Currency 3 2 5 3 4" xfId="9698" xr:uid="{DD53DDA9-972B-4606-9F44-0AD758C5FDD7}"/>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6474" xr:uid="{7DA187D0-C9A1-4775-9621-81253D1A6656}"/>
    <cellStyle name="Currency 3 2 5 4 2 3" xfId="12256" xr:uid="{18439294-5DFC-401E-8433-9ACDE8ACB58F}"/>
    <cellStyle name="Currency 3 2 5 4 3" xfId="5879" xr:uid="{00000000-0005-0000-0000-00004F0B0000}"/>
    <cellStyle name="Currency 3 2 5 4 3 2" xfId="14329" xr:uid="{212A516D-7DC7-40E3-A32A-FAFE49AD9653}"/>
    <cellStyle name="Currency 3 2 5 4 4" xfId="10111" xr:uid="{8665C65F-16BF-41ED-A4B4-E509E92336BD}"/>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6887" xr:uid="{5AC0A9D0-86A8-4448-B40E-DFA00410CB19}"/>
    <cellStyle name="Currency 3 2 5 5 2 3" xfId="12669" xr:uid="{F65C27F8-8E47-4DD4-AEF4-80E6CC974A3F}"/>
    <cellStyle name="Currency 3 2 5 5 3" xfId="6292" xr:uid="{00000000-0005-0000-0000-0000530B0000}"/>
    <cellStyle name="Currency 3 2 5 5 3 2" xfId="14742" xr:uid="{C99447BE-FDE0-4220-AB58-689535119126}"/>
    <cellStyle name="Currency 3 2 5 5 4" xfId="10524" xr:uid="{BC95C83A-8137-4C14-A4CD-F0DEEC61DFA0}"/>
    <cellStyle name="Currency 3 2 5 6" xfId="2421" xr:uid="{00000000-0005-0000-0000-0000540B0000}"/>
    <cellStyle name="Currency 3 2 5 6 2" xfId="6705" xr:uid="{00000000-0005-0000-0000-0000550B0000}"/>
    <cellStyle name="Currency 3 2 5 6 2 2" xfId="15155" xr:uid="{8FA2EE9A-7042-4494-8607-76163543E45A}"/>
    <cellStyle name="Currency 3 2 5 6 3" xfId="10937" xr:uid="{421D2D9D-7B9E-4221-B479-C001E70798F8}"/>
    <cellStyle name="Currency 3 2 5 7" xfId="2718" xr:uid="{00000000-0005-0000-0000-0000560B0000}"/>
    <cellStyle name="Currency 3 2 5 8" xfId="2799" xr:uid="{00000000-0005-0000-0000-0000570B0000}"/>
    <cellStyle name="Currency 3 2 5 8 2" xfId="7022" xr:uid="{00000000-0005-0000-0000-0000580B0000}"/>
    <cellStyle name="Currency 3 2 5 8 2 2" xfId="15472" xr:uid="{85ECB53E-83D5-4A2F-8AFE-BF3D1F090E5C}"/>
    <cellStyle name="Currency 3 2 5 8 3" xfId="11254" xr:uid="{74BC8831-1C52-448B-B91D-8D5E22745B9E}"/>
    <cellStyle name="Currency 3 2 5 9" xfId="4639" xr:uid="{00000000-0005-0000-0000-0000590B0000}"/>
    <cellStyle name="Currency 3 2 5 9 2" xfId="13089" xr:uid="{55308BEF-530B-400D-96D7-732916DAE335}"/>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5473" xr:uid="{3434B690-DDCA-4E8B-A684-3C9D4C69C46C}"/>
    <cellStyle name="Currency 5 2 2 2 10 3" xfId="11255" xr:uid="{13D60E84-EAEA-4309-B699-3074EFE2772D}"/>
    <cellStyle name="Currency 5 2 2 2 11" xfId="4640" xr:uid="{00000000-0005-0000-0000-00006C0B0000}"/>
    <cellStyle name="Currency 5 2 2 2 11 2" xfId="13090" xr:uid="{672C2C73-2CF4-4FE3-A77A-4A48FC48EAEF}"/>
    <cellStyle name="Currency 5 2 2 2 12" xfId="8872" xr:uid="{6F5F6C11-14BC-418C-882B-B2BA77C9F08F}"/>
    <cellStyle name="Currency 5 2 2 2 2" xfId="197" xr:uid="{00000000-0005-0000-0000-00006D0B0000}"/>
    <cellStyle name="Currency 5 2 2 2 2 10" xfId="4641" xr:uid="{00000000-0005-0000-0000-00006E0B0000}"/>
    <cellStyle name="Currency 5 2 2 2 2 10 2" xfId="13091" xr:uid="{B1DB9CD5-E4DE-418A-935A-A69F027B5789}"/>
    <cellStyle name="Currency 5 2 2 2 2 11" xfId="8873" xr:uid="{548FA867-F2AC-4D5E-B57E-7959DC01C85B}"/>
    <cellStyle name="Currency 5 2 2 2 2 2" xfId="198" xr:uid="{00000000-0005-0000-0000-00006F0B0000}"/>
    <cellStyle name="Currency 5 2 2 2 2 2 10" xfId="8874" xr:uid="{CBC0D343-1FD2-4544-A5D4-A523BD5D0D2C}"/>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5651" xr:uid="{71495F83-DCBC-4576-95C2-57C4CFAB7B2D}"/>
    <cellStyle name="Currency 5 2 2 2 2 2 2 2 3" xfId="11433" xr:uid="{B495D33E-138B-49D0-9393-7583226A93F3}"/>
    <cellStyle name="Currency 5 2 2 2 2 2 2 3" xfId="5056" xr:uid="{00000000-0005-0000-0000-0000730B0000}"/>
    <cellStyle name="Currency 5 2 2 2 2 2 2 3 2" xfId="13506" xr:uid="{7DB138E4-5C17-4DFF-BC83-377F2F271550}"/>
    <cellStyle name="Currency 5 2 2 2 2 2 2 4" xfId="9288" xr:uid="{E1BD0447-65CB-45A5-803B-DB6B54F8C9E3}"/>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064" xr:uid="{AC60FDD6-DA12-45B3-B6E8-F9D668EC4909}"/>
    <cellStyle name="Currency 5 2 2 2 2 2 3 2 3" xfId="11846" xr:uid="{7689BDB9-9B31-489B-AD84-80FFB401B1F6}"/>
    <cellStyle name="Currency 5 2 2 2 2 2 3 3" xfId="5469" xr:uid="{00000000-0005-0000-0000-0000770B0000}"/>
    <cellStyle name="Currency 5 2 2 2 2 2 3 3 2" xfId="13919" xr:uid="{71B30A88-6B38-46E0-8A92-682EADC0D8F9}"/>
    <cellStyle name="Currency 5 2 2 2 2 2 3 4" xfId="9701" xr:uid="{1A0799F2-2A89-49C3-8A4E-837837A130C8}"/>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6477" xr:uid="{A2F954D8-26E2-4ECF-88CF-8EEC06F5AB28}"/>
    <cellStyle name="Currency 5 2 2 2 2 2 4 2 3" xfId="12259" xr:uid="{302873D4-F908-481A-BAD7-724B514B6D44}"/>
    <cellStyle name="Currency 5 2 2 2 2 2 4 3" xfId="5882" xr:uid="{00000000-0005-0000-0000-00007B0B0000}"/>
    <cellStyle name="Currency 5 2 2 2 2 2 4 3 2" xfId="14332" xr:uid="{27380108-14EB-4BFF-9CAA-7A5F498DE841}"/>
    <cellStyle name="Currency 5 2 2 2 2 2 4 4" xfId="10114" xr:uid="{2610E9AA-58E2-4450-A776-44F323D93E92}"/>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6890" xr:uid="{E5C0E401-BD82-4430-AFDE-FEA58F69623A}"/>
    <cellStyle name="Currency 5 2 2 2 2 2 5 2 3" xfId="12672" xr:uid="{E3939A89-D1E7-469D-8442-D1775C0107B1}"/>
    <cellStyle name="Currency 5 2 2 2 2 2 5 3" xfId="6295" xr:uid="{00000000-0005-0000-0000-00007F0B0000}"/>
    <cellStyle name="Currency 5 2 2 2 2 2 5 3 2" xfId="14745" xr:uid="{36CD69F2-56AF-4BFD-ABB4-B6812BC21C20}"/>
    <cellStyle name="Currency 5 2 2 2 2 2 5 4" xfId="10527" xr:uid="{0B0E7C4D-68B8-4B31-8497-223E18688D03}"/>
    <cellStyle name="Currency 5 2 2 2 2 2 6" xfId="2424" xr:uid="{00000000-0005-0000-0000-0000800B0000}"/>
    <cellStyle name="Currency 5 2 2 2 2 2 6 2" xfId="6708" xr:uid="{00000000-0005-0000-0000-0000810B0000}"/>
    <cellStyle name="Currency 5 2 2 2 2 2 6 2 2" xfId="15158" xr:uid="{7683105E-2DAF-4A23-8192-DBF4C7D1660D}"/>
    <cellStyle name="Currency 5 2 2 2 2 2 6 3" xfId="10940" xr:uid="{6084AEF2-135D-4543-B1D3-808F4A93C53B}"/>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5475" xr:uid="{51C12640-AD96-4707-9EA9-16B306652CF0}"/>
    <cellStyle name="Currency 5 2 2 2 2 2 8 3" xfId="11257" xr:uid="{80F45B3F-CC19-4FEA-B380-D459B471E5A6}"/>
    <cellStyle name="Currency 5 2 2 2 2 2 9" xfId="4642" xr:uid="{00000000-0005-0000-0000-0000850B0000}"/>
    <cellStyle name="Currency 5 2 2 2 2 2 9 2" xfId="13092" xr:uid="{AE8E4209-41AC-46F9-8E08-8D513190FA82}"/>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5650" xr:uid="{FB0A7DAE-1002-4228-93F5-B6F9B68AEB8E}"/>
    <cellStyle name="Currency 5 2 2 2 2 3 2 3" xfId="11432" xr:uid="{085AE3D2-28A3-42E6-BDDF-68FEB517F64E}"/>
    <cellStyle name="Currency 5 2 2 2 2 3 3" xfId="5055" xr:uid="{00000000-0005-0000-0000-0000890B0000}"/>
    <cellStyle name="Currency 5 2 2 2 2 3 3 2" xfId="13505" xr:uid="{6E9650A6-ECA8-4655-BEB7-ECF82D24AA6B}"/>
    <cellStyle name="Currency 5 2 2 2 2 3 4" xfId="9287" xr:uid="{4CCD05E5-5C58-4CE2-9DB4-3AB5B4007CE5}"/>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063" xr:uid="{4F1D7872-E9E6-406A-9BC3-5F44FF70CC2E}"/>
    <cellStyle name="Currency 5 2 2 2 2 4 2 3" xfId="11845" xr:uid="{1FE51762-7D5E-4A6D-A852-1EA8503AD9D1}"/>
    <cellStyle name="Currency 5 2 2 2 2 4 3" xfId="5468" xr:uid="{00000000-0005-0000-0000-00008D0B0000}"/>
    <cellStyle name="Currency 5 2 2 2 2 4 3 2" xfId="13918" xr:uid="{54550703-8D76-4BDB-BAC4-8BDB666A9DA5}"/>
    <cellStyle name="Currency 5 2 2 2 2 4 4" xfId="9700" xr:uid="{15460C10-5896-4532-B5B2-43497EC7B2E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6476" xr:uid="{ED3626E0-D959-40A7-A557-692B624E2385}"/>
    <cellStyle name="Currency 5 2 2 2 2 5 2 3" xfId="12258" xr:uid="{31FB1F1D-CAF0-4966-86B7-E8DC6D4393DE}"/>
    <cellStyle name="Currency 5 2 2 2 2 5 3" xfId="5881" xr:uid="{00000000-0005-0000-0000-0000910B0000}"/>
    <cellStyle name="Currency 5 2 2 2 2 5 3 2" xfId="14331" xr:uid="{9F248A39-7503-4B37-909E-668FD49E9CBA}"/>
    <cellStyle name="Currency 5 2 2 2 2 5 4" xfId="10113" xr:uid="{DEED899F-ED00-4CA3-B855-39A082765933}"/>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6889" xr:uid="{0C6C5F95-E820-4A0F-8ED0-771FB7ECFCB8}"/>
    <cellStyle name="Currency 5 2 2 2 2 6 2 3" xfId="12671" xr:uid="{1F63BF71-A57C-43E6-8889-3A6B241B53FA}"/>
    <cellStyle name="Currency 5 2 2 2 2 6 3" xfId="6294" xr:uid="{00000000-0005-0000-0000-0000950B0000}"/>
    <cellStyle name="Currency 5 2 2 2 2 6 3 2" xfId="14744" xr:uid="{0EAECEDE-8AD9-42E6-98DB-571829284D5F}"/>
    <cellStyle name="Currency 5 2 2 2 2 6 4" xfId="10526" xr:uid="{A5EFEB09-BE48-4809-9DAD-211EC46DB450}"/>
    <cellStyle name="Currency 5 2 2 2 2 7" xfId="2423" xr:uid="{00000000-0005-0000-0000-0000960B0000}"/>
    <cellStyle name="Currency 5 2 2 2 2 7 2" xfId="6707" xr:uid="{00000000-0005-0000-0000-0000970B0000}"/>
    <cellStyle name="Currency 5 2 2 2 2 7 2 2" xfId="15157" xr:uid="{F191A913-DBAA-40F0-897A-42AA718D98CA}"/>
    <cellStyle name="Currency 5 2 2 2 2 7 3" xfId="10939" xr:uid="{4E373143-D5CB-4242-A50D-E332716A31CD}"/>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5474" xr:uid="{F0A3A1AE-3597-4A21-BE15-85244DEFFDEB}"/>
    <cellStyle name="Currency 5 2 2 2 2 9 3" xfId="11256" xr:uid="{C594E577-002C-4288-8C20-E8E74873678D}"/>
    <cellStyle name="Currency 5 2 2 2 3" xfId="199" xr:uid="{00000000-0005-0000-0000-00009B0B0000}"/>
    <cellStyle name="Currency 5 2 2 2 3 10" xfId="8875" xr:uid="{143D944B-F559-486A-8256-5D62D2D8ABA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5652" xr:uid="{960FFE67-5A2C-48FA-9467-8D19FEC1FA50}"/>
    <cellStyle name="Currency 5 2 2 2 3 2 2 3" xfId="11434" xr:uid="{D94AFDDF-DF9D-47B2-9C69-E3C2181BD73A}"/>
    <cellStyle name="Currency 5 2 2 2 3 2 3" xfId="5057" xr:uid="{00000000-0005-0000-0000-00009F0B0000}"/>
    <cellStyle name="Currency 5 2 2 2 3 2 3 2" xfId="13507" xr:uid="{280BAE17-BBFC-4CF2-B50F-F8D58CC197C1}"/>
    <cellStyle name="Currency 5 2 2 2 3 2 4" xfId="9289" xr:uid="{628204E7-0066-4496-8D3A-8FEB49CE414C}"/>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065" xr:uid="{1C227086-68CA-469A-91A0-2276B891057E}"/>
    <cellStyle name="Currency 5 2 2 2 3 3 2 3" xfId="11847" xr:uid="{EAC70292-BC64-4369-A00E-806620E016F8}"/>
    <cellStyle name="Currency 5 2 2 2 3 3 3" xfId="5470" xr:uid="{00000000-0005-0000-0000-0000A30B0000}"/>
    <cellStyle name="Currency 5 2 2 2 3 3 3 2" xfId="13920" xr:uid="{47005733-C091-4BA3-A9E8-1A98BCDD9C14}"/>
    <cellStyle name="Currency 5 2 2 2 3 3 4" xfId="9702" xr:uid="{DC009CEE-6A4A-4D66-91EF-B78DBCA1924D}"/>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6478" xr:uid="{5D3BECBD-E876-4363-8C9F-2E5C2EE8B1FE}"/>
    <cellStyle name="Currency 5 2 2 2 3 4 2 3" xfId="12260" xr:uid="{B958D24D-FA9F-41AB-ABD1-EE3217863DAD}"/>
    <cellStyle name="Currency 5 2 2 2 3 4 3" xfId="5883" xr:uid="{00000000-0005-0000-0000-0000A70B0000}"/>
    <cellStyle name="Currency 5 2 2 2 3 4 3 2" xfId="14333" xr:uid="{47CD9796-6249-4D05-AA78-30C60AC48C00}"/>
    <cellStyle name="Currency 5 2 2 2 3 4 4" xfId="10115" xr:uid="{999C9112-15F6-47A9-A46E-BE869029C2AA}"/>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6891" xr:uid="{77963B4B-EC28-4500-9FC7-D35B08AFDD7C}"/>
    <cellStyle name="Currency 5 2 2 2 3 5 2 3" xfId="12673" xr:uid="{5B89F917-616F-4B31-B431-AAB6049AD799}"/>
    <cellStyle name="Currency 5 2 2 2 3 5 3" xfId="6296" xr:uid="{00000000-0005-0000-0000-0000AB0B0000}"/>
    <cellStyle name="Currency 5 2 2 2 3 5 3 2" xfId="14746" xr:uid="{6E28E477-F382-4EBD-B4BC-25BD3C4492FF}"/>
    <cellStyle name="Currency 5 2 2 2 3 5 4" xfId="10528" xr:uid="{0FAE9669-A260-455A-B194-A965AD1E27EE}"/>
    <cellStyle name="Currency 5 2 2 2 3 6" xfId="2425" xr:uid="{00000000-0005-0000-0000-0000AC0B0000}"/>
    <cellStyle name="Currency 5 2 2 2 3 6 2" xfId="6709" xr:uid="{00000000-0005-0000-0000-0000AD0B0000}"/>
    <cellStyle name="Currency 5 2 2 2 3 6 2 2" xfId="15159" xr:uid="{247CD09E-472E-4295-B63B-EB96414F2C69}"/>
    <cellStyle name="Currency 5 2 2 2 3 6 3" xfId="10941" xr:uid="{CDB0FB8E-99CE-402A-B020-9C6C31D660E1}"/>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5476" xr:uid="{1FBC2484-D16C-48E8-8E2A-E8992F5CE839}"/>
    <cellStyle name="Currency 5 2 2 2 3 8 3" xfId="11258" xr:uid="{B76C2484-6695-45C9-AFDF-FAA1716490C8}"/>
    <cellStyle name="Currency 5 2 2 2 3 9" xfId="4643" xr:uid="{00000000-0005-0000-0000-0000B10B0000}"/>
    <cellStyle name="Currency 5 2 2 2 3 9 2" xfId="13093" xr:uid="{AAE0E512-DC7C-4239-BB13-C209FC55B159}"/>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5649" xr:uid="{F3F4D66F-25C0-430F-BB94-4C511C7F8871}"/>
    <cellStyle name="Currency 5 2 2 2 4 2 3" xfId="11431" xr:uid="{E0562395-3056-4EE6-A276-F82CEF24C550}"/>
    <cellStyle name="Currency 5 2 2 2 4 3" xfId="5054" xr:uid="{00000000-0005-0000-0000-0000B50B0000}"/>
    <cellStyle name="Currency 5 2 2 2 4 3 2" xfId="13504" xr:uid="{80FD4580-0736-4E33-91FE-CF03D100C6B4}"/>
    <cellStyle name="Currency 5 2 2 2 4 4" xfId="9286" xr:uid="{3A879835-819D-4939-9D7B-9619F943F86A}"/>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062" xr:uid="{7973621F-3C25-4963-9A02-3528602FB525}"/>
    <cellStyle name="Currency 5 2 2 2 5 2 3" xfId="11844" xr:uid="{3FE7FED7-4E53-4BAC-AF87-24E874F5EFCE}"/>
    <cellStyle name="Currency 5 2 2 2 5 3" xfId="5467" xr:uid="{00000000-0005-0000-0000-0000B90B0000}"/>
    <cellStyle name="Currency 5 2 2 2 5 3 2" xfId="13917" xr:uid="{715A8D8D-4902-4873-83D9-07929300E236}"/>
    <cellStyle name="Currency 5 2 2 2 5 4" xfId="9699" xr:uid="{265568D9-904F-436B-BC3D-E0DB7F9EE959}"/>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6475" xr:uid="{61D8452A-C724-4BA3-A348-7D0437E77629}"/>
    <cellStyle name="Currency 5 2 2 2 6 2 3" xfId="12257" xr:uid="{64D39445-9195-408E-AD35-32D9263964B1}"/>
    <cellStyle name="Currency 5 2 2 2 6 3" xfId="5880" xr:uid="{00000000-0005-0000-0000-0000BD0B0000}"/>
    <cellStyle name="Currency 5 2 2 2 6 3 2" xfId="14330" xr:uid="{1C564EA8-31CE-4DA7-A236-CCC0E750E95D}"/>
    <cellStyle name="Currency 5 2 2 2 6 4" xfId="10112" xr:uid="{236A9EA6-894E-49DE-A59B-12BA35F6771D}"/>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6888" xr:uid="{24788370-37E6-4637-AC94-72D70E540723}"/>
    <cellStyle name="Currency 5 2 2 2 7 2 3" xfId="12670" xr:uid="{F6C9CDE4-186C-4E0F-88D3-1B8D04F07C73}"/>
    <cellStyle name="Currency 5 2 2 2 7 3" xfId="6293" xr:uid="{00000000-0005-0000-0000-0000C10B0000}"/>
    <cellStyle name="Currency 5 2 2 2 7 3 2" xfId="14743" xr:uid="{42FE3BA6-A02F-434E-9C6D-C6C8F8EB02F6}"/>
    <cellStyle name="Currency 5 2 2 2 7 4" xfId="10525" xr:uid="{3723E994-5126-486A-8E1C-66C5E2C51E62}"/>
    <cellStyle name="Currency 5 2 2 2 8" xfId="2422" xr:uid="{00000000-0005-0000-0000-0000C20B0000}"/>
    <cellStyle name="Currency 5 2 2 2 8 2" xfId="6706" xr:uid="{00000000-0005-0000-0000-0000C30B0000}"/>
    <cellStyle name="Currency 5 2 2 2 8 2 2" xfId="15156" xr:uid="{CC937952-1FE2-428B-A675-887028DE5DB9}"/>
    <cellStyle name="Currency 5 2 2 2 8 3" xfId="10938" xr:uid="{7ACF04E5-D847-4267-B8FA-5C5666A99F2A}"/>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094" xr:uid="{859B1C5C-9030-4411-BB8C-5A5DBCB7C95B}"/>
    <cellStyle name="Currency 5 2 2 3 11" xfId="8876" xr:uid="{C72ED727-1821-4D4F-B451-0BF38ACA2183}"/>
    <cellStyle name="Currency 5 2 2 3 2" xfId="201" xr:uid="{00000000-0005-0000-0000-0000C70B0000}"/>
    <cellStyle name="Currency 5 2 2 3 2 10" xfId="8877" xr:uid="{6308E25C-83DC-4792-9C35-212DE0E8108A}"/>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5654" xr:uid="{18EB4D3C-3F97-4291-BC1E-BC29F2B7A8D9}"/>
    <cellStyle name="Currency 5 2 2 3 2 2 2 3" xfId="11436" xr:uid="{E964FEA0-4E27-4859-A303-0419AD97DABB}"/>
    <cellStyle name="Currency 5 2 2 3 2 2 3" xfId="5059" xr:uid="{00000000-0005-0000-0000-0000CB0B0000}"/>
    <cellStyle name="Currency 5 2 2 3 2 2 3 2" xfId="13509" xr:uid="{5A84C615-CC47-42F1-AA98-9268EB173212}"/>
    <cellStyle name="Currency 5 2 2 3 2 2 4" xfId="9291" xr:uid="{7097FEF3-0504-4676-9D27-93858AF8FCC3}"/>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067" xr:uid="{B9440D7A-0B91-4FDB-81E9-02E7825538D9}"/>
    <cellStyle name="Currency 5 2 2 3 2 3 2 3" xfId="11849" xr:uid="{6499524D-A258-4871-A9B3-4E599782FB04}"/>
    <cellStyle name="Currency 5 2 2 3 2 3 3" xfId="5472" xr:uid="{00000000-0005-0000-0000-0000CF0B0000}"/>
    <cellStyle name="Currency 5 2 2 3 2 3 3 2" xfId="13922" xr:uid="{6857BF50-7C91-4CD1-BB75-A00C9E93EE95}"/>
    <cellStyle name="Currency 5 2 2 3 2 3 4" xfId="9704" xr:uid="{A8D699E0-B12D-443B-91B7-B3185580AF46}"/>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6480" xr:uid="{0C5CE46A-21E5-4310-8B9C-87A28D6F72F4}"/>
    <cellStyle name="Currency 5 2 2 3 2 4 2 3" xfId="12262" xr:uid="{3286EF48-368E-4126-A588-8876B8B9F5D3}"/>
    <cellStyle name="Currency 5 2 2 3 2 4 3" xfId="5885" xr:uid="{00000000-0005-0000-0000-0000D30B0000}"/>
    <cellStyle name="Currency 5 2 2 3 2 4 3 2" xfId="14335" xr:uid="{865C13A5-1E36-4CEE-A33B-E40C3FDCBA03}"/>
    <cellStyle name="Currency 5 2 2 3 2 4 4" xfId="10117" xr:uid="{4D7559C6-0F48-414C-93CB-47786B589DC4}"/>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6893" xr:uid="{7F3C1A91-91F3-4C47-998A-DEA1B61DA3D2}"/>
    <cellStyle name="Currency 5 2 2 3 2 5 2 3" xfId="12675" xr:uid="{F9B01E43-AFF8-404D-8723-6FCC1984A271}"/>
    <cellStyle name="Currency 5 2 2 3 2 5 3" xfId="6298" xr:uid="{00000000-0005-0000-0000-0000D70B0000}"/>
    <cellStyle name="Currency 5 2 2 3 2 5 3 2" xfId="14748" xr:uid="{04B26D88-EB7F-4CD2-92DB-032C4F4640E3}"/>
    <cellStyle name="Currency 5 2 2 3 2 5 4" xfId="10530" xr:uid="{578BAD92-CEA4-4AC2-8306-7058A46D74DB}"/>
    <cellStyle name="Currency 5 2 2 3 2 6" xfId="2427" xr:uid="{00000000-0005-0000-0000-0000D80B0000}"/>
    <cellStyle name="Currency 5 2 2 3 2 6 2" xfId="6711" xr:uid="{00000000-0005-0000-0000-0000D90B0000}"/>
    <cellStyle name="Currency 5 2 2 3 2 6 2 2" xfId="15161" xr:uid="{0F1BBECF-F5F6-421D-B485-8C2D4A5E2389}"/>
    <cellStyle name="Currency 5 2 2 3 2 6 3" xfId="10943" xr:uid="{0CDB640C-C977-4965-B8D2-E932D176D2C5}"/>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5478" xr:uid="{5559E849-900C-4D64-8E90-AD8485D8957A}"/>
    <cellStyle name="Currency 5 2 2 3 2 8 3" xfId="11260" xr:uid="{EF1E72B3-DA59-477A-A639-CAC38B167394}"/>
    <cellStyle name="Currency 5 2 2 3 2 9" xfId="4645" xr:uid="{00000000-0005-0000-0000-0000DD0B0000}"/>
    <cellStyle name="Currency 5 2 2 3 2 9 2" xfId="13095" xr:uid="{92D1C321-B715-4395-B066-F84C83067CE6}"/>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5653" xr:uid="{8969A4DC-19E3-45F2-8932-5B93B93C7EE0}"/>
    <cellStyle name="Currency 5 2 2 3 3 2 3" xfId="11435" xr:uid="{12F23B4F-AD13-45A0-B7D7-516E9952503D}"/>
    <cellStyle name="Currency 5 2 2 3 3 3" xfId="5058" xr:uid="{00000000-0005-0000-0000-0000E10B0000}"/>
    <cellStyle name="Currency 5 2 2 3 3 3 2" xfId="13508" xr:uid="{CB903039-0D31-4980-89FB-94F98826EFBD}"/>
    <cellStyle name="Currency 5 2 2 3 3 4" xfId="9290" xr:uid="{B3E9B02C-F146-49DC-92B2-25A9C9242C42}"/>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066" xr:uid="{EA35B772-3167-46B9-A7EB-347A08C6A447}"/>
    <cellStyle name="Currency 5 2 2 3 4 2 3" xfId="11848" xr:uid="{858A1DDA-F259-464D-B82F-6A863874FAD9}"/>
    <cellStyle name="Currency 5 2 2 3 4 3" xfId="5471" xr:uid="{00000000-0005-0000-0000-0000E50B0000}"/>
    <cellStyle name="Currency 5 2 2 3 4 3 2" xfId="13921" xr:uid="{69E4358F-1EEE-4D05-81EC-05B685076900}"/>
    <cellStyle name="Currency 5 2 2 3 4 4" xfId="9703" xr:uid="{DD6FE9F6-28EC-400C-9A61-BDD42D53DF0E}"/>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6479" xr:uid="{2B71D254-9A8C-414C-819C-714E4AC9211F}"/>
    <cellStyle name="Currency 5 2 2 3 5 2 3" xfId="12261" xr:uid="{8993E2B3-EFC2-481B-B3DE-0846CD8B0427}"/>
    <cellStyle name="Currency 5 2 2 3 5 3" xfId="5884" xr:uid="{00000000-0005-0000-0000-0000E90B0000}"/>
    <cellStyle name="Currency 5 2 2 3 5 3 2" xfId="14334" xr:uid="{807C3336-72F0-408B-9DA2-61B1800FC4DA}"/>
    <cellStyle name="Currency 5 2 2 3 5 4" xfId="10116" xr:uid="{C9263D68-A9FC-4413-ACBE-37C43AFBE514}"/>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6892" xr:uid="{73602B72-1D22-4249-961D-FAE5AEFE3763}"/>
    <cellStyle name="Currency 5 2 2 3 6 2 3" xfId="12674" xr:uid="{D83BAD8B-ADF1-4208-A099-60DBA78CFD7B}"/>
    <cellStyle name="Currency 5 2 2 3 6 3" xfId="6297" xr:uid="{00000000-0005-0000-0000-0000ED0B0000}"/>
    <cellStyle name="Currency 5 2 2 3 6 3 2" xfId="14747" xr:uid="{D9DDA880-6E14-4F9E-9FE5-A3D58D745386}"/>
    <cellStyle name="Currency 5 2 2 3 6 4" xfId="10529" xr:uid="{7A355DD9-30A9-46AF-9E6D-97383D1FF63A}"/>
    <cellStyle name="Currency 5 2 2 3 7" xfId="2426" xr:uid="{00000000-0005-0000-0000-0000EE0B0000}"/>
    <cellStyle name="Currency 5 2 2 3 7 2" xfId="6710" xr:uid="{00000000-0005-0000-0000-0000EF0B0000}"/>
    <cellStyle name="Currency 5 2 2 3 7 2 2" xfId="15160" xr:uid="{7A3C053E-80B5-4A31-A748-E56EB724E874}"/>
    <cellStyle name="Currency 5 2 2 3 7 3" xfId="10942" xr:uid="{69F1ED0A-35AB-49F5-8FA4-561B25CF8E11}"/>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5477" xr:uid="{E958C5AD-68C9-4378-A94E-E74DBA190420}"/>
    <cellStyle name="Currency 5 2 2 3 9 3" xfId="11259" xr:uid="{05CD4199-7D00-4E10-819E-9824A8D736DD}"/>
    <cellStyle name="Currency 5 2 2 4" xfId="202" xr:uid="{00000000-0005-0000-0000-0000F30B0000}"/>
    <cellStyle name="Currency 5 2 2 4 10" xfId="8878" xr:uid="{37DA9F03-281E-499F-A66D-27B1654B4CE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5655" xr:uid="{A1E3D64E-1A5B-4476-914C-906674C8A454}"/>
    <cellStyle name="Currency 5 2 2 4 2 2 3" xfId="11437" xr:uid="{F6688973-07DC-40F6-9D61-1651EBF9E501}"/>
    <cellStyle name="Currency 5 2 2 4 2 3" xfId="5060" xr:uid="{00000000-0005-0000-0000-0000F70B0000}"/>
    <cellStyle name="Currency 5 2 2 4 2 3 2" xfId="13510" xr:uid="{3E8F232D-90B5-4B6E-BA3C-3CABDD80FFD0}"/>
    <cellStyle name="Currency 5 2 2 4 2 4" xfId="9292" xr:uid="{C7410AAF-FD33-4733-B916-269C6F095702}"/>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068" xr:uid="{5D7615D4-BD5B-4494-B3A9-CA7C34EF2805}"/>
    <cellStyle name="Currency 5 2 2 4 3 2 3" xfId="11850" xr:uid="{75C5227C-6187-4FFE-A0A5-B0985ABFFDAF}"/>
    <cellStyle name="Currency 5 2 2 4 3 3" xfId="5473" xr:uid="{00000000-0005-0000-0000-0000FB0B0000}"/>
    <cellStyle name="Currency 5 2 2 4 3 3 2" xfId="13923" xr:uid="{C08A9173-9F51-4F3A-B329-C2010C1A6F81}"/>
    <cellStyle name="Currency 5 2 2 4 3 4" xfId="9705" xr:uid="{C9CC4DE6-FB2B-40D8-B86E-AA45C5801F16}"/>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6481" xr:uid="{DE41A66F-8D5F-4097-98D0-5EF07AD72826}"/>
    <cellStyle name="Currency 5 2 2 4 4 2 3" xfId="12263" xr:uid="{4B04B514-4F6B-4E5B-AD58-164C49042C72}"/>
    <cellStyle name="Currency 5 2 2 4 4 3" xfId="5886" xr:uid="{00000000-0005-0000-0000-0000FF0B0000}"/>
    <cellStyle name="Currency 5 2 2 4 4 3 2" xfId="14336" xr:uid="{A22F5E9D-AA6D-4999-895A-B51FB794929F}"/>
    <cellStyle name="Currency 5 2 2 4 4 4" xfId="10118" xr:uid="{F861492B-0997-457F-804D-8B1ECFC22CB1}"/>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6894" xr:uid="{AF6B8105-E4D3-4265-9BDF-B0B11C8801C6}"/>
    <cellStyle name="Currency 5 2 2 4 5 2 3" xfId="12676" xr:uid="{00F25BCD-1860-4B59-8624-94CB04851695}"/>
    <cellStyle name="Currency 5 2 2 4 5 3" xfId="6299" xr:uid="{00000000-0005-0000-0000-0000030C0000}"/>
    <cellStyle name="Currency 5 2 2 4 5 3 2" xfId="14749" xr:uid="{DAA0EFA3-7FF1-44BC-AA02-C5B7A35F437F}"/>
    <cellStyle name="Currency 5 2 2 4 5 4" xfId="10531" xr:uid="{2276FED8-88D1-46A5-89A8-8A9985160C1F}"/>
    <cellStyle name="Currency 5 2 2 4 6" xfId="2428" xr:uid="{00000000-0005-0000-0000-0000040C0000}"/>
    <cellStyle name="Currency 5 2 2 4 6 2" xfId="6712" xr:uid="{00000000-0005-0000-0000-0000050C0000}"/>
    <cellStyle name="Currency 5 2 2 4 6 2 2" xfId="15162" xr:uid="{3FD5E28F-BA11-4A97-935E-525896AE1698}"/>
    <cellStyle name="Currency 5 2 2 4 6 3" xfId="10944" xr:uid="{7F519D4E-737B-40A3-BE03-6B4DB24CCAFC}"/>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5479" xr:uid="{ECA06D8B-E07D-4AE9-ABB2-1BA3638F7402}"/>
    <cellStyle name="Currency 5 2 2 4 8 3" xfId="11261" xr:uid="{8EDEF0E3-74DC-4868-97F2-749C80D1B5A9}"/>
    <cellStyle name="Currency 5 2 2 4 9" xfId="4646" xr:uid="{00000000-0005-0000-0000-0000090C0000}"/>
    <cellStyle name="Currency 5 2 2 4 9 2" xfId="13096" xr:uid="{3BFABCA0-90BE-4DD5-B8CA-E3E2FC492115}"/>
    <cellStyle name="Currency 5 2 2 5" xfId="203" xr:uid="{00000000-0005-0000-0000-00000A0C0000}"/>
    <cellStyle name="Currency 5 2 2 5 10" xfId="8879" xr:uid="{1B1F8957-F7E1-45CA-AFBA-057AE393688B}"/>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5656" xr:uid="{F9A3840F-B36A-4971-9D2A-3438B63F3D72}"/>
    <cellStyle name="Currency 5 2 2 5 2 2 3" xfId="11438" xr:uid="{B85DD1E9-253D-4B11-B578-0298124C77F3}"/>
    <cellStyle name="Currency 5 2 2 5 2 3" xfId="5061" xr:uid="{00000000-0005-0000-0000-00000E0C0000}"/>
    <cellStyle name="Currency 5 2 2 5 2 3 2" xfId="13511" xr:uid="{A9424A7D-147C-4D4C-A153-0F78F79C510E}"/>
    <cellStyle name="Currency 5 2 2 5 2 4" xfId="9293" xr:uid="{BE205E25-46A9-4FC7-B169-77BA97CDB055}"/>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069" xr:uid="{CB90CD9F-D6BF-434A-81FE-AFA34E447191}"/>
    <cellStyle name="Currency 5 2 2 5 3 2 3" xfId="11851" xr:uid="{4F00C512-934B-41F4-B035-8916F3BA63B0}"/>
    <cellStyle name="Currency 5 2 2 5 3 3" xfId="5474" xr:uid="{00000000-0005-0000-0000-0000120C0000}"/>
    <cellStyle name="Currency 5 2 2 5 3 3 2" xfId="13924" xr:uid="{B7FF4633-D82F-43E0-9DA4-AE2F081602BC}"/>
    <cellStyle name="Currency 5 2 2 5 3 4" xfId="9706" xr:uid="{C61AAEBA-D95B-4908-BFB9-5FEA2E48390F}"/>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6482" xr:uid="{AE3E4F25-93EC-42E7-A7C7-9EF23AB3F578}"/>
    <cellStyle name="Currency 5 2 2 5 4 2 3" xfId="12264" xr:uid="{B1CBCD68-2A1E-44A7-BD99-85CAC66033B4}"/>
    <cellStyle name="Currency 5 2 2 5 4 3" xfId="5887" xr:uid="{00000000-0005-0000-0000-0000160C0000}"/>
    <cellStyle name="Currency 5 2 2 5 4 3 2" xfId="14337" xr:uid="{098C5401-4626-4BAA-AFA9-9958F642A879}"/>
    <cellStyle name="Currency 5 2 2 5 4 4" xfId="10119" xr:uid="{616CB161-DB3E-436D-ABE4-BFA4D971E2F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6895" xr:uid="{3AA99B20-F8D9-449F-8D87-67DAE798F2BD}"/>
    <cellStyle name="Currency 5 2 2 5 5 2 3" xfId="12677" xr:uid="{ABC15044-88F1-4B02-821B-A2273CB80374}"/>
    <cellStyle name="Currency 5 2 2 5 5 3" xfId="6300" xr:uid="{00000000-0005-0000-0000-00001A0C0000}"/>
    <cellStyle name="Currency 5 2 2 5 5 3 2" xfId="14750" xr:uid="{591BAD97-EE98-4AE6-A5C6-3C6E2481E5F0}"/>
    <cellStyle name="Currency 5 2 2 5 5 4" xfId="10532" xr:uid="{A32263F5-B3BA-4AAB-9E58-E25898976ACA}"/>
    <cellStyle name="Currency 5 2 2 5 6" xfId="2429" xr:uid="{00000000-0005-0000-0000-00001B0C0000}"/>
    <cellStyle name="Currency 5 2 2 5 6 2" xfId="6713" xr:uid="{00000000-0005-0000-0000-00001C0C0000}"/>
    <cellStyle name="Currency 5 2 2 5 6 2 2" xfId="15163" xr:uid="{6BAEB01F-D4C6-4FCE-9B9A-439AFD92C66C}"/>
    <cellStyle name="Currency 5 2 2 5 6 3" xfId="10945" xr:uid="{DE5883B9-DDA6-4AD5-AE0F-C609659CF7B6}"/>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5480" xr:uid="{3357C8EB-8F58-4B2D-87F2-EE1B12066F52}"/>
    <cellStyle name="Currency 5 2 2 5 8 3" xfId="11262" xr:uid="{FC93014F-B306-47FC-861B-898F438DA02A}"/>
    <cellStyle name="Currency 5 2 2 5 9" xfId="4647" xr:uid="{00000000-0005-0000-0000-0000200C0000}"/>
    <cellStyle name="Currency 5 2 2 5 9 2" xfId="13097" xr:uid="{5175ECDC-3CC2-44D0-8B27-73BC3762B678}"/>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098" xr:uid="{4CE78B5F-3D35-460F-BA20-8AD79D28A22E}"/>
    <cellStyle name="Currency 5 2 4 11" xfId="8880" xr:uid="{78D18727-3050-4E4B-A424-B05552CDB839}"/>
    <cellStyle name="Currency 5 2 4 2" xfId="206" xr:uid="{00000000-0005-0000-0000-0000250C0000}"/>
    <cellStyle name="Currency 5 2 4 2 10" xfId="8881" xr:uid="{120CC83F-F1F7-4D93-B7F0-AA108867214C}"/>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5658" xr:uid="{B6739046-33F1-4D7F-AB65-5AF553E97CD4}"/>
    <cellStyle name="Currency 5 2 4 2 2 2 3" xfId="11440" xr:uid="{8C866647-F8C3-4953-A233-517926F3921B}"/>
    <cellStyle name="Currency 5 2 4 2 2 3" xfId="5063" xr:uid="{00000000-0005-0000-0000-0000290C0000}"/>
    <cellStyle name="Currency 5 2 4 2 2 3 2" xfId="13513" xr:uid="{7B551190-8363-4580-9E76-562FEFF8D56C}"/>
    <cellStyle name="Currency 5 2 4 2 2 4" xfId="9295" xr:uid="{FB486406-4FFB-42EA-B060-5163FF27F0D3}"/>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071" xr:uid="{7A692372-7902-470B-9E0A-DC6F5AE69AB0}"/>
    <cellStyle name="Currency 5 2 4 2 3 2 3" xfId="11853" xr:uid="{6353A600-5798-4E3A-86EF-30D41079B6AF}"/>
    <cellStyle name="Currency 5 2 4 2 3 3" xfId="5476" xr:uid="{00000000-0005-0000-0000-00002D0C0000}"/>
    <cellStyle name="Currency 5 2 4 2 3 3 2" xfId="13926" xr:uid="{FA4876E6-C669-4A62-A27C-6D6B51B40BB5}"/>
    <cellStyle name="Currency 5 2 4 2 3 4" xfId="9708" xr:uid="{28D9B60E-DE5B-4114-B02B-F17C834865A1}"/>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6484" xr:uid="{EAA537CD-4BF4-47A3-B953-6394FDBD210C}"/>
    <cellStyle name="Currency 5 2 4 2 4 2 3" xfId="12266" xr:uid="{70E85086-98E2-4FE5-B5D5-A31D7D75D55D}"/>
    <cellStyle name="Currency 5 2 4 2 4 3" xfId="5889" xr:uid="{00000000-0005-0000-0000-0000310C0000}"/>
    <cellStyle name="Currency 5 2 4 2 4 3 2" xfId="14339" xr:uid="{C873AE01-169C-4B83-9744-D11FF066B630}"/>
    <cellStyle name="Currency 5 2 4 2 4 4" xfId="10121" xr:uid="{12C4B59C-8A74-4E2C-9CCE-20B72D59AD1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6897" xr:uid="{B966A404-0C1D-43C3-9ED5-4122D7ACFD27}"/>
    <cellStyle name="Currency 5 2 4 2 5 2 3" xfId="12679" xr:uid="{99BAFA38-ACEF-413E-B135-1BA05114FE4B}"/>
    <cellStyle name="Currency 5 2 4 2 5 3" xfId="6302" xr:uid="{00000000-0005-0000-0000-0000350C0000}"/>
    <cellStyle name="Currency 5 2 4 2 5 3 2" xfId="14752" xr:uid="{BFAAEDBF-94A5-4E93-8270-FA7237E0CB77}"/>
    <cellStyle name="Currency 5 2 4 2 5 4" xfId="10534" xr:uid="{DA0187AC-1250-4835-B413-CFE1BD1160F5}"/>
    <cellStyle name="Currency 5 2 4 2 6" xfId="2431" xr:uid="{00000000-0005-0000-0000-0000360C0000}"/>
    <cellStyle name="Currency 5 2 4 2 6 2" xfId="6715" xr:uid="{00000000-0005-0000-0000-0000370C0000}"/>
    <cellStyle name="Currency 5 2 4 2 6 2 2" xfId="15165" xr:uid="{84AB4EFA-9CC7-4DB3-955D-AE138790E647}"/>
    <cellStyle name="Currency 5 2 4 2 6 3" xfId="10947" xr:uid="{6D702839-7076-41A3-9540-38FA74D6F50A}"/>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5482" xr:uid="{E0A774C1-E373-4BEA-941C-E32B5DF694A2}"/>
    <cellStyle name="Currency 5 2 4 2 8 3" xfId="11264" xr:uid="{2F552683-319D-4102-90F6-6FE96A55F349}"/>
    <cellStyle name="Currency 5 2 4 2 9" xfId="4649" xr:uid="{00000000-0005-0000-0000-00003B0C0000}"/>
    <cellStyle name="Currency 5 2 4 2 9 2" xfId="13099" xr:uid="{2FAC3345-4E91-4C04-BB40-2AB4AB2A9316}"/>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5657" xr:uid="{D5F51F1B-CBA2-4B04-BF0F-BACC0722A0C9}"/>
    <cellStyle name="Currency 5 2 4 3 2 3" xfId="11439" xr:uid="{1862FB80-C1A1-486F-94BE-EB406424CE3A}"/>
    <cellStyle name="Currency 5 2 4 3 3" xfId="5062" xr:uid="{00000000-0005-0000-0000-00003F0C0000}"/>
    <cellStyle name="Currency 5 2 4 3 3 2" xfId="13512" xr:uid="{367EE272-E77D-4AE1-98CD-70183434B8E3}"/>
    <cellStyle name="Currency 5 2 4 3 4" xfId="9294" xr:uid="{07A06888-D596-4CAA-93D6-E54CBB542DA0}"/>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070" xr:uid="{25CD369C-9C0A-4752-B50F-BB23A3D12D47}"/>
    <cellStyle name="Currency 5 2 4 4 2 3" xfId="11852" xr:uid="{24DD885F-20DB-4B26-B5BD-A17E5B7A62C0}"/>
    <cellStyle name="Currency 5 2 4 4 3" xfId="5475" xr:uid="{00000000-0005-0000-0000-0000430C0000}"/>
    <cellStyle name="Currency 5 2 4 4 3 2" xfId="13925" xr:uid="{4AB412DF-1C3F-44C5-8E91-8D720E3C8941}"/>
    <cellStyle name="Currency 5 2 4 4 4" xfId="9707" xr:uid="{B111571E-DE79-4292-AA88-E1AFD29B82A7}"/>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6483" xr:uid="{EF597A26-6363-4569-9BB5-E3D4DBD06D54}"/>
    <cellStyle name="Currency 5 2 4 5 2 3" xfId="12265" xr:uid="{A1E23C76-ACCC-42A9-B28F-80CAAA0A16E4}"/>
    <cellStyle name="Currency 5 2 4 5 3" xfId="5888" xr:uid="{00000000-0005-0000-0000-0000470C0000}"/>
    <cellStyle name="Currency 5 2 4 5 3 2" xfId="14338" xr:uid="{8B7885C4-C6C5-4C67-BDD2-B271A3683113}"/>
    <cellStyle name="Currency 5 2 4 5 4" xfId="10120" xr:uid="{91097C63-3704-40C8-9FFC-7FEB62AACA21}"/>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6896" xr:uid="{51EBCFC4-B4C2-439C-8FBE-878A7AC6E4D4}"/>
    <cellStyle name="Currency 5 2 4 6 2 3" xfId="12678" xr:uid="{137B4E61-624A-4E51-89B1-CA7F603D4BEB}"/>
    <cellStyle name="Currency 5 2 4 6 3" xfId="6301" xr:uid="{00000000-0005-0000-0000-00004B0C0000}"/>
    <cellStyle name="Currency 5 2 4 6 3 2" xfId="14751" xr:uid="{D67EBB8A-188E-4257-8D12-17E0AF1FC2A4}"/>
    <cellStyle name="Currency 5 2 4 6 4" xfId="10533" xr:uid="{E4D5D009-CEB6-42E9-8A19-0E5D965059DD}"/>
    <cellStyle name="Currency 5 2 4 7" xfId="2430" xr:uid="{00000000-0005-0000-0000-00004C0C0000}"/>
    <cellStyle name="Currency 5 2 4 7 2" xfId="6714" xr:uid="{00000000-0005-0000-0000-00004D0C0000}"/>
    <cellStyle name="Currency 5 2 4 7 2 2" xfId="15164" xr:uid="{B2E5A212-563C-410B-9B4D-0D60A638B71E}"/>
    <cellStyle name="Currency 5 2 4 7 3" xfId="10946" xr:uid="{F61990A0-1DC8-45F9-9FF6-2BF12E194887}"/>
    <cellStyle name="Currency 5 2 4 8" xfId="2727" xr:uid="{00000000-0005-0000-0000-00004E0C0000}"/>
    <cellStyle name="Currency 5 2 4 9" xfId="2808" xr:uid="{00000000-0005-0000-0000-00004F0C0000}"/>
    <cellStyle name="Currency 5 2 4 9 2" xfId="7031" xr:uid="{00000000-0005-0000-0000-0000500C0000}"/>
    <cellStyle name="Currency 5 2 4 9 2 2" xfId="15481" xr:uid="{DEE9E5B9-4A83-4908-AC02-832A7F5B9818}"/>
    <cellStyle name="Currency 5 2 4 9 3" xfId="11263" xr:uid="{2927D3AE-9415-4327-BF92-D5D4898E7475}"/>
    <cellStyle name="Currency 5 2 5" xfId="207" xr:uid="{00000000-0005-0000-0000-0000510C0000}"/>
    <cellStyle name="Currency 5 2 5 10" xfId="8882" xr:uid="{986BCF4F-5145-432F-970B-10E0AD7650B9}"/>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5659" xr:uid="{A437A512-B3A3-4BFC-85F4-8329CE7D3111}"/>
    <cellStyle name="Currency 5 2 5 2 2 3" xfId="11441" xr:uid="{CDE29732-1D9A-4EF6-A412-BD181F8FA4F0}"/>
    <cellStyle name="Currency 5 2 5 2 3" xfId="5064" xr:uid="{00000000-0005-0000-0000-0000550C0000}"/>
    <cellStyle name="Currency 5 2 5 2 3 2" xfId="13514" xr:uid="{03A1097B-62B1-4DD6-BFAB-3B0E5A957FE6}"/>
    <cellStyle name="Currency 5 2 5 2 4" xfId="9296" xr:uid="{643E8464-6E25-4A54-9EC1-95F0608E0DF8}"/>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072" xr:uid="{97ACF917-EB8D-4373-9270-63BA2AEA462D}"/>
    <cellStyle name="Currency 5 2 5 3 2 3" xfId="11854" xr:uid="{70AF61CC-A6D6-4BCF-B19E-5DCCDCB870D2}"/>
    <cellStyle name="Currency 5 2 5 3 3" xfId="5477" xr:uid="{00000000-0005-0000-0000-0000590C0000}"/>
    <cellStyle name="Currency 5 2 5 3 3 2" xfId="13927" xr:uid="{6775317B-80D0-4EBD-9ECC-650822AA7C53}"/>
    <cellStyle name="Currency 5 2 5 3 4" xfId="9709" xr:uid="{94C1DDEA-92F7-4667-9F81-27F1E90D4B32}"/>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6485" xr:uid="{F93A6814-278C-47AC-A133-28C7D3A1971A}"/>
    <cellStyle name="Currency 5 2 5 4 2 3" xfId="12267" xr:uid="{84647A34-9E74-42D3-9A3F-3910B0EE7E30}"/>
    <cellStyle name="Currency 5 2 5 4 3" xfId="5890" xr:uid="{00000000-0005-0000-0000-00005D0C0000}"/>
    <cellStyle name="Currency 5 2 5 4 3 2" xfId="14340" xr:uid="{B2B2D2F5-465C-44EE-AB0C-A0FB176FB8D6}"/>
    <cellStyle name="Currency 5 2 5 4 4" xfId="10122" xr:uid="{3AF87A9D-BD0A-4C14-AEA9-97D1D0B4FD8C}"/>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6898" xr:uid="{841539E0-2BBA-4639-9967-4FDD3FAC3915}"/>
    <cellStyle name="Currency 5 2 5 5 2 3" xfId="12680" xr:uid="{CB62A9E9-B4B6-47AD-8958-22FAFC2D2CAD}"/>
    <cellStyle name="Currency 5 2 5 5 3" xfId="6303" xr:uid="{00000000-0005-0000-0000-0000610C0000}"/>
    <cellStyle name="Currency 5 2 5 5 3 2" xfId="14753" xr:uid="{DF5C4F8D-21C9-4436-B8E5-11A904937921}"/>
    <cellStyle name="Currency 5 2 5 5 4" xfId="10535" xr:uid="{8D6881CF-DAC1-40AC-B2C5-0C9EA31325FE}"/>
    <cellStyle name="Currency 5 2 5 6" xfId="2432" xr:uid="{00000000-0005-0000-0000-0000620C0000}"/>
    <cellStyle name="Currency 5 2 5 6 2" xfId="6716" xr:uid="{00000000-0005-0000-0000-0000630C0000}"/>
    <cellStyle name="Currency 5 2 5 6 2 2" xfId="15166" xr:uid="{92638C91-CABB-4FEC-AB2A-46CF951C12C8}"/>
    <cellStyle name="Currency 5 2 5 6 3" xfId="10948" xr:uid="{3C23C75B-FA66-4460-B8E5-6093ACBE55E9}"/>
    <cellStyle name="Currency 5 2 5 7" xfId="2729" xr:uid="{00000000-0005-0000-0000-0000640C0000}"/>
    <cellStyle name="Currency 5 2 5 8" xfId="2810" xr:uid="{00000000-0005-0000-0000-0000650C0000}"/>
    <cellStyle name="Currency 5 2 5 8 2" xfId="7033" xr:uid="{00000000-0005-0000-0000-0000660C0000}"/>
    <cellStyle name="Currency 5 2 5 8 2 2" xfId="15483" xr:uid="{7EE1A9F6-6161-4CD4-A8E8-6B28D908C87E}"/>
    <cellStyle name="Currency 5 2 5 8 3" xfId="11265" xr:uid="{7FB2DB61-84DB-4961-89C0-17D590CA60D7}"/>
    <cellStyle name="Currency 5 2 5 9" xfId="4650" xr:uid="{00000000-0005-0000-0000-0000670C0000}"/>
    <cellStyle name="Currency 5 2 5 9 2" xfId="13100" xr:uid="{FC6F897A-3FA8-4C0B-AC66-D85C30865CA8}"/>
    <cellStyle name="Currency 5 2 6" xfId="208" xr:uid="{00000000-0005-0000-0000-0000680C0000}"/>
    <cellStyle name="Currency 5 2 6 10" xfId="8883" xr:uid="{E24CBE9B-8F8B-42A8-A05D-C5419102061B}"/>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5660" xr:uid="{B87EA038-48F0-4B68-BB5D-AECF54F3550A}"/>
    <cellStyle name="Currency 5 2 6 2 2 3" xfId="11442" xr:uid="{102F82C2-5BBA-42EF-921E-134870C28271}"/>
    <cellStyle name="Currency 5 2 6 2 3" xfId="5065" xr:uid="{00000000-0005-0000-0000-00006C0C0000}"/>
    <cellStyle name="Currency 5 2 6 2 3 2" xfId="13515" xr:uid="{9D1C0165-5B49-46A8-B99E-DE0E7319D500}"/>
    <cellStyle name="Currency 5 2 6 2 4" xfId="9297" xr:uid="{F3EF0F68-3ADC-4B8B-A960-06DFCADCBBD2}"/>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073" xr:uid="{A2541EC4-AD00-41B3-8D05-C0CDA95DAF19}"/>
    <cellStyle name="Currency 5 2 6 3 2 3" xfId="11855" xr:uid="{4F6D8923-EE37-4E54-B5A7-0FB583D40266}"/>
    <cellStyle name="Currency 5 2 6 3 3" xfId="5478" xr:uid="{00000000-0005-0000-0000-0000700C0000}"/>
    <cellStyle name="Currency 5 2 6 3 3 2" xfId="13928" xr:uid="{904E5F1D-23EC-419C-997B-3D4F1DDDF737}"/>
    <cellStyle name="Currency 5 2 6 3 4" xfId="9710" xr:uid="{AEBD715D-1D9C-4BAA-9E95-A0A29A72CCA6}"/>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6486" xr:uid="{AE6F8D75-1CC0-49FB-840F-7663BDD71845}"/>
    <cellStyle name="Currency 5 2 6 4 2 3" xfId="12268" xr:uid="{4FB276F3-CF21-4037-9583-8B9A15055BB3}"/>
    <cellStyle name="Currency 5 2 6 4 3" xfId="5891" xr:uid="{00000000-0005-0000-0000-0000740C0000}"/>
    <cellStyle name="Currency 5 2 6 4 3 2" xfId="14341" xr:uid="{DB349485-C8D8-4C32-B3C2-7F0A07C693EB}"/>
    <cellStyle name="Currency 5 2 6 4 4" xfId="10123" xr:uid="{DECD7C34-8996-45F8-BE26-BE7B294823BD}"/>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6899" xr:uid="{C9BA147A-0CED-4221-BC6D-9E2E8CC5C9A4}"/>
    <cellStyle name="Currency 5 2 6 5 2 3" xfId="12681" xr:uid="{1D5FFCCE-2BF5-4D22-9946-547318A0ADFE}"/>
    <cellStyle name="Currency 5 2 6 5 3" xfId="6304" xr:uid="{00000000-0005-0000-0000-0000780C0000}"/>
    <cellStyle name="Currency 5 2 6 5 3 2" xfId="14754" xr:uid="{D19402C8-C28C-428B-A4AE-8A2BC55A9D32}"/>
    <cellStyle name="Currency 5 2 6 5 4" xfId="10536" xr:uid="{659C10B9-5183-46CE-908C-1D0011E6F562}"/>
    <cellStyle name="Currency 5 2 6 6" xfId="2433" xr:uid="{00000000-0005-0000-0000-0000790C0000}"/>
    <cellStyle name="Currency 5 2 6 6 2" xfId="6717" xr:uid="{00000000-0005-0000-0000-00007A0C0000}"/>
    <cellStyle name="Currency 5 2 6 6 2 2" xfId="15167" xr:uid="{2392EB83-DD8E-41BB-96CC-1A32D379B2AD}"/>
    <cellStyle name="Currency 5 2 6 6 3" xfId="10949" xr:uid="{C6EB473A-F50A-4D2E-B373-7240E46B064E}"/>
    <cellStyle name="Currency 5 2 6 7" xfId="2730" xr:uid="{00000000-0005-0000-0000-00007B0C0000}"/>
    <cellStyle name="Currency 5 2 6 8" xfId="2811" xr:uid="{00000000-0005-0000-0000-00007C0C0000}"/>
    <cellStyle name="Currency 5 2 6 8 2" xfId="7034" xr:uid="{00000000-0005-0000-0000-00007D0C0000}"/>
    <cellStyle name="Currency 5 2 6 8 2 2" xfId="15484" xr:uid="{E575B3E4-0F77-4D12-ACD6-A559E6A7A8B9}"/>
    <cellStyle name="Currency 5 2 6 8 3" xfId="11266" xr:uid="{101DFEFC-4EAB-407A-BD20-5E9A576F7884}"/>
    <cellStyle name="Currency 5 2 6 9" xfId="4651" xr:uid="{00000000-0005-0000-0000-00007E0C0000}"/>
    <cellStyle name="Currency 5 2 6 9 2" xfId="13101" xr:uid="{557019ED-F474-447B-BDA9-D32DBA266811}"/>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5485" xr:uid="{8CDA5B63-551F-4C90-BB3B-BF83D9A05D7F}"/>
    <cellStyle name="Currency 5 3 2 10 3" xfId="11267" xr:uid="{6AF97E85-6397-4117-BD67-0F523AF85983}"/>
    <cellStyle name="Currency 5 3 2 11" xfId="4652" xr:uid="{00000000-0005-0000-0000-0000840C0000}"/>
    <cellStyle name="Currency 5 3 2 11 2" xfId="13102" xr:uid="{01DA64C6-92C4-48BE-9FA5-48925DF3E82C}"/>
    <cellStyle name="Currency 5 3 2 12" xfId="8884" xr:uid="{5B2E5414-3D26-4E3E-9D05-B3DEDEF350A1}"/>
    <cellStyle name="Currency 5 3 2 2" xfId="211" xr:uid="{00000000-0005-0000-0000-0000850C0000}"/>
    <cellStyle name="Currency 5 3 2 2 10" xfId="4653" xr:uid="{00000000-0005-0000-0000-0000860C0000}"/>
    <cellStyle name="Currency 5 3 2 2 10 2" xfId="13103" xr:uid="{BB86EBE0-4788-4FBC-ADED-4A56F52AC207}"/>
    <cellStyle name="Currency 5 3 2 2 11" xfId="8885" xr:uid="{C8FB3315-B3B2-4170-97C9-DB74692E7CE9}"/>
    <cellStyle name="Currency 5 3 2 2 2" xfId="212" xr:uid="{00000000-0005-0000-0000-0000870C0000}"/>
    <cellStyle name="Currency 5 3 2 2 2 10" xfId="8886" xr:uid="{C5599CA2-EFB2-47DA-8111-C13BC4B7E7A8}"/>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5663" xr:uid="{0D94E40F-92B4-4055-A100-8448DAD1098D}"/>
    <cellStyle name="Currency 5 3 2 2 2 2 2 3" xfId="11445" xr:uid="{2BAEBF63-86BB-4982-AF46-41A317635D7A}"/>
    <cellStyle name="Currency 5 3 2 2 2 2 3" xfId="5068" xr:uid="{00000000-0005-0000-0000-00008B0C0000}"/>
    <cellStyle name="Currency 5 3 2 2 2 2 3 2" xfId="13518" xr:uid="{C48AD0F2-BDDD-44AA-A19E-B2D9F12BE9BD}"/>
    <cellStyle name="Currency 5 3 2 2 2 2 4" xfId="9300" xr:uid="{610E3C92-E20A-4868-99CF-24A56F65AC6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076" xr:uid="{EA4882A5-2406-44DC-88D2-2BA82DAE4226}"/>
    <cellStyle name="Currency 5 3 2 2 2 3 2 3" xfId="11858" xr:uid="{45131163-F245-4ED2-91BB-D12CF115B8BF}"/>
    <cellStyle name="Currency 5 3 2 2 2 3 3" xfId="5481" xr:uid="{00000000-0005-0000-0000-00008F0C0000}"/>
    <cellStyle name="Currency 5 3 2 2 2 3 3 2" xfId="13931" xr:uid="{A0BBE3E2-3692-4F62-9938-4EAA16032E40}"/>
    <cellStyle name="Currency 5 3 2 2 2 3 4" xfId="9713" xr:uid="{78FEC85A-AFB9-494F-8515-13E3B94BF81E}"/>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6489" xr:uid="{523CCE88-AF3B-4C95-BEB1-9E769257F762}"/>
    <cellStyle name="Currency 5 3 2 2 2 4 2 3" xfId="12271" xr:uid="{20A72899-B55B-47D4-BEDC-3E738810CBAD}"/>
    <cellStyle name="Currency 5 3 2 2 2 4 3" xfId="5894" xr:uid="{00000000-0005-0000-0000-0000930C0000}"/>
    <cellStyle name="Currency 5 3 2 2 2 4 3 2" xfId="14344" xr:uid="{1AE0D1C8-55E0-4151-92A1-3149A0604215}"/>
    <cellStyle name="Currency 5 3 2 2 2 4 4" xfId="10126" xr:uid="{F4BD54D7-EE2C-4356-9926-0F7DA00A97B8}"/>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6902" xr:uid="{0662C3BC-02CB-4868-9FC3-A5F9DC91A75A}"/>
    <cellStyle name="Currency 5 3 2 2 2 5 2 3" xfId="12684" xr:uid="{17B7AA46-FC6C-403A-A7CE-D0888E3A990F}"/>
    <cellStyle name="Currency 5 3 2 2 2 5 3" xfId="6307" xr:uid="{00000000-0005-0000-0000-0000970C0000}"/>
    <cellStyle name="Currency 5 3 2 2 2 5 3 2" xfId="14757" xr:uid="{44F2A10A-71DB-4F7E-A9F8-AFF4333D8888}"/>
    <cellStyle name="Currency 5 3 2 2 2 5 4" xfId="10539" xr:uid="{A5D0D5C9-1B61-494D-AF02-EEF38B31837C}"/>
    <cellStyle name="Currency 5 3 2 2 2 6" xfId="2436" xr:uid="{00000000-0005-0000-0000-0000980C0000}"/>
    <cellStyle name="Currency 5 3 2 2 2 6 2" xfId="6720" xr:uid="{00000000-0005-0000-0000-0000990C0000}"/>
    <cellStyle name="Currency 5 3 2 2 2 6 2 2" xfId="15170" xr:uid="{9E6C43D7-EBBC-40D7-A92C-843DCEA03BE7}"/>
    <cellStyle name="Currency 5 3 2 2 2 6 3" xfId="10952" xr:uid="{C3653132-7565-4EA3-ACA0-61D218CF87CD}"/>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5487" xr:uid="{1B554B62-00FE-47CC-BE11-A902905AE6A9}"/>
    <cellStyle name="Currency 5 3 2 2 2 8 3" xfId="11269" xr:uid="{4F1A25CB-9E46-4B44-8F34-2BDF84D5851D}"/>
    <cellStyle name="Currency 5 3 2 2 2 9" xfId="4654" xr:uid="{00000000-0005-0000-0000-00009D0C0000}"/>
    <cellStyle name="Currency 5 3 2 2 2 9 2" xfId="13104" xr:uid="{A553F8CC-D7F7-4746-9CF7-C90C5F6805BD}"/>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5662" xr:uid="{A2E42661-57E4-4FDA-A9D0-0EAFA487170B}"/>
    <cellStyle name="Currency 5 3 2 2 3 2 3" xfId="11444" xr:uid="{FBCE1B99-1864-45B3-8587-9DB94B3490F3}"/>
    <cellStyle name="Currency 5 3 2 2 3 3" xfId="5067" xr:uid="{00000000-0005-0000-0000-0000A10C0000}"/>
    <cellStyle name="Currency 5 3 2 2 3 3 2" xfId="13517" xr:uid="{6E08FAC9-802C-4D37-A677-5076DDC05CD7}"/>
    <cellStyle name="Currency 5 3 2 2 3 4" xfId="9299" xr:uid="{2F61F488-6BE7-460D-94F0-338FE2F09F9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075" xr:uid="{8ECE12FC-221F-49D5-A731-FCE9B0B648EA}"/>
    <cellStyle name="Currency 5 3 2 2 4 2 3" xfId="11857" xr:uid="{E749DF0F-3C36-4C5D-A9FC-38CFBFF5C91D}"/>
    <cellStyle name="Currency 5 3 2 2 4 3" xfId="5480" xr:uid="{00000000-0005-0000-0000-0000A50C0000}"/>
    <cellStyle name="Currency 5 3 2 2 4 3 2" xfId="13930" xr:uid="{3B8D9AA8-13F2-4CB7-AA36-416EF053A729}"/>
    <cellStyle name="Currency 5 3 2 2 4 4" xfId="9712" xr:uid="{AB8097B1-5E50-4154-8E47-E799AF19EDB8}"/>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6488" xr:uid="{3B58BD95-FAC7-4287-B778-4E9D086678CB}"/>
    <cellStyle name="Currency 5 3 2 2 5 2 3" xfId="12270" xr:uid="{E370AA97-BDCC-458A-911C-649B97781C7D}"/>
    <cellStyle name="Currency 5 3 2 2 5 3" xfId="5893" xr:uid="{00000000-0005-0000-0000-0000A90C0000}"/>
    <cellStyle name="Currency 5 3 2 2 5 3 2" xfId="14343" xr:uid="{D0547B4B-84CD-46B3-8352-E7B880909679}"/>
    <cellStyle name="Currency 5 3 2 2 5 4" xfId="10125" xr:uid="{27A61878-3736-4D88-9FB8-0F32D295B375}"/>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6901" xr:uid="{17AD2D63-B705-413E-A21A-EC1AF4988724}"/>
    <cellStyle name="Currency 5 3 2 2 6 2 3" xfId="12683" xr:uid="{A9E149F9-FEF1-4735-B578-48A0FE9A4299}"/>
    <cellStyle name="Currency 5 3 2 2 6 3" xfId="6306" xr:uid="{00000000-0005-0000-0000-0000AD0C0000}"/>
    <cellStyle name="Currency 5 3 2 2 6 3 2" xfId="14756" xr:uid="{C41B5A08-AD2F-4A9E-AC57-18B47D82A046}"/>
    <cellStyle name="Currency 5 3 2 2 6 4" xfId="10538" xr:uid="{3825D9D1-A105-4C17-873E-634D8EA24F31}"/>
    <cellStyle name="Currency 5 3 2 2 7" xfId="2435" xr:uid="{00000000-0005-0000-0000-0000AE0C0000}"/>
    <cellStyle name="Currency 5 3 2 2 7 2" xfId="6719" xr:uid="{00000000-0005-0000-0000-0000AF0C0000}"/>
    <cellStyle name="Currency 5 3 2 2 7 2 2" xfId="15169" xr:uid="{AFAD2054-5582-4A8C-AA55-F390F1568C07}"/>
    <cellStyle name="Currency 5 3 2 2 7 3" xfId="10951" xr:uid="{02B49283-D021-48C6-8E05-B67B830E3149}"/>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5486" xr:uid="{5F0B8889-ACD5-4B6C-B135-2C37748DDD59}"/>
    <cellStyle name="Currency 5 3 2 2 9 3" xfId="11268" xr:uid="{55239CE7-CABD-4433-95A8-0565A5F1E165}"/>
    <cellStyle name="Currency 5 3 2 3" xfId="213" xr:uid="{00000000-0005-0000-0000-0000B30C0000}"/>
    <cellStyle name="Currency 5 3 2 3 10" xfId="8887" xr:uid="{31E290C7-0695-4C64-955F-B5F7857D38F2}"/>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5664" xr:uid="{62049947-835C-4ED0-8373-B531E596A06E}"/>
    <cellStyle name="Currency 5 3 2 3 2 2 3" xfId="11446" xr:uid="{2944FE63-FBEA-4A7C-8774-765D740B9755}"/>
    <cellStyle name="Currency 5 3 2 3 2 3" xfId="5069" xr:uid="{00000000-0005-0000-0000-0000B70C0000}"/>
    <cellStyle name="Currency 5 3 2 3 2 3 2" xfId="13519" xr:uid="{C60E4320-E823-4C10-A401-D93B77042F3C}"/>
    <cellStyle name="Currency 5 3 2 3 2 4" xfId="9301" xr:uid="{57ABB812-B5AD-4CB3-ACE5-1295C87E3555}"/>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077" xr:uid="{8698AA76-7AE2-49B1-962B-101C219CB6C9}"/>
    <cellStyle name="Currency 5 3 2 3 3 2 3" xfId="11859" xr:uid="{800F9FC0-98F5-4582-BC3F-E96EA0467384}"/>
    <cellStyle name="Currency 5 3 2 3 3 3" xfId="5482" xr:uid="{00000000-0005-0000-0000-0000BB0C0000}"/>
    <cellStyle name="Currency 5 3 2 3 3 3 2" xfId="13932" xr:uid="{54D63005-2A20-42A3-9C62-D2F0D9C1F99D}"/>
    <cellStyle name="Currency 5 3 2 3 3 4" xfId="9714" xr:uid="{94582AD7-A4CE-4BD9-A6E9-3FDF4D05E31C}"/>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6490" xr:uid="{3BF78ED1-7D48-44CC-B47E-4C191608D6D7}"/>
    <cellStyle name="Currency 5 3 2 3 4 2 3" xfId="12272" xr:uid="{C4F5E7EF-6FEA-4C5E-9E43-0DAC27184E31}"/>
    <cellStyle name="Currency 5 3 2 3 4 3" xfId="5895" xr:uid="{00000000-0005-0000-0000-0000BF0C0000}"/>
    <cellStyle name="Currency 5 3 2 3 4 3 2" xfId="14345" xr:uid="{0B5BC793-D554-40D3-A693-58E80AF97AFC}"/>
    <cellStyle name="Currency 5 3 2 3 4 4" xfId="10127" xr:uid="{23D8111D-1B94-48A5-99D4-B2094EAF488C}"/>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6903" xr:uid="{73212A40-37FA-4B2A-8608-EA782D842D86}"/>
    <cellStyle name="Currency 5 3 2 3 5 2 3" xfId="12685" xr:uid="{BF600E5F-DC36-45C8-BAB7-01C6DA9AF36E}"/>
    <cellStyle name="Currency 5 3 2 3 5 3" xfId="6308" xr:uid="{00000000-0005-0000-0000-0000C30C0000}"/>
    <cellStyle name="Currency 5 3 2 3 5 3 2" xfId="14758" xr:uid="{5D3A08E0-8B0B-4AF6-85F8-C32E236EE578}"/>
    <cellStyle name="Currency 5 3 2 3 5 4" xfId="10540" xr:uid="{CD7492AE-D4B3-43DA-A826-B648EAB7045B}"/>
    <cellStyle name="Currency 5 3 2 3 6" xfId="2437" xr:uid="{00000000-0005-0000-0000-0000C40C0000}"/>
    <cellStyle name="Currency 5 3 2 3 6 2" xfId="6721" xr:uid="{00000000-0005-0000-0000-0000C50C0000}"/>
    <cellStyle name="Currency 5 3 2 3 6 2 2" xfId="15171" xr:uid="{58559A66-A4B3-4962-A1B4-B04096C7CE32}"/>
    <cellStyle name="Currency 5 3 2 3 6 3" xfId="10953" xr:uid="{55B76D88-B7A1-4917-97DE-C8E2196757E6}"/>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5488" xr:uid="{9D20A730-2634-4629-A411-D488313F2DB2}"/>
    <cellStyle name="Currency 5 3 2 3 8 3" xfId="11270" xr:uid="{A97DC866-0CB0-4036-9D24-707032F20511}"/>
    <cellStyle name="Currency 5 3 2 3 9" xfId="4655" xr:uid="{00000000-0005-0000-0000-0000C90C0000}"/>
    <cellStyle name="Currency 5 3 2 3 9 2" xfId="13105" xr:uid="{A0B4C9BA-BBF5-4213-80D0-C9FD0A5A6529}"/>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5661" xr:uid="{D561CF75-E6BC-490A-8042-0AA48C57BDD3}"/>
    <cellStyle name="Currency 5 3 2 4 2 3" xfId="11443" xr:uid="{7ADEA712-A138-4D90-9CE7-07BF397809C0}"/>
    <cellStyle name="Currency 5 3 2 4 3" xfId="5066" xr:uid="{00000000-0005-0000-0000-0000CD0C0000}"/>
    <cellStyle name="Currency 5 3 2 4 3 2" xfId="13516" xr:uid="{232BD6BE-8C4A-4341-8DCC-EB210CA86542}"/>
    <cellStyle name="Currency 5 3 2 4 4" xfId="9298" xr:uid="{0DE73AD2-FC3E-429B-9C76-ADA59F460D70}"/>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074" xr:uid="{74C45174-6C90-4A84-A256-FA887E18B427}"/>
    <cellStyle name="Currency 5 3 2 5 2 3" xfId="11856" xr:uid="{FAD5225F-27A8-4087-86F8-1212A626C0F4}"/>
    <cellStyle name="Currency 5 3 2 5 3" xfId="5479" xr:uid="{00000000-0005-0000-0000-0000D10C0000}"/>
    <cellStyle name="Currency 5 3 2 5 3 2" xfId="13929" xr:uid="{097A25D4-67CE-4BEE-9A95-FDD2F3D9D4B8}"/>
    <cellStyle name="Currency 5 3 2 5 4" xfId="9711" xr:uid="{7F51FC12-E515-44EB-9DFC-EB187B053527}"/>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6487" xr:uid="{E009E5C6-AC5F-4CF7-B42A-0A666D832BED}"/>
    <cellStyle name="Currency 5 3 2 6 2 3" xfId="12269" xr:uid="{E4328D5B-4F65-488E-A48B-93F6E93D9167}"/>
    <cellStyle name="Currency 5 3 2 6 3" xfId="5892" xr:uid="{00000000-0005-0000-0000-0000D50C0000}"/>
    <cellStyle name="Currency 5 3 2 6 3 2" xfId="14342" xr:uid="{0C799FFC-721D-4A5B-9843-DAA3CC233885}"/>
    <cellStyle name="Currency 5 3 2 6 4" xfId="10124" xr:uid="{FE616128-394E-46C4-BAEA-12111A6CB02D}"/>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6900" xr:uid="{39C6B194-4EBF-4712-ABEB-382980B5FF3D}"/>
    <cellStyle name="Currency 5 3 2 7 2 3" xfId="12682" xr:uid="{42D57CDD-1C2B-4F56-A4B9-9186FD5459C1}"/>
    <cellStyle name="Currency 5 3 2 7 3" xfId="6305" xr:uid="{00000000-0005-0000-0000-0000D90C0000}"/>
    <cellStyle name="Currency 5 3 2 7 3 2" xfId="14755" xr:uid="{DADEC3D2-8A43-4C89-A6A4-97B022E9ED56}"/>
    <cellStyle name="Currency 5 3 2 7 4" xfId="10537" xr:uid="{418DB819-6D33-43BF-955D-BA19686DA481}"/>
    <cellStyle name="Currency 5 3 2 8" xfId="2434" xr:uid="{00000000-0005-0000-0000-0000DA0C0000}"/>
    <cellStyle name="Currency 5 3 2 8 2" xfId="6718" xr:uid="{00000000-0005-0000-0000-0000DB0C0000}"/>
    <cellStyle name="Currency 5 3 2 8 2 2" xfId="15168" xr:uid="{76E14A1F-C4AD-4E05-92FF-609A7A7F695A}"/>
    <cellStyle name="Currency 5 3 2 8 3" xfId="10950" xr:uid="{A55887C7-3ECB-49CF-A24D-10552B3BED88}"/>
    <cellStyle name="Currency 5 3 2 9" xfId="2731" xr:uid="{00000000-0005-0000-0000-0000DC0C0000}"/>
    <cellStyle name="Currency 5 3 3" xfId="214" xr:uid="{00000000-0005-0000-0000-0000DD0C0000}"/>
    <cellStyle name="Currency 5 3 3 10" xfId="4656" xr:uid="{00000000-0005-0000-0000-0000DE0C0000}"/>
    <cellStyle name="Currency 5 3 3 10 2" xfId="13106" xr:uid="{EDB9A221-96F4-4CA0-9C19-547069EAEBB5}"/>
    <cellStyle name="Currency 5 3 3 11" xfId="8888" xr:uid="{352D9705-8730-4C13-92BE-A9DF7A6412CB}"/>
    <cellStyle name="Currency 5 3 3 2" xfId="215" xr:uid="{00000000-0005-0000-0000-0000DF0C0000}"/>
    <cellStyle name="Currency 5 3 3 2 10" xfId="8889" xr:uid="{F6A391F5-23A8-4082-AC6B-59E1924B4ED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5666" xr:uid="{05903425-464E-4AC2-A2E1-7DC6F7218DA6}"/>
    <cellStyle name="Currency 5 3 3 2 2 2 3" xfId="11448" xr:uid="{055C0938-7D1E-4E83-A4B7-693088E37C6F}"/>
    <cellStyle name="Currency 5 3 3 2 2 3" xfId="5071" xr:uid="{00000000-0005-0000-0000-0000E30C0000}"/>
    <cellStyle name="Currency 5 3 3 2 2 3 2" xfId="13521" xr:uid="{8657443E-A431-4F49-816A-3DC3FF75C24C}"/>
    <cellStyle name="Currency 5 3 3 2 2 4" xfId="9303" xr:uid="{6FB6F656-B6D8-4C46-80AF-A1336793437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079" xr:uid="{05D44AE5-0BA4-492B-B9D2-642EEA22CB89}"/>
    <cellStyle name="Currency 5 3 3 2 3 2 3" xfId="11861" xr:uid="{2BAC2BBA-B04E-4A49-B6C4-BBD68DD5B500}"/>
    <cellStyle name="Currency 5 3 3 2 3 3" xfId="5484" xr:uid="{00000000-0005-0000-0000-0000E70C0000}"/>
    <cellStyle name="Currency 5 3 3 2 3 3 2" xfId="13934" xr:uid="{9A7ACE2E-62FD-474E-9B74-F246BBAC192D}"/>
    <cellStyle name="Currency 5 3 3 2 3 4" xfId="9716" xr:uid="{01F64FE6-1F2A-4CA8-B19C-6F3E2E1C0136}"/>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6492" xr:uid="{F2AAB674-2D65-4506-9D3F-AB979CE79058}"/>
    <cellStyle name="Currency 5 3 3 2 4 2 3" xfId="12274" xr:uid="{F4B7F559-0100-424C-B320-B1D99F7867CA}"/>
    <cellStyle name="Currency 5 3 3 2 4 3" xfId="5897" xr:uid="{00000000-0005-0000-0000-0000EB0C0000}"/>
    <cellStyle name="Currency 5 3 3 2 4 3 2" xfId="14347" xr:uid="{8594685B-D041-42E9-B55F-B32460A5BD23}"/>
    <cellStyle name="Currency 5 3 3 2 4 4" xfId="10129" xr:uid="{3E61AF90-9377-44F8-B204-09B277D598D2}"/>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6905" xr:uid="{E3DFC04F-CAD3-49B8-AD72-95D77539D550}"/>
    <cellStyle name="Currency 5 3 3 2 5 2 3" xfId="12687" xr:uid="{E55F1973-B9EC-4C9A-8375-689F97F3F2AE}"/>
    <cellStyle name="Currency 5 3 3 2 5 3" xfId="6310" xr:uid="{00000000-0005-0000-0000-0000EF0C0000}"/>
    <cellStyle name="Currency 5 3 3 2 5 3 2" xfId="14760" xr:uid="{8A47644C-A2B2-46C0-BC9F-AE1C98E98EA0}"/>
    <cellStyle name="Currency 5 3 3 2 5 4" xfId="10542" xr:uid="{18314179-3A09-4F28-9F94-B885760AF64D}"/>
    <cellStyle name="Currency 5 3 3 2 6" xfId="2439" xr:uid="{00000000-0005-0000-0000-0000F00C0000}"/>
    <cellStyle name="Currency 5 3 3 2 6 2" xfId="6723" xr:uid="{00000000-0005-0000-0000-0000F10C0000}"/>
    <cellStyle name="Currency 5 3 3 2 6 2 2" xfId="15173" xr:uid="{961E0FF4-6DDA-4073-BBD2-C10096CE9BBD}"/>
    <cellStyle name="Currency 5 3 3 2 6 3" xfId="10955" xr:uid="{28FC19D0-1002-4B54-9BA9-36964C6DF960}"/>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5490" xr:uid="{99911AD3-037A-4D7B-8AD3-78FB7D64DB82}"/>
    <cellStyle name="Currency 5 3 3 2 8 3" xfId="11272" xr:uid="{06BCE4E2-D5E2-44ED-B652-0E7BE66731CB}"/>
    <cellStyle name="Currency 5 3 3 2 9" xfId="4657" xr:uid="{00000000-0005-0000-0000-0000F50C0000}"/>
    <cellStyle name="Currency 5 3 3 2 9 2" xfId="13107" xr:uid="{23CD1171-3175-42BD-8133-A7A54E7BE782}"/>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5665" xr:uid="{A6CE935E-4D36-4BF3-A3F8-028271BB7DB2}"/>
    <cellStyle name="Currency 5 3 3 3 2 3" xfId="11447" xr:uid="{37F8976A-87C0-44C1-BC1A-6043493B2187}"/>
    <cellStyle name="Currency 5 3 3 3 3" xfId="5070" xr:uid="{00000000-0005-0000-0000-0000F90C0000}"/>
    <cellStyle name="Currency 5 3 3 3 3 2" xfId="13520" xr:uid="{89A5D0D0-DD7A-4138-9CEB-D8FF3DB346C3}"/>
    <cellStyle name="Currency 5 3 3 3 4" xfId="9302" xr:uid="{DDCC94ED-75FA-405F-AD6A-84BCEFAF8A9C}"/>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078" xr:uid="{2B8ABF7B-A436-4531-A2A1-EC30747E70F0}"/>
    <cellStyle name="Currency 5 3 3 4 2 3" xfId="11860" xr:uid="{FDB2FB50-4A57-4A54-8117-B5381AB71288}"/>
    <cellStyle name="Currency 5 3 3 4 3" xfId="5483" xr:uid="{00000000-0005-0000-0000-0000FD0C0000}"/>
    <cellStyle name="Currency 5 3 3 4 3 2" xfId="13933" xr:uid="{19BA1F76-DA88-4F9B-906A-5F6082D62CC5}"/>
    <cellStyle name="Currency 5 3 3 4 4" xfId="9715" xr:uid="{0B44A3BC-DDCA-47DF-A065-52EE383A503F}"/>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6491" xr:uid="{B5DF9572-E01F-43E0-96B9-4B943ACDD3CF}"/>
    <cellStyle name="Currency 5 3 3 5 2 3" xfId="12273" xr:uid="{A0BE7107-BC10-4A5B-A769-D9295EDCD512}"/>
    <cellStyle name="Currency 5 3 3 5 3" xfId="5896" xr:uid="{00000000-0005-0000-0000-0000010D0000}"/>
    <cellStyle name="Currency 5 3 3 5 3 2" xfId="14346" xr:uid="{3B17BDB7-5193-41FF-AA00-A3733ED98D96}"/>
    <cellStyle name="Currency 5 3 3 5 4" xfId="10128" xr:uid="{66E4B1BF-EC66-478D-98C5-E3EE10FBAA7A}"/>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6904" xr:uid="{075E6C9B-0F3D-45B1-A204-AEAAC2939AA0}"/>
    <cellStyle name="Currency 5 3 3 6 2 3" xfId="12686" xr:uid="{F8883CD3-5A93-4B77-9730-F9F2EE660221}"/>
    <cellStyle name="Currency 5 3 3 6 3" xfId="6309" xr:uid="{00000000-0005-0000-0000-0000050D0000}"/>
    <cellStyle name="Currency 5 3 3 6 3 2" xfId="14759" xr:uid="{AFE9E9A4-6762-4812-B026-90B7105C24EA}"/>
    <cellStyle name="Currency 5 3 3 6 4" xfId="10541" xr:uid="{B855D0B6-10F1-48A2-A46D-053913938FF5}"/>
    <cellStyle name="Currency 5 3 3 7" xfId="2438" xr:uid="{00000000-0005-0000-0000-0000060D0000}"/>
    <cellStyle name="Currency 5 3 3 7 2" xfId="6722" xr:uid="{00000000-0005-0000-0000-0000070D0000}"/>
    <cellStyle name="Currency 5 3 3 7 2 2" xfId="15172" xr:uid="{58419CCC-C280-4DE1-8363-54D4B579CE1B}"/>
    <cellStyle name="Currency 5 3 3 7 3" xfId="10954" xr:uid="{85788034-AA18-438C-85E3-46251F97BB1F}"/>
    <cellStyle name="Currency 5 3 3 8" xfId="2735" xr:uid="{00000000-0005-0000-0000-0000080D0000}"/>
    <cellStyle name="Currency 5 3 3 9" xfId="2816" xr:uid="{00000000-0005-0000-0000-0000090D0000}"/>
    <cellStyle name="Currency 5 3 3 9 2" xfId="7039" xr:uid="{00000000-0005-0000-0000-00000A0D0000}"/>
    <cellStyle name="Currency 5 3 3 9 2 2" xfId="15489" xr:uid="{1BD2047E-0FD8-4A36-86D0-78A805D6DF29}"/>
    <cellStyle name="Currency 5 3 3 9 3" xfId="11271" xr:uid="{93614B1C-EF37-4CED-902E-BE7C288FF33E}"/>
    <cellStyle name="Currency 5 3 4" xfId="216" xr:uid="{00000000-0005-0000-0000-00000B0D0000}"/>
    <cellStyle name="Currency 5 3 4 10" xfId="8890" xr:uid="{F6FA09A5-F10E-40F2-9727-90740D7AD2A2}"/>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5667" xr:uid="{FB279BE1-D56C-4749-87ED-C07D40013A76}"/>
    <cellStyle name="Currency 5 3 4 2 2 3" xfId="11449" xr:uid="{BEC589AC-1335-4CAA-852B-045164534DEA}"/>
    <cellStyle name="Currency 5 3 4 2 3" xfId="5072" xr:uid="{00000000-0005-0000-0000-00000F0D0000}"/>
    <cellStyle name="Currency 5 3 4 2 3 2" xfId="13522" xr:uid="{828CDE93-3583-44F1-8241-7FAEF6D352DB}"/>
    <cellStyle name="Currency 5 3 4 2 4" xfId="9304" xr:uid="{63316D31-FE20-40FD-A1FD-C45A08C10F6E}"/>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080" xr:uid="{2FB6EE1A-E945-4D94-AD10-E4AB10D2B27B}"/>
    <cellStyle name="Currency 5 3 4 3 2 3" xfId="11862" xr:uid="{D08E9033-3553-444C-A969-A5D2A335EEF5}"/>
    <cellStyle name="Currency 5 3 4 3 3" xfId="5485" xr:uid="{00000000-0005-0000-0000-0000130D0000}"/>
    <cellStyle name="Currency 5 3 4 3 3 2" xfId="13935" xr:uid="{4D7AB00A-3E0D-4B77-9547-187E2A6B1C4A}"/>
    <cellStyle name="Currency 5 3 4 3 4" xfId="9717" xr:uid="{D9A0C29D-A620-48C7-8A64-5145607C9FFC}"/>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6493" xr:uid="{64009F67-149A-4566-99BA-F797CAAB1ECC}"/>
    <cellStyle name="Currency 5 3 4 4 2 3" xfId="12275" xr:uid="{96AF6BB5-DE5B-4BAE-B491-3FAD2DBC6896}"/>
    <cellStyle name="Currency 5 3 4 4 3" xfId="5898" xr:uid="{00000000-0005-0000-0000-0000170D0000}"/>
    <cellStyle name="Currency 5 3 4 4 3 2" xfId="14348" xr:uid="{5043B84B-E307-4C7A-AD27-B1328DB80299}"/>
    <cellStyle name="Currency 5 3 4 4 4" xfId="10130" xr:uid="{FEFE01EF-C2A2-405F-9D62-D06DB2558365}"/>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6906" xr:uid="{20B9E1FB-8E98-47A0-998A-9C9D7AA8EE7A}"/>
    <cellStyle name="Currency 5 3 4 5 2 3" xfId="12688" xr:uid="{C1AB3933-A9B5-4BBE-99A1-9CF8356B2D64}"/>
    <cellStyle name="Currency 5 3 4 5 3" xfId="6311" xr:uid="{00000000-0005-0000-0000-00001B0D0000}"/>
    <cellStyle name="Currency 5 3 4 5 3 2" xfId="14761" xr:uid="{5A2F83B4-545D-4C43-94C6-9D8284F4E3E7}"/>
    <cellStyle name="Currency 5 3 4 5 4" xfId="10543" xr:uid="{19B6AE98-B54E-4915-BC37-91F7CE801471}"/>
    <cellStyle name="Currency 5 3 4 6" xfId="2440" xr:uid="{00000000-0005-0000-0000-00001C0D0000}"/>
    <cellStyle name="Currency 5 3 4 6 2" xfId="6724" xr:uid="{00000000-0005-0000-0000-00001D0D0000}"/>
    <cellStyle name="Currency 5 3 4 6 2 2" xfId="15174" xr:uid="{D657761C-7091-4FBA-B23F-52FACCDBF773}"/>
    <cellStyle name="Currency 5 3 4 6 3" xfId="10956" xr:uid="{E8950D0A-51BE-470A-B248-A2714CC9FFD8}"/>
    <cellStyle name="Currency 5 3 4 7" xfId="2737" xr:uid="{00000000-0005-0000-0000-00001E0D0000}"/>
    <cellStyle name="Currency 5 3 4 8" xfId="2818" xr:uid="{00000000-0005-0000-0000-00001F0D0000}"/>
    <cellStyle name="Currency 5 3 4 8 2" xfId="7041" xr:uid="{00000000-0005-0000-0000-0000200D0000}"/>
    <cellStyle name="Currency 5 3 4 8 2 2" xfId="15491" xr:uid="{E82C7BE7-881F-40FE-90DC-36DFE150D553}"/>
    <cellStyle name="Currency 5 3 4 8 3" xfId="11273" xr:uid="{95416F28-BF8E-431F-B4C0-89EFA4CF447C}"/>
    <cellStyle name="Currency 5 3 4 9" xfId="4658" xr:uid="{00000000-0005-0000-0000-0000210D0000}"/>
    <cellStyle name="Currency 5 3 4 9 2" xfId="13108" xr:uid="{BCA88E70-F873-41A3-8761-EF597A3ADE8A}"/>
    <cellStyle name="Currency 5 3 5" xfId="217" xr:uid="{00000000-0005-0000-0000-0000220D0000}"/>
    <cellStyle name="Currency 5 3 5 10" xfId="8891" xr:uid="{B2E1C639-B0A1-4D48-A038-5DB4F45D430A}"/>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5668" xr:uid="{F551EFE7-27C4-463A-83D9-59ACB12FCADE}"/>
    <cellStyle name="Currency 5 3 5 2 2 3" xfId="11450" xr:uid="{BAD6F93D-63E2-4025-BE9D-06AD38990561}"/>
    <cellStyle name="Currency 5 3 5 2 3" xfId="5073" xr:uid="{00000000-0005-0000-0000-0000260D0000}"/>
    <cellStyle name="Currency 5 3 5 2 3 2" xfId="13523" xr:uid="{4833D0E9-1BBC-4DDE-BC96-B3F2A3AA176B}"/>
    <cellStyle name="Currency 5 3 5 2 4" xfId="9305" xr:uid="{2C4B2E83-C040-46F7-BA17-FE808064257E}"/>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081" xr:uid="{6B8B382C-5C7B-41A4-B3B1-E80B4304F478}"/>
    <cellStyle name="Currency 5 3 5 3 2 3" xfId="11863" xr:uid="{118C8FB6-81CE-4AE2-9537-B19F12F83850}"/>
    <cellStyle name="Currency 5 3 5 3 3" xfId="5486" xr:uid="{00000000-0005-0000-0000-00002A0D0000}"/>
    <cellStyle name="Currency 5 3 5 3 3 2" xfId="13936" xr:uid="{533B3920-797E-4A8A-83D3-99624A0B1E6E}"/>
    <cellStyle name="Currency 5 3 5 3 4" xfId="9718" xr:uid="{AD4914BE-C256-4BED-989D-B68C11C4A262}"/>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6494" xr:uid="{62A87833-3EF1-4D3E-971E-063BE3E74B1E}"/>
    <cellStyle name="Currency 5 3 5 4 2 3" xfId="12276" xr:uid="{284E89B8-000E-4C44-BF15-C60F838423A9}"/>
    <cellStyle name="Currency 5 3 5 4 3" xfId="5899" xr:uid="{00000000-0005-0000-0000-00002E0D0000}"/>
    <cellStyle name="Currency 5 3 5 4 3 2" xfId="14349" xr:uid="{C02F6D24-77CB-44AC-ABB9-B2B1F364A21C}"/>
    <cellStyle name="Currency 5 3 5 4 4" xfId="10131" xr:uid="{F6DD228A-DEBB-4D01-8225-5F01A9A5D16F}"/>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6907" xr:uid="{77197588-08F8-4053-AFDE-02EC5E99729A}"/>
    <cellStyle name="Currency 5 3 5 5 2 3" xfId="12689" xr:uid="{4DDE93ED-1388-4833-8D30-21224AE5B5AD}"/>
    <cellStyle name="Currency 5 3 5 5 3" xfId="6312" xr:uid="{00000000-0005-0000-0000-0000320D0000}"/>
    <cellStyle name="Currency 5 3 5 5 3 2" xfId="14762" xr:uid="{B0213EB2-0BC6-4733-95EF-C1C7689E30A6}"/>
    <cellStyle name="Currency 5 3 5 5 4" xfId="10544" xr:uid="{9C12E36C-64F5-47E8-8A86-C894FE16A7D2}"/>
    <cellStyle name="Currency 5 3 5 6" xfId="2441" xr:uid="{00000000-0005-0000-0000-0000330D0000}"/>
    <cellStyle name="Currency 5 3 5 6 2" xfId="6725" xr:uid="{00000000-0005-0000-0000-0000340D0000}"/>
    <cellStyle name="Currency 5 3 5 6 2 2" xfId="15175" xr:uid="{8668BA4E-8DC4-42DD-AD15-D5FBA9F322B7}"/>
    <cellStyle name="Currency 5 3 5 6 3" xfId="10957" xr:uid="{43363A9D-BD86-49DC-970E-8E2F5E15D16A}"/>
    <cellStyle name="Currency 5 3 5 7" xfId="2738" xr:uid="{00000000-0005-0000-0000-0000350D0000}"/>
    <cellStyle name="Currency 5 3 5 8" xfId="2819" xr:uid="{00000000-0005-0000-0000-0000360D0000}"/>
    <cellStyle name="Currency 5 3 5 8 2" xfId="7042" xr:uid="{00000000-0005-0000-0000-0000370D0000}"/>
    <cellStyle name="Currency 5 3 5 8 2 2" xfId="15492" xr:uid="{AA070E52-4848-42E0-9CCE-156505D028E4}"/>
    <cellStyle name="Currency 5 3 5 8 3" xfId="11274" xr:uid="{F6F64964-58C6-4219-A3C0-A6FAC08AF937}"/>
    <cellStyle name="Currency 5 3 5 9" xfId="4659" xr:uid="{00000000-0005-0000-0000-0000380D0000}"/>
    <cellStyle name="Currency 5 3 5 9 2" xfId="13109" xr:uid="{29A0D1A9-EE28-4128-A519-96C3B4AAA328}"/>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110" xr:uid="{A0C17B04-342C-4CF3-B26C-0724AE9CAFA6}"/>
    <cellStyle name="Currency 5 5 11" xfId="8892" xr:uid="{E5D5C5CD-1402-4B88-B593-142DD9722B88}"/>
    <cellStyle name="Currency 5 5 2" xfId="220" xr:uid="{00000000-0005-0000-0000-00003D0D0000}"/>
    <cellStyle name="Currency 5 5 2 10" xfId="8893" xr:uid="{CF03FA12-D487-4E21-B71C-04D7D9669F30}"/>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5670" xr:uid="{9450ED77-C825-48B2-9184-C905A8CB30E0}"/>
    <cellStyle name="Currency 5 5 2 2 2 3" xfId="11452" xr:uid="{669FE153-B041-454E-A32B-1BED7EB0D11E}"/>
    <cellStyle name="Currency 5 5 2 2 3" xfId="5075" xr:uid="{00000000-0005-0000-0000-0000410D0000}"/>
    <cellStyle name="Currency 5 5 2 2 3 2" xfId="13525" xr:uid="{C063F514-B89A-4440-B4FE-D299242C8DDD}"/>
    <cellStyle name="Currency 5 5 2 2 4" xfId="9307" xr:uid="{6B35B86E-A7E9-4718-BC3A-56F0897FA5C2}"/>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083" xr:uid="{0BF5678A-2F1C-4BB0-88C7-4AE615D6AC5E}"/>
    <cellStyle name="Currency 5 5 2 3 2 3" xfId="11865" xr:uid="{BE7FF3EE-52E7-49E7-8E92-4C3D442FC2CD}"/>
    <cellStyle name="Currency 5 5 2 3 3" xfId="5488" xr:uid="{00000000-0005-0000-0000-0000450D0000}"/>
    <cellStyle name="Currency 5 5 2 3 3 2" xfId="13938" xr:uid="{FC00EDCD-E70F-40A3-9EEE-02BBBC3F14F0}"/>
    <cellStyle name="Currency 5 5 2 3 4" xfId="9720" xr:uid="{AB48D26D-4460-484B-970B-D6F6B6464362}"/>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6496" xr:uid="{9F4454BC-2B73-46EA-B211-DD21BE7BBA6A}"/>
    <cellStyle name="Currency 5 5 2 4 2 3" xfId="12278" xr:uid="{6C8312D9-1897-4394-BB36-A2042F20611C}"/>
    <cellStyle name="Currency 5 5 2 4 3" xfId="5901" xr:uid="{00000000-0005-0000-0000-0000490D0000}"/>
    <cellStyle name="Currency 5 5 2 4 3 2" xfId="14351" xr:uid="{B4CEDCBF-8BB1-4B5E-BA80-4DD2F579A4AE}"/>
    <cellStyle name="Currency 5 5 2 4 4" xfId="10133" xr:uid="{FAAF0DFE-4E7D-4868-989B-13531A270987}"/>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6909" xr:uid="{AFAEA3B3-823F-4915-8CB7-456688608E51}"/>
    <cellStyle name="Currency 5 5 2 5 2 3" xfId="12691" xr:uid="{0EE9E322-F9B2-41C8-8576-500F9A330458}"/>
    <cellStyle name="Currency 5 5 2 5 3" xfId="6314" xr:uid="{00000000-0005-0000-0000-00004D0D0000}"/>
    <cellStyle name="Currency 5 5 2 5 3 2" xfId="14764" xr:uid="{1BDBBDF8-F55C-452F-8D7A-E077B1CA329C}"/>
    <cellStyle name="Currency 5 5 2 5 4" xfId="10546" xr:uid="{CFF7564F-8CCA-499D-8042-6E365FB7AC85}"/>
    <cellStyle name="Currency 5 5 2 6" xfId="2443" xr:uid="{00000000-0005-0000-0000-00004E0D0000}"/>
    <cellStyle name="Currency 5 5 2 6 2" xfId="6727" xr:uid="{00000000-0005-0000-0000-00004F0D0000}"/>
    <cellStyle name="Currency 5 5 2 6 2 2" xfId="15177" xr:uid="{1E7FDAFC-A8F8-46B5-8BDB-2A6992A28213}"/>
    <cellStyle name="Currency 5 5 2 6 3" xfId="10959" xr:uid="{6D812B82-9637-41A7-984F-8A5DE6ED8C5B}"/>
    <cellStyle name="Currency 5 5 2 7" xfId="2740" xr:uid="{00000000-0005-0000-0000-0000500D0000}"/>
    <cellStyle name="Currency 5 5 2 8" xfId="2821" xr:uid="{00000000-0005-0000-0000-0000510D0000}"/>
    <cellStyle name="Currency 5 5 2 8 2" xfId="7044" xr:uid="{00000000-0005-0000-0000-0000520D0000}"/>
    <cellStyle name="Currency 5 5 2 8 2 2" xfId="15494" xr:uid="{F7642F3C-4058-4FAF-91E3-0504DB705B2C}"/>
    <cellStyle name="Currency 5 5 2 8 3" xfId="11276" xr:uid="{95CE84DC-6D3B-4AB0-B379-DCB089DDC938}"/>
    <cellStyle name="Currency 5 5 2 9" xfId="4661" xr:uid="{00000000-0005-0000-0000-0000530D0000}"/>
    <cellStyle name="Currency 5 5 2 9 2" xfId="13111" xr:uid="{A569830B-4F0C-4241-97A0-E9CD612602A8}"/>
    <cellStyle name="Currency 5 5 3" xfId="745" xr:uid="{00000000-0005-0000-0000-0000540D0000}"/>
    <cellStyle name="Currency 5 5 3 2" xfId="2997" xr:uid="{00000000-0005-0000-0000-0000550D0000}"/>
    <cellStyle name="Currency 5 5 3 2 2" xfId="7219" xr:uid="{00000000-0005-0000-0000-0000560D0000}"/>
    <cellStyle name="Currency 5 5 3 2 2 2" xfId="15669" xr:uid="{5C51BED1-3FDD-4B6F-B9E8-2780346113FF}"/>
    <cellStyle name="Currency 5 5 3 2 3" xfId="11451" xr:uid="{A9107E82-D605-49A6-900D-2131F7800970}"/>
    <cellStyle name="Currency 5 5 3 3" xfId="5074" xr:uid="{00000000-0005-0000-0000-0000570D0000}"/>
    <cellStyle name="Currency 5 5 3 3 2" xfId="13524" xr:uid="{23B19932-B8A3-499D-BC3F-B6EF7D537435}"/>
    <cellStyle name="Currency 5 5 3 4" xfId="9306" xr:uid="{D356078E-291C-4F13-9B5F-08261B749937}"/>
    <cellStyle name="Currency 5 5 4" xfId="1179" xr:uid="{00000000-0005-0000-0000-0000580D0000}"/>
    <cellStyle name="Currency 5 5 4 2" xfId="3410" xr:uid="{00000000-0005-0000-0000-0000590D0000}"/>
    <cellStyle name="Currency 5 5 4 2 2" xfId="7632" xr:uid="{00000000-0005-0000-0000-00005A0D0000}"/>
    <cellStyle name="Currency 5 5 4 2 2 2" xfId="16082" xr:uid="{CE06CC5D-A5EB-419C-A27C-2B15689A38FF}"/>
    <cellStyle name="Currency 5 5 4 2 3" xfId="11864" xr:uid="{55BABB9E-E0FD-49F7-8ACA-0C7708A70BF4}"/>
    <cellStyle name="Currency 5 5 4 3" xfId="5487" xr:uid="{00000000-0005-0000-0000-00005B0D0000}"/>
    <cellStyle name="Currency 5 5 4 3 2" xfId="13937" xr:uid="{AF52C977-2994-44B0-ADAB-AEFD2B4A82FD}"/>
    <cellStyle name="Currency 5 5 4 4" xfId="9719" xr:uid="{EB86BFB1-6154-4895-B632-3F213734D459}"/>
    <cellStyle name="Currency 5 5 5" xfId="1593" xr:uid="{00000000-0005-0000-0000-00005C0D0000}"/>
    <cellStyle name="Currency 5 5 5 2" xfId="3823" xr:uid="{00000000-0005-0000-0000-00005D0D0000}"/>
    <cellStyle name="Currency 5 5 5 2 2" xfId="8045" xr:uid="{00000000-0005-0000-0000-00005E0D0000}"/>
    <cellStyle name="Currency 5 5 5 2 2 2" xfId="16495" xr:uid="{27BB67BF-92D7-4455-B6DC-DD5781C89F98}"/>
    <cellStyle name="Currency 5 5 5 2 3" xfId="12277" xr:uid="{9291DF96-8129-464C-8DAE-98B6228D74AB}"/>
    <cellStyle name="Currency 5 5 5 3" xfId="5900" xr:uid="{00000000-0005-0000-0000-00005F0D0000}"/>
    <cellStyle name="Currency 5 5 5 3 2" xfId="14350" xr:uid="{384E09A0-3E1F-4EBB-BD7D-3622E87B7211}"/>
    <cellStyle name="Currency 5 5 5 4" xfId="10132" xr:uid="{3B4231FB-C6CD-4C66-B851-E38042EE0407}"/>
    <cellStyle name="Currency 5 5 6" xfId="2007" xr:uid="{00000000-0005-0000-0000-0000600D0000}"/>
    <cellStyle name="Currency 5 5 6 2" xfId="4236" xr:uid="{00000000-0005-0000-0000-0000610D0000}"/>
    <cellStyle name="Currency 5 5 6 2 2" xfId="8458" xr:uid="{00000000-0005-0000-0000-0000620D0000}"/>
    <cellStyle name="Currency 5 5 6 2 2 2" xfId="16908" xr:uid="{92090F10-ED59-40BE-ACDA-BD1F42D3535A}"/>
    <cellStyle name="Currency 5 5 6 2 3" xfId="12690" xr:uid="{A12A1344-FBAE-4843-B5AB-8D06EA0BDDC0}"/>
    <cellStyle name="Currency 5 5 6 3" xfId="6313" xr:uid="{00000000-0005-0000-0000-0000630D0000}"/>
    <cellStyle name="Currency 5 5 6 3 2" xfId="14763" xr:uid="{F945690B-042E-4D6E-B301-68D0524D6C58}"/>
    <cellStyle name="Currency 5 5 6 4" xfId="10545" xr:uid="{06D0E5AF-DDCA-496B-BC2F-732BF1B8B476}"/>
    <cellStyle name="Currency 5 5 7" xfId="2442" xr:uid="{00000000-0005-0000-0000-0000640D0000}"/>
    <cellStyle name="Currency 5 5 7 2" xfId="6726" xr:uid="{00000000-0005-0000-0000-0000650D0000}"/>
    <cellStyle name="Currency 5 5 7 2 2" xfId="15176" xr:uid="{6DFFCFC9-F2CB-4456-85CC-C58D6112A7E8}"/>
    <cellStyle name="Currency 5 5 7 3" xfId="10958" xr:uid="{E04E45D4-8717-428E-8061-64C8A8005B89}"/>
    <cellStyle name="Currency 5 5 8" xfId="2739" xr:uid="{00000000-0005-0000-0000-0000660D0000}"/>
    <cellStyle name="Currency 5 5 9" xfId="2820" xr:uid="{00000000-0005-0000-0000-0000670D0000}"/>
    <cellStyle name="Currency 5 5 9 2" xfId="7043" xr:uid="{00000000-0005-0000-0000-0000680D0000}"/>
    <cellStyle name="Currency 5 5 9 2 2" xfId="15493" xr:uid="{F8B664BB-5636-464C-BAE9-1A67E799B7A9}"/>
    <cellStyle name="Currency 5 5 9 3" xfId="11275" xr:uid="{D7C0B40A-00A3-48DB-B91F-22507DBD3B2F}"/>
    <cellStyle name="Currency 5 6" xfId="221" xr:uid="{00000000-0005-0000-0000-0000690D0000}"/>
    <cellStyle name="Currency 5 6 10" xfId="8894" xr:uid="{F08F1939-C766-4AB9-8BA1-AE5DC580C9BD}"/>
    <cellStyle name="Currency 5 6 2" xfId="747" xr:uid="{00000000-0005-0000-0000-00006A0D0000}"/>
    <cellStyle name="Currency 5 6 2 2" xfId="2999" xr:uid="{00000000-0005-0000-0000-00006B0D0000}"/>
    <cellStyle name="Currency 5 6 2 2 2" xfId="7221" xr:uid="{00000000-0005-0000-0000-00006C0D0000}"/>
    <cellStyle name="Currency 5 6 2 2 2 2" xfId="15671" xr:uid="{800F568B-54E1-4BD9-9CCD-CC7A4E464506}"/>
    <cellStyle name="Currency 5 6 2 2 3" xfId="11453" xr:uid="{1D5CC602-8E97-4268-A1F3-C99EFB183646}"/>
    <cellStyle name="Currency 5 6 2 3" xfId="5076" xr:uid="{00000000-0005-0000-0000-00006D0D0000}"/>
    <cellStyle name="Currency 5 6 2 3 2" xfId="13526" xr:uid="{D50685E3-28C4-4E7A-A8CF-54AEB3D66E53}"/>
    <cellStyle name="Currency 5 6 2 4" xfId="9308" xr:uid="{0C570881-4474-423F-AAFB-AD97E6D3A93B}"/>
    <cellStyle name="Currency 5 6 3" xfId="1181" xr:uid="{00000000-0005-0000-0000-00006E0D0000}"/>
    <cellStyle name="Currency 5 6 3 2" xfId="3412" xr:uid="{00000000-0005-0000-0000-00006F0D0000}"/>
    <cellStyle name="Currency 5 6 3 2 2" xfId="7634" xr:uid="{00000000-0005-0000-0000-0000700D0000}"/>
    <cellStyle name="Currency 5 6 3 2 2 2" xfId="16084" xr:uid="{9CCF63CF-091F-460E-B583-0F4322FC2853}"/>
    <cellStyle name="Currency 5 6 3 2 3" xfId="11866" xr:uid="{5BE0764C-5AF7-4583-B69D-0DC0A7B19B20}"/>
    <cellStyle name="Currency 5 6 3 3" xfId="5489" xr:uid="{00000000-0005-0000-0000-0000710D0000}"/>
    <cellStyle name="Currency 5 6 3 3 2" xfId="13939" xr:uid="{13F34EA3-9538-42BE-B3D0-224F1A6C649D}"/>
    <cellStyle name="Currency 5 6 3 4" xfId="9721" xr:uid="{3473D201-8940-489F-814E-854D984C7154}"/>
    <cellStyle name="Currency 5 6 4" xfId="1595" xr:uid="{00000000-0005-0000-0000-0000720D0000}"/>
    <cellStyle name="Currency 5 6 4 2" xfId="3825" xr:uid="{00000000-0005-0000-0000-0000730D0000}"/>
    <cellStyle name="Currency 5 6 4 2 2" xfId="8047" xr:uid="{00000000-0005-0000-0000-0000740D0000}"/>
    <cellStyle name="Currency 5 6 4 2 2 2" xfId="16497" xr:uid="{C885C185-0D1D-4A1B-92ED-4039A7E3CB47}"/>
    <cellStyle name="Currency 5 6 4 2 3" xfId="12279" xr:uid="{2AF469C9-3878-4B26-8501-9CD356B485F7}"/>
    <cellStyle name="Currency 5 6 4 3" xfId="5902" xr:uid="{00000000-0005-0000-0000-0000750D0000}"/>
    <cellStyle name="Currency 5 6 4 3 2" xfId="14352" xr:uid="{3FA89545-30C9-4239-881E-776596033928}"/>
    <cellStyle name="Currency 5 6 4 4" xfId="10134" xr:uid="{5DA5C1BD-B0E7-43A2-8097-BEEEB7AEEDB8}"/>
    <cellStyle name="Currency 5 6 5" xfId="2009" xr:uid="{00000000-0005-0000-0000-0000760D0000}"/>
    <cellStyle name="Currency 5 6 5 2" xfId="4238" xr:uid="{00000000-0005-0000-0000-0000770D0000}"/>
    <cellStyle name="Currency 5 6 5 2 2" xfId="8460" xr:uid="{00000000-0005-0000-0000-0000780D0000}"/>
    <cellStyle name="Currency 5 6 5 2 2 2" xfId="16910" xr:uid="{4A1392F8-6C3D-475A-9D71-C277AF2D0314}"/>
    <cellStyle name="Currency 5 6 5 2 3" xfId="12692" xr:uid="{005B33AD-CA6D-45E3-93FE-E1AACCC83437}"/>
    <cellStyle name="Currency 5 6 5 3" xfId="6315" xr:uid="{00000000-0005-0000-0000-0000790D0000}"/>
    <cellStyle name="Currency 5 6 5 3 2" xfId="14765" xr:uid="{FF7BF056-5652-460E-B2FD-4DAE402F2BB4}"/>
    <cellStyle name="Currency 5 6 5 4" xfId="10547" xr:uid="{74E9C034-E502-4FE9-B8BB-025140CFBE41}"/>
    <cellStyle name="Currency 5 6 6" xfId="2444" xr:uid="{00000000-0005-0000-0000-00007A0D0000}"/>
    <cellStyle name="Currency 5 6 6 2" xfId="6728" xr:uid="{00000000-0005-0000-0000-00007B0D0000}"/>
    <cellStyle name="Currency 5 6 6 2 2" xfId="15178" xr:uid="{4376B4E9-BF7D-4C6B-B0F2-FB3C0B34FA28}"/>
    <cellStyle name="Currency 5 6 6 3" xfId="10960" xr:uid="{0C2B32BA-D3B0-4F43-B511-77196BF22543}"/>
    <cellStyle name="Currency 5 6 7" xfId="2741" xr:uid="{00000000-0005-0000-0000-00007C0D0000}"/>
    <cellStyle name="Currency 5 6 8" xfId="2822" xr:uid="{00000000-0005-0000-0000-00007D0D0000}"/>
    <cellStyle name="Currency 5 6 8 2" xfId="7045" xr:uid="{00000000-0005-0000-0000-00007E0D0000}"/>
    <cellStyle name="Currency 5 6 8 2 2" xfId="15495" xr:uid="{C0F2D948-A348-4AD1-9A58-B76196618C47}"/>
    <cellStyle name="Currency 5 6 8 3" xfId="11277" xr:uid="{FB72B5BE-56E3-4B2C-9096-3BFA3625A1E1}"/>
    <cellStyle name="Currency 5 6 9" xfId="4662" xr:uid="{00000000-0005-0000-0000-00007F0D0000}"/>
    <cellStyle name="Currency 5 6 9 2" xfId="13112" xr:uid="{A11699CC-991B-4BBB-85BE-1578568558C8}"/>
    <cellStyle name="Currency 5 7" xfId="222" xr:uid="{00000000-0005-0000-0000-0000800D0000}"/>
    <cellStyle name="Currency 5 7 10" xfId="8895" xr:uid="{6C1C36BF-7897-44D2-96D1-A9C91DAC460A}"/>
    <cellStyle name="Currency 5 7 2" xfId="748" xr:uid="{00000000-0005-0000-0000-0000810D0000}"/>
    <cellStyle name="Currency 5 7 2 2" xfId="3000" xr:uid="{00000000-0005-0000-0000-0000820D0000}"/>
    <cellStyle name="Currency 5 7 2 2 2" xfId="7222" xr:uid="{00000000-0005-0000-0000-0000830D0000}"/>
    <cellStyle name="Currency 5 7 2 2 2 2" xfId="15672" xr:uid="{3EB578A3-1AA1-4957-952F-F56B48AB9DF3}"/>
    <cellStyle name="Currency 5 7 2 2 3" xfId="11454" xr:uid="{8944FD33-D05A-43B4-8BAF-F2B11DD9678A}"/>
    <cellStyle name="Currency 5 7 2 3" xfId="5077" xr:uid="{00000000-0005-0000-0000-0000840D0000}"/>
    <cellStyle name="Currency 5 7 2 3 2" xfId="13527" xr:uid="{F0D94D84-726C-4221-B8D8-8A64F0A5A66D}"/>
    <cellStyle name="Currency 5 7 2 4" xfId="9309" xr:uid="{A2A53585-A72F-429C-B103-0F4CA2B0A839}"/>
    <cellStyle name="Currency 5 7 3" xfId="1182" xr:uid="{00000000-0005-0000-0000-0000850D0000}"/>
    <cellStyle name="Currency 5 7 3 2" xfId="3413" xr:uid="{00000000-0005-0000-0000-0000860D0000}"/>
    <cellStyle name="Currency 5 7 3 2 2" xfId="7635" xr:uid="{00000000-0005-0000-0000-0000870D0000}"/>
    <cellStyle name="Currency 5 7 3 2 2 2" xfId="16085" xr:uid="{CFA8DD8F-6E28-45F1-A8D2-51FCF58DD592}"/>
    <cellStyle name="Currency 5 7 3 2 3" xfId="11867" xr:uid="{0F9A9D52-B6A6-43C6-AE9A-3FEDA5B46916}"/>
    <cellStyle name="Currency 5 7 3 3" xfId="5490" xr:uid="{00000000-0005-0000-0000-0000880D0000}"/>
    <cellStyle name="Currency 5 7 3 3 2" xfId="13940" xr:uid="{FA54AAE6-C1B2-40F7-8E12-0E9413B01AF7}"/>
    <cellStyle name="Currency 5 7 3 4" xfId="9722" xr:uid="{C53A8B26-A981-4482-9966-575ACB1F47DB}"/>
    <cellStyle name="Currency 5 7 4" xfId="1596" xr:uid="{00000000-0005-0000-0000-0000890D0000}"/>
    <cellStyle name="Currency 5 7 4 2" xfId="3826" xr:uid="{00000000-0005-0000-0000-00008A0D0000}"/>
    <cellStyle name="Currency 5 7 4 2 2" xfId="8048" xr:uid="{00000000-0005-0000-0000-00008B0D0000}"/>
    <cellStyle name="Currency 5 7 4 2 2 2" xfId="16498" xr:uid="{FA810FD6-EA9A-4342-B824-9E17CEF9C13B}"/>
    <cellStyle name="Currency 5 7 4 2 3" xfId="12280" xr:uid="{2C28CF1F-70B2-4EC5-BC7A-4894E2F4B336}"/>
    <cellStyle name="Currency 5 7 4 3" xfId="5903" xr:uid="{00000000-0005-0000-0000-00008C0D0000}"/>
    <cellStyle name="Currency 5 7 4 3 2" xfId="14353" xr:uid="{39C81966-E8CA-4933-A530-FC3249C01D90}"/>
    <cellStyle name="Currency 5 7 4 4" xfId="10135" xr:uid="{A2E25D0A-BF6D-4769-9A8F-5D0B3CB7191B}"/>
    <cellStyle name="Currency 5 7 5" xfId="2010" xr:uid="{00000000-0005-0000-0000-00008D0D0000}"/>
    <cellStyle name="Currency 5 7 5 2" xfId="4239" xr:uid="{00000000-0005-0000-0000-00008E0D0000}"/>
    <cellStyle name="Currency 5 7 5 2 2" xfId="8461" xr:uid="{00000000-0005-0000-0000-00008F0D0000}"/>
    <cellStyle name="Currency 5 7 5 2 2 2" xfId="16911" xr:uid="{F31BF8AB-6C82-484D-AD88-A331F2290AE6}"/>
    <cellStyle name="Currency 5 7 5 2 3" xfId="12693" xr:uid="{5052B62C-3190-416E-9C35-FF1451927CB6}"/>
    <cellStyle name="Currency 5 7 5 3" xfId="6316" xr:uid="{00000000-0005-0000-0000-0000900D0000}"/>
    <cellStyle name="Currency 5 7 5 3 2" xfId="14766" xr:uid="{7A52059A-6785-4A7C-BA06-AA9163327E63}"/>
    <cellStyle name="Currency 5 7 5 4" xfId="10548" xr:uid="{3C2B5C49-D79E-4ECD-8765-3C8A9F966617}"/>
    <cellStyle name="Currency 5 7 6" xfId="2445" xr:uid="{00000000-0005-0000-0000-0000910D0000}"/>
    <cellStyle name="Currency 5 7 6 2" xfId="6729" xr:uid="{00000000-0005-0000-0000-0000920D0000}"/>
    <cellStyle name="Currency 5 7 6 2 2" xfId="15179" xr:uid="{A29D026A-DB37-405C-B6DC-8E0DA109FC6A}"/>
    <cellStyle name="Currency 5 7 6 3" xfId="10961" xr:uid="{8D2D15C7-71C4-449D-8C7D-29BFF3DEA5DC}"/>
    <cellStyle name="Currency 5 7 7" xfId="2742" xr:uid="{00000000-0005-0000-0000-0000930D0000}"/>
    <cellStyle name="Currency 5 7 8" xfId="2823" xr:uid="{00000000-0005-0000-0000-0000940D0000}"/>
    <cellStyle name="Currency 5 7 8 2" xfId="7046" xr:uid="{00000000-0005-0000-0000-0000950D0000}"/>
    <cellStyle name="Currency 5 7 8 2 2" xfId="15496" xr:uid="{D6F7F99D-F2A1-4B76-8BFB-4E800FEFCC8D}"/>
    <cellStyle name="Currency 5 7 8 3" xfId="11278" xr:uid="{36B6CA56-29F7-4554-A99D-FCCBE6238371}"/>
    <cellStyle name="Currency 5 7 9" xfId="4663" xr:uid="{00000000-0005-0000-0000-0000960D0000}"/>
    <cellStyle name="Currency 5 7 9 2" xfId="13113" xr:uid="{0648792D-8630-49C8-BD8A-5BA83DF6CDA1}"/>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5180" xr:uid="{DC2F75A0-4AC6-4B9C-A3FB-86A8BC5CA7D0}"/>
    <cellStyle name="Normal 12 10 3" xfId="10962" xr:uid="{AC70A820-B9FE-4617-8C1D-49C21DBB822E}"/>
    <cellStyle name="Normal 12 11" xfId="4664" xr:uid="{00000000-0005-0000-0000-0000CC0D0000}"/>
    <cellStyle name="Normal 12 11 2" xfId="13114" xr:uid="{7DEE186E-6C60-4665-9457-874379A58432}"/>
    <cellStyle name="Normal 12 12" xfId="8896" xr:uid="{D03197C4-0643-4ED8-AEDC-A0DF7F40F809}"/>
    <cellStyle name="Normal 12 2" xfId="260" xr:uid="{00000000-0005-0000-0000-0000CD0D0000}"/>
    <cellStyle name="Normal 12 2 10" xfId="8897" xr:uid="{EF590B4B-102B-4674-B52D-8A3BB690F404}"/>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5676" xr:uid="{56CA197F-5649-4B80-8509-293625981CFD}"/>
    <cellStyle name="Normal 12 2 2 2 2 2 3" xfId="11458" xr:uid="{3F42BC22-8D06-4054-8037-843FAE8A73EF}"/>
    <cellStyle name="Normal 12 2 2 2 2 3" xfId="5081" xr:uid="{00000000-0005-0000-0000-0000D30D0000}"/>
    <cellStyle name="Normal 12 2 2 2 2 3 2" xfId="13531" xr:uid="{7A77C31E-2D40-47DA-8FFE-EB3C4697080A}"/>
    <cellStyle name="Normal 12 2 2 2 2 4" xfId="9313" xr:uid="{10D859A5-7F77-4FCC-B120-64072C16952C}"/>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089" xr:uid="{7216E1B2-EFB2-49B2-8606-5DAAEDFDC5C6}"/>
    <cellStyle name="Normal 12 2 2 2 3 2 3" xfId="11871" xr:uid="{A2CDA06E-7D83-4396-AADB-E18729C6CD97}"/>
    <cellStyle name="Normal 12 2 2 2 3 3" xfId="5494" xr:uid="{00000000-0005-0000-0000-0000D70D0000}"/>
    <cellStyle name="Normal 12 2 2 2 3 3 2" xfId="13944" xr:uid="{A6509C5F-6B50-4E52-9439-473F41700E11}"/>
    <cellStyle name="Normal 12 2 2 2 3 4" xfId="9726" xr:uid="{AC3087E7-F71E-4563-9824-60773065793B}"/>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6502" xr:uid="{4C1549C7-8880-4603-A2CE-B52C9D11946A}"/>
    <cellStyle name="Normal 12 2 2 2 4 2 3" xfId="12284" xr:uid="{DEFCB072-A828-4B4A-A93E-8595F8068A1B}"/>
    <cellStyle name="Normal 12 2 2 2 4 3" xfId="5907" xr:uid="{00000000-0005-0000-0000-0000DB0D0000}"/>
    <cellStyle name="Normal 12 2 2 2 4 3 2" xfId="14357" xr:uid="{D334A10A-325E-4C48-B901-A29D5155F647}"/>
    <cellStyle name="Normal 12 2 2 2 4 4" xfId="10139" xr:uid="{9297F04C-35B6-41C1-B09C-C09AE5060E86}"/>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6915" xr:uid="{431C7B90-8508-416B-8AB5-BC3069F1EDBD}"/>
    <cellStyle name="Normal 12 2 2 2 5 2 3" xfId="12697" xr:uid="{12208051-816C-4F0B-8E3A-D6A049D7E364}"/>
    <cellStyle name="Normal 12 2 2 2 5 3" xfId="6320" xr:uid="{00000000-0005-0000-0000-0000DF0D0000}"/>
    <cellStyle name="Normal 12 2 2 2 5 3 2" xfId="14770" xr:uid="{17A2EB4B-D57E-4E1D-B254-BA21BA0B3761}"/>
    <cellStyle name="Normal 12 2 2 2 5 4" xfId="10552" xr:uid="{9A73E942-515D-4275-918C-884A8D5AD0E5}"/>
    <cellStyle name="Normal 12 2 2 2 6" xfId="2450" xr:uid="{00000000-0005-0000-0000-0000E00D0000}"/>
    <cellStyle name="Normal 12 2 2 2 6 2" xfId="6733" xr:uid="{00000000-0005-0000-0000-0000E10D0000}"/>
    <cellStyle name="Normal 12 2 2 2 6 2 2" xfId="15183" xr:uid="{67EE92A3-4CEF-499F-8692-5899804B70D6}"/>
    <cellStyle name="Normal 12 2 2 2 6 3" xfId="10965" xr:uid="{4A63D72B-78D6-4146-B03D-31F7AB4CB3B2}"/>
    <cellStyle name="Normal 12 2 2 2 7" xfId="4667" xr:uid="{00000000-0005-0000-0000-0000E20D0000}"/>
    <cellStyle name="Normal 12 2 2 2 7 2" xfId="13117" xr:uid="{360A42F0-FD38-480C-887A-C8B94C4A4472}"/>
    <cellStyle name="Normal 12 2 2 2 8" xfId="8899" xr:uid="{CC7F2FED-76D9-4392-80E0-F3DB6A1080A9}"/>
    <cellStyle name="Normal 12 2 2 3" xfId="762" xr:uid="{00000000-0005-0000-0000-0000E30D0000}"/>
    <cellStyle name="Normal 12 2 2 3 2" xfId="3003" xr:uid="{00000000-0005-0000-0000-0000E40D0000}"/>
    <cellStyle name="Normal 12 2 2 3 2 2" xfId="7225" xr:uid="{00000000-0005-0000-0000-0000E50D0000}"/>
    <cellStyle name="Normal 12 2 2 3 2 2 2" xfId="15675" xr:uid="{9B0A1826-ED3F-4193-86CB-C5305CD049CB}"/>
    <cellStyle name="Normal 12 2 2 3 2 3" xfId="11457" xr:uid="{7C6182AF-11F0-42B8-87FB-E75ED07950A7}"/>
    <cellStyle name="Normal 12 2 2 3 3" xfId="5080" xr:uid="{00000000-0005-0000-0000-0000E60D0000}"/>
    <cellStyle name="Normal 12 2 2 3 3 2" xfId="13530" xr:uid="{E63F66C3-3A6A-4B37-852A-91A78A236756}"/>
    <cellStyle name="Normal 12 2 2 3 4" xfId="9312" xr:uid="{C6ED4385-FA83-401B-BA0A-F16D3261F347}"/>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088" xr:uid="{5A36CD82-5F90-4296-A7DC-B8B742F3D185}"/>
    <cellStyle name="Normal 12 2 2 4 2 3" xfId="11870" xr:uid="{28FA50CA-E335-4AED-B274-761165C95BE4}"/>
    <cellStyle name="Normal 12 2 2 4 3" xfId="5493" xr:uid="{00000000-0005-0000-0000-0000EA0D0000}"/>
    <cellStyle name="Normal 12 2 2 4 3 2" xfId="13943" xr:uid="{1389F1F3-7F75-4912-8351-849709F5C6F7}"/>
    <cellStyle name="Normal 12 2 2 4 4" xfId="9725" xr:uid="{6D73AE5E-6F3B-4B90-973F-F85506991ABE}"/>
    <cellStyle name="Normal 12 2 2 5" xfId="1599" xr:uid="{00000000-0005-0000-0000-0000EB0D0000}"/>
    <cellStyle name="Normal 12 2 2 5 2" xfId="3829" xr:uid="{00000000-0005-0000-0000-0000EC0D0000}"/>
    <cellStyle name="Normal 12 2 2 5 2 2" xfId="8051" xr:uid="{00000000-0005-0000-0000-0000ED0D0000}"/>
    <cellStyle name="Normal 12 2 2 5 2 2 2" xfId="16501" xr:uid="{DFD18BF0-1AAD-4180-9427-9053C670C503}"/>
    <cellStyle name="Normal 12 2 2 5 2 3" xfId="12283" xr:uid="{885D1A9F-67D0-4806-9FFA-2BAF9D046335}"/>
    <cellStyle name="Normal 12 2 2 5 3" xfId="5906" xr:uid="{00000000-0005-0000-0000-0000EE0D0000}"/>
    <cellStyle name="Normal 12 2 2 5 3 2" xfId="14356" xr:uid="{F20CCDCF-DC8B-4436-A596-CCEE3E6AC037}"/>
    <cellStyle name="Normal 12 2 2 5 4" xfId="10138" xr:uid="{054C8D0E-2949-4509-89C4-646BFFB9CE9C}"/>
    <cellStyle name="Normal 12 2 2 6" xfId="2013" xr:uid="{00000000-0005-0000-0000-0000EF0D0000}"/>
    <cellStyle name="Normal 12 2 2 6 2" xfId="4242" xr:uid="{00000000-0005-0000-0000-0000F00D0000}"/>
    <cellStyle name="Normal 12 2 2 6 2 2" xfId="8464" xr:uid="{00000000-0005-0000-0000-0000F10D0000}"/>
    <cellStyle name="Normal 12 2 2 6 2 2 2" xfId="16914" xr:uid="{C1790A24-2CF1-4538-A5AA-FDDDD8BC363C}"/>
    <cellStyle name="Normal 12 2 2 6 2 3" xfId="12696" xr:uid="{DA1EE8AC-8EC2-435F-A195-58B26F95E489}"/>
    <cellStyle name="Normal 12 2 2 6 3" xfId="6319" xr:uid="{00000000-0005-0000-0000-0000F20D0000}"/>
    <cellStyle name="Normal 12 2 2 6 3 2" xfId="14769" xr:uid="{EBEF31E9-550D-4355-A45D-8769F2F1FAEA}"/>
    <cellStyle name="Normal 12 2 2 6 4" xfId="10551" xr:uid="{0318B29A-94D3-4D9D-9781-26889B04C5A6}"/>
    <cellStyle name="Normal 12 2 2 7" xfId="2449" xr:uid="{00000000-0005-0000-0000-0000F30D0000}"/>
    <cellStyle name="Normal 12 2 2 7 2" xfId="6732" xr:uid="{00000000-0005-0000-0000-0000F40D0000}"/>
    <cellStyle name="Normal 12 2 2 7 2 2" xfId="15182" xr:uid="{3FF8CECC-154F-46BB-9604-40DAAD687C30}"/>
    <cellStyle name="Normal 12 2 2 7 3" xfId="10964" xr:uid="{DA5BA8F7-7A95-4646-9D5D-F1009C83712F}"/>
    <cellStyle name="Normal 12 2 2 8" xfId="4666" xr:uid="{00000000-0005-0000-0000-0000F50D0000}"/>
    <cellStyle name="Normal 12 2 2 8 2" xfId="13116" xr:uid="{12A9CD54-C588-43FD-85FB-342F5A00A3D6}"/>
    <cellStyle name="Normal 12 2 2 9" xfId="8898" xr:uid="{73F06ABF-5FFD-4BEB-8368-2587137CDF6F}"/>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5677" xr:uid="{0BEF62E7-0F4E-4F18-866B-446AFD4ED28E}"/>
    <cellStyle name="Normal 12 2 3 2 2 3" xfId="11459" xr:uid="{F541E606-EBD4-413B-843C-E02CEA9159B3}"/>
    <cellStyle name="Normal 12 2 3 2 3" xfId="5082" xr:uid="{00000000-0005-0000-0000-0000FA0D0000}"/>
    <cellStyle name="Normal 12 2 3 2 3 2" xfId="13532" xr:uid="{FDB2FA9C-0AA1-4571-B3CE-DD0685885F3F}"/>
    <cellStyle name="Normal 12 2 3 2 4" xfId="9314" xr:uid="{5F63DAD4-8B10-4F57-B4C1-AFB1B29C0E88}"/>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090" xr:uid="{3444C7FF-1B57-4AFA-AE5D-0B8C25EE40B4}"/>
    <cellStyle name="Normal 12 2 3 3 2 3" xfId="11872" xr:uid="{1011DA8B-A0B1-4D2A-B9DF-66ED148CBA16}"/>
    <cellStyle name="Normal 12 2 3 3 3" xfId="5495" xr:uid="{00000000-0005-0000-0000-0000FE0D0000}"/>
    <cellStyle name="Normal 12 2 3 3 3 2" xfId="13945" xr:uid="{E2C37F96-BB73-42F2-A829-ED88BCE1AE0E}"/>
    <cellStyle name="Normal 12 2 3 3 4" xfId="9727" xr:uid="{A1A6CE86-8702-46B6-9DC8-7233540D3B8D}"/>
    <cellStyle name="Normal 12 2 3 4" xfId="1601" xr:uid="{00000000-0005-0000-0000-0000FF0D0000}"/>
    <cellStyle name="Normal 12 2 3 4 2" xfId="3831" xr:uid="{00000000-0005-0000-0000-0000000E0000}"/>
    <cellStyle name="Normal 12 2 3 4 2 2" xfId="8053" xr:uid="{00000000-0005-0000-0000-0000010E0000}"/>
    <cellStyle name="Normal 12 2 3 4 2 2 2" xfId="16503" xr:uid="{3633A435-3EAB-49A9-A1B0-8B704F91DD0D}"/>
    <cellStyle name="Normal 12 2 3 4 2 3" xfId="12285" xr:uid="{DE909274-1F9C-463F-819B-E2DE623D3370}"/>
    <cellStyle name="Normal 12 2 3 4 3" xfId="5908" xr:uid="{00000000-0005-0000-0000-0000020E0000}"/>
    <cellStyle name="Normal 12 2 3 4 3 2" xfId="14358" xr:uid="{32C4B932-B07C-4AEA-B103-6244B3D65670}"/>
    <cellStyle name="Normal 12 2 3 4 4" xfId="10140" xr:uid="{2869B558-6BA7-47C4-B6F0-7D1F2211DFC8}"/>
    <cellStyle name="Normal 12 2 3 5" xfId="2015" xr:uid="{00000000-0005-0000-0000-0000030E0000}"/>
    <cellStyle name="Normal 12 2 3 5 2" xfId="4244" xr:uid="{00000000-0005-0000-0000-0000040E0000}"/>
    <cellStyle name="Normal 12 2 3 5 2 2" xfId="8466" xr:uid="{00000000-0005-0000-0000-0000050E0000}"/>
    <cellStyle name="Normal 12 2 3 5 2 2 2" xfId="16916" xr:uid="{7BEA1E16-24DE-4A16-9E3F-3B4228A0616B}"/>
    <cellStyle name="Normal 12 2 3 5 2 3" xfId="12698" xr:uid="{0245FAC2-A7AC-4023-B09A-D732A1826D91}"/>
    <cellStyle name="Normal 12 2 3 5 3" xfId="6321" xr:uid="{00000000-0005-0000-0000-0000060E0000}"/>
    <cellStyle name="Normal 12 2 3 5 3 2" xfId="14771" xr:uid="{ADF87DAD-D6E9-4137-BC3A-7475A3F8DDC9}"/>
    <cellStyle name="Normal 12 2 3 5 4" xfId="10553" xr:uid="{9A6EF815-EFFB-4CD7-A19F-9645A74B79D1}"/>
    <cellStyle name="Normal 12 2 3 6" xfId="2451" xr:uid="{00000000-0005-0000-0000-0000070E0000}"/>
    <cellStyle name="Normal 12 2 3 6 2" xfId="6734" xr:uid="{00000000-0005-0000-0000-0000080E0000}"/>
    <cellStyle name="Normal 12 2 3 6 2 2" xfId="15184" xr:uid="{62F0D92D-5820-4735-9F68-A113CF109AC2}"/>
    <cellStyle name="Normal 12 2 3 6 3" xfId="10966" xr:uid="{AA995D72-2A74-4A04-83AC-818AC803ACFB}"/>
    <cellStyle name="Normal 12 2 3 7" xfId="4668" xr:uid="{00000000-0005-0000-0000-0000090E0000}"/>
    <cellStyle name="Normal 12 2 3 7 2" xfId="13118" xr:uid="{7DF32382-8743-4D5B-A075-211F3D55DBA9}"/>
    <cellStyle name="Normal 12 2 3 8" xfId="8900" xr:uid="{90AC7B9C-7B88-41A2-86C5-676E33AE2C94}"/>
    <cellStyle name="Normal 12 2 4" xfId="761" xr:uid="{00000000-0005-0000-0000-00000A0E0000}"/>
    <cellStyle name="Normal 12 2 4 2" xfId="3002" xr:uid="{00000000-0005-0000-0000-00000B0E0000}"/>
    <cellStyle name="Normal 12 2 4 2 2" xfId="7224" xr:uid="{00000000-0005-0000-0000-00000C0E0000}"/>
    <cellStyle name="Normal 12 2 4 2 2 2" xfId="15674" xr:uid="{A52865F4-AFD8-458A-96D1-C44BDDACB793}"/>
    <cellStyle name="Normal 12 2 4 2 3" xfId="11456" xr:uid="{6539CBDF-B79B-4F61-BAF9-187069A5090F}"/>
    <cellStyle name="Normal 12 2 4 3" xfId="5079" xr:uid="{00000000-0005-0000-0000-00000D0E0000}"/>
    <cellStyle name="Normal 12 2 4 3 2" xfId="13529" xr:uid="{F35CF8FD-9095-4450-B5DC-65A3F7A6B3EA}"/>
    <cellStyle name="Normal 12 2 4 4" xfId="9311" xr:uid="{00867FC6-4BBD-4F7C-96D1-C738298D2D0A}"/>
    <cellStyle name="Normal 12 2 5" xfId="1184" xr:uid="{00000000-0005-0000-0000-00000E0E0000}"/>
    <cellStyle name="Normal 12 2 5 2" xfId="3415" xr:uid="{00000000-0005-0000-0000-00000F0E0000}"/>
    <cellStyle name="Normal 12 2 5 2 2" xfId="7637" xr:uid="{00000000-0005-0000-0000-0000100E0000}"/>
    <cellStyle name="Normal 12 2 5 2 2 2" xfId="16087" xr:uid="{8F343567-B762-47F9-910E-34A69D9CE396}"/>
    <cellStyle name="Normal 12 2 5 2 3" xfId="11869" xr:uid="{A647BDAF-B237-4764-A4E7-4642B9D3391C}"/>
    <cellStyle name="Normal 12 2 5 3" xfId="5492" xr:uid="{00000000-0005-0000-0000-0000110E0000}"/>
    <cellStyle name="Normal 12 2 5 3 2" xfId="13942" xr:uid="{802A5FD8-C2C9-41EE-AFCE-F1029A5821D5}"/>
    <cellStyle name="Normal 12 2 5 4" xfId="9724" xr:uid="{5830E2A2-0D8F-443B-A3EB-AE89EFA19422}"/>
    <cellStyle name="Normal 12 2 6" xfId="1598" xr:uid="{00000000-0005-0000-0000-0000120E0000}"/>
    <cellStyle name="Normal 12 2 6 2" xfId="3828" xr:uid="{00000000-0005-0000-0000-0000130E0000}"/>
    <cellStyle name="Normal 12 2 6 2 2" xfId="8050" xr:uid="{00000000-0005-0000-0000-0000140E0000}"/>
    <cellStyle name="Normal 12 2 6 2 2 2" xfId="16500" xr:uid="{E5E862B6-B754-4D84-A892-0ECF0F42280E}"/>
    <cellStyle name="Normal 12 2 6 2 3" xfId="12282" xr:uid="{B0CA3EA5-ECF3-49A9-BC85-2F6109818613}"/>
    <cellStyle name="Normal 12 2 6 3" xfId="5905" xr:uid="{00000000-0005-0000-0000-0000150E0000}"/>
    <cellStyle name="Normal 12 2 6 3 2" xfId="14355" xr:uid="{9AFDA6B6-7C36-4018-A97E-4CD529D89F5F}"/>
    <cellStyle name="Normal 12 2 6 4" xfId="10137" xr:uid="{4EDDA024-163A-4110-B904-74AA10604257}"/>
    <cellStyle name="Normal 12 2 7" xfId="2012" xr:uid="{00000000-0005-0000-0000-0000160E0000}"/>
    <cellStyle name="Normal 12 2 7 2" xfId="4241" xr:uid="{00000000-0005-0000-0000-0000170E0000}"/>
    <cellStyle name="Normal 12 2 7 2 2" xfId="8463" xr:uid="{00000000-0005-0000-0000-0000180E0000}"/>
    <cellStyle name="Normal 12 2 7 2 2 2" xfId="16913" xr:uid="{1CBB0C86-F31F-4A58-92D2-675572BD3C79}"/>
    <cellStyle name="Normal 12 2 7 2 3" xfId="12695" xr:uid="{377B3EA2-E9D0-4BC0-851F-AB7240924222}"/>
    <cellStyle name="Normal 12 2 7 3" xfId="6318" xr:uid="{00000000-0005-0000-0000-0000190E0000}"/>
    <cellStyle name="Normal 12 2 7 3 2" xfId="14768" xr:uid="{888DAF30-AE70-4060-9B0E-6F7CF2E6CAC6}"/>
    <cellStyle name="Normal 12 2 7 4" xfId="10550" xr:uid="{F4C57476-C19F-424F-827B-25B6ED506F74}"/>
    <cellStyle name="Normal 12 2 8" xfId="2448" xr:uid="{00000000-0005-0000-0000-00001A0E0000}"/>
    <cellStyle name="Normal 12 2 8 2" xfId="6731" xr:uid="{00000000-0005-0000-0000-00001B0E0000}"/>
    <cellStyle name="Normal 12 2 8 2 2" xfId="15181" xr:uid="{F79513C3-BE23-48F7-9A6F-5DECC123BE18}"/>
    <cellStyle name="Normal 12 2 8 3" xfId="10963" xr:uid="{F2332B47-F2D8-4271-BEB7-06C12A92C95B}"/>
    <cellStyle name="Normal 12 2 9" xfId="4665" xr:uid="{00000000-0005-0000-0000-00001C0E0000}"/>
    <cellStyle name="Normal 12 2 9 2" xfId="13115" xr:uid="{C865DD9C-6BF1-4EF7-9DBA-4F9DA8DEC19C}"/>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5679" xr:uid="{AE5BB418-92CF-43CD-91BB-9249174282E6}"/>
    <cellStyle name="Normal 12 3 2 2 2 3" xfId="11461" xr:uid="{1D2E9220-1DD5-43EE-99D7-B87D214A150B}"/>
    <cellStyle name="Normal 12 3 2 2 3" xfId="5084" xr:uid="{00000000-0005-0000-0000-0000220E0000}"/>
    <cellStyle name="Normal 12 3 2 2 3 2" xfId="13534" xr:uid="{98B492E0-BC3E-46F5-AE6B-5EEDBCE77F35}"/>
    <cellStyle name="Normal 12 3 2 2 4" xfId="9316" xr:uid="{38FF1EF4-D4FB-4841-90A3-1E0DC0BAF5F5}"/>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092" xr:uid="{03F9D566-D823-4254-A231-21F2265C87D5}"/>
    <cellStyle name="Normal 12 3 2 3 2 3" xfId="11874" xr:uid="{740B677E-F14A-4CFB-82AB-F3E49E1ACED4}"/>
    <cellStyle name="Normal 12 3 2 3 3" xfId="5497" xr:uid="{00000000-0005-0000-0000-0000260E0000}"/>
    <cellStyle name="Normal 12 3 2 3 3 2" xfId="13947" xr:uid="{1FF9C2EA-CCC5-419F-A97D-75B435028043}"/>
    <cellStyle name="Normal 12 3 2 3 4" xfId="9729" xr:uid="{AC80C536-8373-416B-9202-560F321302B3}"/>
    <cellStyle name="Normal 12 3 2 4" xfId="1603" xr:uid="{00000000-0005-0000-0000-0000270E0000}"/>
    <cellStyle name="Normal 12 3 2 4 2" xfId="3833" xr:uid="{00000000-0005-0000-0000-0000280E0000}"/>
    <cellStyle name="Normal 12 3 2 4 2 2" xfId="8055" xr:uid="{00000000-0005-0000-0000-0000290E0000}"/>
    <cellStyle name="Normal 12 3 2 4 2 2 2" xfId="16505" xr:uid="{B27A49AE-0F48-42C8-9BA7-6322877F4A5C}"/>
    <cellStyle name="Normal 12 3 2 4 2 3" xfId="12287" xr:uid="{C2D30D0A-5107-43B0-AD5C-5B6E46BA486A}"/>
    <cellStyle name="Normal 12 3 2 4 3" xfId="5910" xr:uid="{00000000-0005-0000-0000-00002A0E0000}"/>
    <cellStyle name="Normal 12 3 2 4 3 2" xfId="14360" xr:uid="{62B19BB1-77EE-4C64-85D7-47EBFBCF4FE4}"/>
    <cellStyle name="Normal 12 3 2 4 4" xfId="10142" xr:uid="{883244D5-EDE6-4006-9092-31FA3E2D4D8D}"/>
    <cellStyle name="Normal 12 3 2 5" xfId="2017" xr:uid="{00000000-0005-0000-0000-00002B0E0000}"/>
    <cellStyle name="Normal 12 3 2 5 2" xfId="4246" xr:uid="{00000000-0005-0000-0000-00002C0E0000}"/>
    <cellStyle name="Normal 12 3 2 5 2 2" xfId="8468" xr:uid="{00000000-0005-0000-0000-00002D0E0000}"/>
    <cellStyle name="Normal 12 3 2 5 2 2 2" xfId="16918" xr:uid="{0B05C1A0-4F09-4792-8944-50FCC018A800}"/>
    <cellStyle name="Normal 12 3 2 5 2 3" xfId="12700" xr:uid="{422C1DC2-2776-4B97-9F72-32E8B6260378}"/>
    <cellStyle name="Normal 12 3 2 5 3" xfId="6323" xr:uid="{00000000-0005-0000-0000-00002E0E0000}"/>
    <cellStyle name="Normal 12 3 2 5 3 2" xfId="14773" xr:uid="{6BE54BE7-AB2C-4F30-B355-CA075E8563F8}"/>
    <cellStyle name="Normal 12 3 2 5 4" xfId="10555" xr:uid="{AB0A9F26-A5D9-4983-90D4-9CCB4CD8EE56}"/>
    <cellStyle name="Normal 12 3 2 6" xfId="2453" xr:uid="{00000000-0005-0000-0000-00002F0E0000}"/>
    <cellStyle name="Normal 12 3 2 6 2" xfId="6736" xr:uid="{00000000-0005-0000-0000-0000300E0000}"/>
    <cellStyle name="Normal 12 3 2 6 2 2" xfId="15186" xr:uid="{369DB2A3-1F9D-429E-82DD-DD5EAE33AA43}"/>
    <cellStyle name="Normal 12 3 2 6 3" xfId="10968" xr:uid="{71539937-9350-4C15-9653-D31D3DF32A35}"/>
    <cellStyle name="Normal 12 3 2 7" xfId="4670" xr:uid="{00000000-0005-0000-0000-0000310E0000}"/>
    <cellStyle name="Normal 12 3 2 7 2" xfId="13120" xr:uid="{D4AB77E7-0BAE-4BA9-B62A-85EF25FB382E}"/>
    <cellStyle name="Normal 12 3 2 8" xfId="8902" xr:uid="{00E30684-4341-4321-9D0E-D43BFF36AAAF}"/>
    <cellStyle name="Normal 12 3 3" xfId="765" xr:uid="{00000000-0005-0000-0000-0000320E0000}"/>
    <cellStyle name="Normal 12 3 3 2" xfId="3006" xr:uid="{00000000-0005-0000-0000-0000330E0000}"/>
    <cellStyle name="Normal 12 3 3 2 2" xfId="7228" xr:uid="{00000000-0005-0000-0000-0000340E0000}"/>
    <cellStyle name="Normal 12 3 3 2 2 2" xfId="15678" xr:uid="{93EC422D-0935-4D3F-9043-F025C4AA274F}"/>
    <cellStyle name="Normal 12 3 3 2 3" xfId="11460" xr:uid="{7F46776F-862D-47E1-8D6A-039C309AF361}"/>
    <cellStyle name="Normal 12 3 3 3" xfId="5083" xr:uid="{00000000-0005-0000-0000-0000350E0000}"/>
    <cellStyle name="Normal 12 3 3 3 2" xfId="13533" xr:uid="{00F32733-E5CF-4634-9CA8-756F1226EDC5}"/>
    <cellStyle name="Normal 12 3 3 4" xfId="9315" xr:uid="{A126D763-A715-4D4B-9A11-7867A9CA7C2D}"/>
    <cellStyle name="Normal 12 3 4" xfId="1188" xr:uid="{00000000-0005-0000-0000-0000360E0000}"/>
    <cellStyle name="Normal 12 3 4 2" xfId="3419" xr:uid="{00000000-0005-0000-0000-0000370E0000}"/>
    <cellStyle name="Normal 12 3 4 2 2" xfId="7641" xr:uid="{00000000-0005-0000-0000-0000380E0000}"/>
    <cellStyle name="Normal 12 3 4 2 2 2" xfId="16091" xr:uid="{BEB180C9-7072-4B43-97F8-0E19296FCCF1}"/>
    <cellStyle name="Normal 12 3 4 2 3" xfId="11873" xr:uid="{5394B612-1D5C-4FD3-B841-CD161A0511C2}"/>
    <cellStyle name="Normal 12 3 4 3" xfId="5496" xr:uid="{00000000-0005-0000-0000-0000390E0000}"/>
    <cellStyle name="Normal 12 3 4 3 2" xfId="13946" xr:uid="{07251386-C460-42E3-A85F-962B0C2CB186}"/>
    <cellStyle name="Normal 12 3 4 4" xfId="9728" xr:uid="{AB337D97-37B8-4035-83EF-03661FA68CFB}"/>
    <cellStyle name="Normal 12 3 5" xfId="1602" xr:uid="{00000000-0005-0000-0000-00003A0E0000}"/>
    <cellStyle name="Normal 12 3 5 2" xfId="3832" xr:uid="{00000000-0005-0000-0000-00003B0E0000}"/>
    <cellStyle name="Normal 12 3 5 2 2" xfId="8054" xr:uid="{00000000-0005-0000-0000-00003C0E0000}"/>
    <cellStyle name="Normal 12 3 5 2 2 2" xfId="16504" xr:uid="{355445A1-02DE-4508-8B98-02748E478669}"/>
    <cellStyle name="Normal 12 3 5 2 3" xfId="12286" xr:uid="{DAEFE88B-29D6-4154-9EAF-CA5A5758880E}"/>
    <cellStyle name="Normal 12 3 5 3" xfId="5909" xr:uid="{00000000-0005-0000-0000-00003D0E0000}"/>
    <cellStyle name="Normal 12 3 5 3 2" xfId="14359" xr:uid="{7E1BBA2C-129D-4923-880B-7532CDFC4471}"/>
    <cellStyle name="Normal 12 3 5 4" xfId="10141" xr:uid="{A1D78B87-8AB5-4C17-A852-89C81C0FEC1C}"/>
    <cellStyle name="Normal 12 3 6" xfId="2016" xr:uid="{00000000-0005-0000-0000-00003E0E0000}"/>
    <cellStyle name="Normal 12 3 6 2" xfId="4245" xr:uid="{00000000-0005-0000-0000-00003F0E0000}"/>
    <cellStyle name="Normal 12 3 6 2 2" xfId="8467" xr:uid="{00000000-0005-0000-0000-0000400E0000}"/>
    <cellStyle name="Normal 12 3 6 2 2 2" xfId="16917" xr:uid="{F74C0636-6259-4757-926A-7DDDA9EA872E}"/>
    <cellStyle name="Normal 12 3 6 2 3" xfId="12699" xr:uid="{B19F7F16-370F-48D0-BDA6-6BE4B297674F}"/>
    <cellStyle name="Normal 12 3 6 3" xfId="6322" xr:uid="{00000000-0005-0000-0000-0000410E0000}"/>
    <cellStyle name="Normal 12 3 6 3 2" xfId="14772" xr:uid="{7FA66427-5F50-4CD6-B174-00AA6A4A3228}"/>
    <cellStyle name="Normal 12 3 6 4" xfId="10554" xr:uid="{11B4EA70-AB00-49A6-BA60-1D276CD56296}"/>
    <cellStyle name="Normal 12 3 7" xfId="2452" xr:uid="{00000000-0005-0000-0000-0000420E0000}"/>
    <cellStyle name="Normal 12 3 7 2" xfId="6735" xr:uid="{00000000-0005-0000-0000-0000430E0000}"/>
    <cellStyle name="Normal 12 3 7 2 2" xfId="15185" xr:uid="{3FEE0833-A9A7-4F2F-835C-8C03FC360E8A}"/>
    <cellStyle name="Normal 12 3 7 3" xfId="10967" xr:uid="{6476A28A-C7CE-4D09-AC6D-0114A14B994F}"/>
    <cellStyle name="Normal 12 3 8" xfId="4669" xr:uid="{00000000-0005-0000-0000-0000440E0000}"/>
    <cellStyle name="Normal 12 3 8 2" xfId="13119" xr:uid="{03005B81-A1B8-4DCD-B4A1-F9D01A8D6091}"/>
    <cellStyle name="Normal 12 3 9" xfId="8901" xr:uid="{2C283C1C-8A4D-4890-B9CA-838208531FF6}"/>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5680" xr:uid="{7EA0C1D0-A207-42C5-8A24-C0E9A6E746DA}"/>
    <cellStyle name="Normal 12 4 2 2 3" xfId="11462" xr:uid="{F4754883-9AF1-4752-819B-A64640221A8F}"/>
    <cellStyle name="Normal 12 4 2 3" xfId="5085" xr:uid="{00000000-0005-0000-0000-0000490E0000}"/>
    <cellStyle name="Normal 12 4 2 3 2" xfId="13535" xr:uid="{ACC79EE2-2B8F-4BD4-8E44-29F7119EB0FA}"/>
    <cellStyle name="Normal 12 4 2 4" xfId="9317" xr:uid="{3F1B4EF4-FAC4-457C-9F62-078DC837B104}"/>
    <cellStyle name="Normal 12 4 3" xfId="1190" xr:uid="{00000000-0005-0000-0000-00004A0E0000}"/>
    <cellStyle name="Normal 12 4 3 2" xfId="3421" xr:uid="{00000000-0005-0000-0000-00004B0E0000}"/>
    <cellStyle name="Normal 12 4 3 2 2" xfId="7643" xr:uid="{00000000-0005-0000-0000-00004C0E0000}"/>
    <cellStyle name="Normal 12 4 3 2 2 2" xfId="16093" xr:uid="{46492549-A9CE-47E2-84CA-3778910B46A8}"/>
    <cellStyle name="Normal 12 4 3 2 3" xfId="11875" xr:uid="{013C2B45-88C4-4576-BD28-E6D407613CFE}"/>
    <cellStyle name="Normal 12 4 3 3" xfId="5498" xr:uid="{00000000-0005-0000-0000-00004D0E0000}"/>
    <cellStyle name="Normal 12 4 3 3 2" xfId="13948" xr:uid="{7C093382-9A7A-499B-A8CB-45C688EC41F2}"/>
    <cellStyle name="Normal 12 4 3 4" xfId="9730" xr:uid="{E6D6EA9D-EC11-49FA-A912-5FFFB546844E}"/>
    <cellStyle name="Normal 12 4 4" xfId="1604" xr:uid="{00000000-0005-0000-0000-00004E0E0000}"/>
    <cellStyle name="Normal 12 4 4 2" xfId="3834" xr:uid="{00000000-0005-0000-0000-00004F0E0000}"/>
    <cellStyle name="Normal 12 4 4 2 2" xfId="8056" xr:uid="{00000000-0005-0000-0000-0000500E0000}"/>
    <cellStyle name="Normal 12 4 4 2 2 2" xfId="16506" xr:uid="{31ACFAB1-DEC7-4F44-8293-7027A4FF8ECC}"/>
    <cellStyle name="Normal 12 4 4 2 3" xfId="12288" xr:uid="{CF1C12DC-0C86-4DDC-B423-62AAEEA4B9D4}"/>
    <cellStyle name="Normal 12 4 4 3" xfId="5911" xr:uid="{00000000-0005-0000-0000-0000510E0000}"/>
    <cellStyle name="Normal 12 4 4 3 2" xfId="14361" xr:uid="{AC3C8C34-0604-4935-ABB3-D94A17148B1D}"/>
    <cellStyle name="Normal 12 4 4 4" xfId="10143" xr:uid="{8D1A88A1-BB06-43F8-85ED-AF3409192121}"/>
    <cellStyle name="Normal 12 4 5" xfId="2018" xr:uid="{00000000-0005-0000-0000-0000520E0000}"/>
    <cellStyle name="Normal 12 4 5 2" xfId="4247" xr:uid="{00000000-0005-0000-0000-0000530E0000}"/>
    <cellStyle name="Normal 12 4 5 2 2" xfId="8469" xr:uid="{00000000-0005-0000-0000-0000540E0000}"/>
    <cellStyle name="Normal 12 4 5 2 2 2" xfId="16919" xr:uid="{A2718E02-9424-44CA-8D2D-924E9D19E645}"/>
    <cellStyle name="Normal 12 4 5 2 3" xfId="12701" xr:uid="{0FB599FB-5BE9-4129-92FA-9F885AC11AF3}"/>
    <cellStyle name="Normal 12 4 5 3" xfId="6324" xr:uid="{00000000-0005-0000-0000-0000550E0000}"/>
    <cellStyle name="Normal 12 4 5 3 2" xfId="14774" xr:uid="{CDC62369-C0EB-4514-82F8-F1D67C3DCEAC}"/>
    <cellStyle name="Normal 12 4 5 4" xfId="10556" xr:uid="{1043FE3B-4B48-4681-8DCA-A92C9A51EA57}"/>
    <cellStyle name="Normal 12 4 6" xfId="2454" xr:uid="{00000000-0005-0000-0000-0000560E0000}"/>
    <cellStyle name="Normal 12 4 6 2" xfId="6737" xr:uid="{00000000-0005-0000-0000-0000570E0000}"/>
    <cellStyle name="Normal 12 4 6 2 2" xfId="15187" xr:uid="{A05DDC81-424C-4AB0-AB29-33FAD91B3CAA}"/>
    <cellStyle name="Normal 12 4 6 3" xfId="10969" xr:uid="{6AF9FB93-9041-4EA8-9E43-6B5DA38CBBEE}"/>
    <cellStyle name="Normal 12 4 7" xfId="4671" xr:uid="{00000000-0005-0000-0000-0000580E0000}"/>
    <cellStyle name="Normal 12 4 7 2" xfId="13121" xr:uid="{9FA5E562-3F42-4735-A631-8749C579E48C}"/>
    <cellStyle name="Normal 12 4 8" xfId="8903" xr:uid="{C71F8AAF-12F4-48BA-865E-43CA4CBD7D1E}"/>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15673" xr:uid="{DBAEA8D4-ED86-4FEA-A83B-373D24D3FF7B}"/>
    <cellStyle name="Normal 12 6 2 3" xfId="11455" xr:uid="{8C044715-37FE-476E-885A-689547100665}"/>
    <cellStyle name="Normal 12 6 3" xfId="5078" xr:uid="{00000000-0005-0000-0000-00005D0E0000}"/>
    <cellStyle name="Normal 12 6 3 2" xfId="13528" xr:uid="{996BE41F-D20F-4491-8BBC-8187EDE2529C}"/>
    <cellStyle name="Normal 12 6 4" xfId="9310" xr:uid="{4E4208D1-EFCE-4050-8046-E30789B723CB}"/>
    <cellStyle name="Normal 12 7" xfId="1183" xr:uid="{00000000-0005-0000-0000-00005E0E0000}"/>
    <cellStyle name="Normal 12 7 2" xfId="3414" xr:uid="{00000000-0005-0000-0000-00005F0E0000}"/>
    <cellStyle name="Normal 12 7 2 2" xfId="7636" xr:uid="{00000000-0005-0000-0000-0000600E0000}"/>
    <cellStyle name="Normal 12 7 2 2 2" xfId="16086" xr:uid="{44E5259C-B4E6-4C1F-A5BD-E14A005C89CF}"/>
    <cellStyle name="Normal 12 7 2 3" xfId="11868" xr:uid="{1B6F59AE-1D8D-45FE-BD38-333BE8E80A05}"/>
    <cellStyle name="Normal 12 7 3" xfId="5491" xr:uid="{00000000-0005-0000-0000-0000610E0000}"/>
    <cellStyle name="Normal 12 7 3 2" xfId="13941" xr:uid="{8D0CBE6A-A844-4008-85CD-777E91A2A350}"/>
    <cellStyle name="Normal 12 7 4" xfId="9723" xr:uid="{2B5F891D-3BE0-426B-9BF5-8F8025D38389}"/>
    <cellStyle name="Normal 12 8" xfId="1597" xr:uid="{00000000-0005-0000-0000-0000620E0000}"/>
    <cellStyle name="Normal 12 8 2" xfId="3827" xr:uid="{00000000-0005-0000-0000-0000630E0000}"/>
    <cellStyle name="Normal 12 8 2 2" xfId="8049" xr:uid="{00000000-0005-0000-0000-0000640E0000}"/>
    <cellStyle name="Normal 12 8 2 2 2" xfId="16499" xr:uid="{6933266E-F91B-461B-8FE0-94B01876D533}"/>
    <cellStyle name="Normal 12 8 2 3" xfId="12281" xr:uid="{98B274A2-436D-445D-A8EE-5D4CB7CAD8B3}"/>
    <cellStyle name="Normal 12 8 3" xfId="5904" xr:uid="{00000000-0005-0000-0000-0000650E0000}"/>
    <cellStyle name="Normal 12 8 3 2" xfId="14354" xr:uid="{46453804-957C-4F94-9712-5543403FB9D3}"/>
    <cellStyle name="Normal 12 8 4" xfId="10136" xr:uid="{C0937144-BEFB-4885-B41F-E4A9329DA749}"/>
    <cellStyle name="Normal 12 9" xfId="2011" xr:uid="{00000000-0005-0000-0000-0000660E0000}"/>
    <cellStyle name="Normal 12 9 2" xfId="4240" xr:uid="{00000000-0005-0000-0000-0000670E0000}"/>
    <cellStyle name="Normal 12 9 2 2" xfId="8462" xr:uid="{00000000-0005-0000-0000-0000680E0000}"/>
    <cellStyle name="Normal 12 9 2 2 2" xfId="16912" xr:uid="{447B44E4-4A73-497C-BC9A-7ED6855A15B4}"/>
    <cellStyle name="Normal 12 9 2 3" xfId="12694" xr:uid="{DF71931E-B31F-455C-9878-535F7D0FFC53}"/>
    <cellStyle name="Normal 12 9 3" xfId="6317" xr:uid="{00000000-0005-0000-0000-0000690E0000}"/>
    <cellStyle name="Normal 12 9 3 2" xfId="14767" xr:uid="{F58748A9-DE3D-489A-BFE2-5D03EAD1311C}"/>
    <cellStyle name="Normal 12 9 4" xfId="10549" xr:uid="{2BFE90AC-600A-4162-923B-95083F995377}"/>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5681" xr:uid="{E6CAECB2-3E6E-4353-B99C-E6A0C8FF7365}"/>
    <cellStyle name="Normal 14 2 2 3" xfId="11463" xr:uid="{25FF5E48-44B4-4BE2-87C9-89F0427FCD4B}"/>
    <cellStyle name="Normal 14 2 3" xfId="5086" xr:uid="{00000000-0005-0000-0000-0000700E0000}"/>
    <cellStyle name="Normal 14 2 3 2" xfId="13536" xr:uid="{2AEAB94B-BDDE-425D-8008-E718EF24F1D5}"/>
    <cellStyle name="Normal 14 2 4" xfId="9318" xr:uid="{C13C517E-09F2-4B1A-9EB5-F2B727588990}"/>
    <cellStyle name="Normal 14 3" xfId="1191" xr:uid="{00000000-0005-0000-0000-0000710E0000}"/>
    <cellStyle name="Normal 14 3 2" xfId="3422" xr:uid="{00000000-0005-0000-0000-0000720E0000}"/>
    <cellStyle name="Normal 14 3 2 2" xfId="7644" xr:uid="{00000000-0005-0000-0000-0000730E0000}"/>
    <cellStyle name="Normal 14 3 2 2 2" xfId="16094" xr:uid="{07E74343-7B2F-4D48-89F8-8E7378C03DA6}"/>
    <cellStyle name="Normal 14 3 2 3" xfId="11876" xr:uid="{863E31EA-05C2-45E7-8B03-76C33BC001C2}"/>
    <cellStyle name="Normal 14 3 3" xfId="5499" xr:uid="{00000000-0005-0000-0000-0000740E0000}"/>
    <cellStyle name="Normal 14 3 3 2" xfId="13949" xr:uid="{7B44E510-649A-40A3-AAA5-E60314F5C281}"/>
    <cellStyle name="Normal 14 3 4" xfId="9731" xr:uid="{4B0E11DB-C1BD-42A4-99B1-C1EC60475CFC}"/>
    <cellStyle name="Normal 14 4" xfId="1605" xr:uid="{00000000-0005-0000-0000-0000750E0000}"/>
    <cellStyle name="Normal 14 4 2" xfId="3835" xr:uid="{00000000-0005-0000-0000-0000760E0000}"/>
    <cellStyle name="Normal 14 4 2 2" xfId="8057" xr:uid="{00000000-0005-0000-0000-0000770E0000}"/>
    <cellStyle name="Normal 14 4 2 2 2" xfId="16507" xr:uid="{73FB0F0F-C2BB-491E-9182-0F550C1DD7D6}"/>
    <cellStyle name="Normal 14 4 2 3" xfId="12289" xr:uid="{8EA5702D-4DFF-4656-BD3D-F7CB0FA607BC}"/>
    <cellStyle name="Normal 14 4 3" xfId="5912" xr:uid="{00000000-0005-0000-0000-0000780E0000}"/>
    <cellStyle name="Normal 14 4 3 2" xfId="14362" xr:uid="{5FFB5710-E588-4CAD-BEFC-1A3F5CE55016}"/>
    <cellStyle name="Normal 14 4 4" xfId="10144" xr:uid="{8740B703-A4F8-45D9-8D55-3AC2CBF66FAD}"/>
    <cellStyle name="Normal 14 5" xfId="2019" xr:uid="{00000000-0005-0000-0000-0000790E0000}"/>
    <cellStyle name="Normal 14 5 2" xfId="4248" xr:uid="{00000000-0005-0000-0000-00007A0E0000}"/>
    <cellStyle name="Normal 14 5 2 2" xfId="8470" xr:uid="{00000000-0005-0000-0000-00007B0E0000}"/>
    <cellStyle name="Normal 14 5 2 2 2" xfId="16920" xr:uid="{2EB14160-69A7-42A6-891C-232BD96ED849}"/>
    <cellStyle name="Normal 14 5 2 3" xfId="12702" xr:uid="{31E04DD3-9C8F-4E37-9608-BC4D7DD2226E}"/>
    <cellStyle name="Normal 14 5 3" xfId="6325" xr:uid="{00000000-0005-0000-0000-00007C0E0000}"/>
    <cellStyle name="Normal 14 5 3 2" xfId="14775" xr:uid="{C6949C08-FAC8-46AA-8C67-5FA5149F3DEE}"/>
    <cellStyle name="Normal 14 5 4" xfId="10557" xr:uid="{807A7727-B947-4BD4-BD73-365B4E08D005}"/>
    <cellStyle name="Normal 14 6" xfId="2455" xr:uid="{00000000-0005-0000-0000-00007D0E0000}"/>
    <cellStyle name="Normal 14 6 2" xfId="6738" xr:uid="{00000000-0005-0000-0000-00007E0E0000}"/>
    <cellStyle name="Normal 14 6 2 2" xfId="15188" xr:uid="{D3D2DB28-C561-4B99-8182-4014FF20D13F}"/>
    <cellStyle name="Normal 14 6 3" xfId="10970" xr:uid="{0D2CAE67-22DF-4A38-866F-D50EE6FAD63D}"/>
    <cellStyle name="Normal 14 7" xfId="4672" xr:uid="{00000000-0005-0000-0000-00007F0E0000}"/>
    <cellStyle name="Normal 14 7 2" xfId="13122" xr:uid="{CAE3A481-DDD3-4E56-B8A0-C29719CB3B22}"/>
    <cellStyle name="Normal 14 8" xfId="8904" xr:uid="{F4C94B12-1CC5-4BF0-B14B-5E2365C2C3FA}"/>
    <cellStyle name="Normal 15" xfId="4496" xr:uid="{00000000-0005-0000-0000-0000800E0000}"/>
    <cellStyle name="Normal 15 2" xfId="12948" xr:uid="{1F030B35-3BEA-4185-98FC-AA333ACE0811}"/>
    <cellStyle name="Normal 16" xfId="4500" xr:uid="{00000000-0005-0000-0000-0000810E0000}"/>
    <cellStyle name="Normal 16 2" xfId="8715" xr:uid="{00000000-0005-0000-0000-0000820E0000}"/>
    <cellStyle name="Normal 16 2 2" xfId="17165" xr:uid="{6787316A-B881-4B78-A3E2-E10EA78F87D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3" xfId="17171" xr:uid="{3236548F-C33C-40D3-A613-0D47FC7F7BD1}"/>
    <cellStyle name="Normal 16 3 3" xfId="17168" xr:uid="{DB92ED1E-ADD2-4F0A-9C74-9C05CD3F33CA}"/>
    <cellStyle name="Normal 16 4" xfId="12951" xr:uid="{770D96E9-FB9E-467C-BEF0-A5FD9B71042C}"/>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6921" xr:uid="{6346A41E-A05F-447B-9F1F-644D52464BC9}"/>
    <cellStyle name="Normal 2 4 2 10 2 3" xfId="12703" xr:uid="{09748CD7-6D29-4815-B7BE-8C792A0967CE}"/>
    <cellStyle name="Normal 2 4 2 10 3" xfId="6326" xr:uid="{00000000-0005-0000-0000-0000910E0000}"/>
    <cellStyle name="Normal 2 4 2 10 3 2" xfId="14776" xr:uid="{72E7CC2D-8629-4033-A9B3-31EABF3E77E9}"/>
    <cellStyle name="Normal 2 4 2 10 4" xfId="10558" xr:uid="{F75B4657-86C1-4A54-B309-60B750FE0A51}"/>
    <cellStyle name="Normal 2 4 2 11" xfId="2456" xr:uid="{00000000-0005-0000-0000-0000920E0000}"/>
    <cellStyle name="Normal 2 4 2 11 2" xfId="6739" xr:uid="{00000000-0005-0000-0000-0000930E0000}"/>
    <cellStyle name="Normal 2 4 2 11 2 2" xfId="15189" xr:uid="{5B9F5FA7-27FC-4E10-B53F-F4A768AD07F9}"/>
    <cellStyle name="Normal 2 4 2 11 3" xfId="10971" xr:uid="{DFB800C5-EA29-4918-BCCF-BD9E5F6A52E0}"/>
    <cellStyle name="Normal 2 4 2 12" xfId="4673" xr:uid="{00000000-0005-0000-0000-0000940E0000}"/>
    <cellStyle name="Normal 2 4 2 12 2" xfId="13123" xr:uid="{47F604A6-9AFB-45B7-AC0E-CA56EAB22D2D}"/>
    <cellStyle name="Normal 2 4 2 13" xfId="8905" xr:uid="{2993E24B-0596-40D6-B395-7C98883FE248}"/>
    <cellStyle name="Normal 2 4 2 2" xfId="280" xr:uid="{00000000-0005-0000-0000-0000950E0000}"/>
    <cellStyle name="Normal 2 4 2 3" xfId="281" xr:uid="{00000000-0005-0000-0000-0000960E0000}"/>
    <cellStyle name="Normal 2 4 2 3 10" xfId="4674" xr:uid="{00000000-0005-0000-0000-0000970E0000}"/>
    <cellStyle name="Normal 2 4 2 3 10 2" xfId="13124" xr:uid="{1FCB6C68-1548-431A-BC2A-FD7586E9CBEB}"/>
    <cellStyle name="Normal 2 4 2 3 11" xfId="8906" xr:uid="{095959FB-49FC-4B59-B060-53FC41129375}"/>
    <cellStyle name="Normal 2 4 2 3 2" xfId="282" xr:uid="{00000000-0005-0000-0000-0000980E0000}"/>
    <cellStyle name="Normal 2 4 2 3 2 10" xfId="8907" xr:uid="{E8E7EE19-6ADF-46DA-93DB-BACF679936FC}"/>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5686" xr:uid="{BE953465-4BFF-46C5-A238-7A99B17574BA}"/>
    <cellStyle name="Normal 2 4 2 3 2 2 2 2 2 3" xfId="11468" xr:uid="{CCFEAF2F-02F5-47C3-8E59-5F185EDE20B8}"/>
    <cellStyle name="Normal 2 4 2 3 2 2 2 2 3" xfId="5091" xr:uid="{00000000-0005-0000-0000-00009E0E0000}"/>
    <cellStyle name="Normal 2 4 2 3 2 2 2 2 3 2" xfId="13541" xr:uid="{7BE75A1C-40E8-4E59-A369-58F43D8267E2}"/>
    <cellStyle name="Normal 2 4 2 3 2 2 2 2 4" xfId="9323" xr:uid="{5BBE5BB0-5E1C-40C5-9160-71C4089CA8DD}"/>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099" xr:uid="{33F326AA-FC72-4FBA-A527-23EB9AB989EB}"/>
    <cellStyle name="Normal 2 4 2 3 2 2 2 3 2 3" xfId="11881" xr:uid="{162A487E-5E91-4D13-A4EC-00DD76D5A60A}"/>
    <cellStyle name="Normal 2 4 2 3 2 2 2 3 3" xfId="5504" xr:uid="{00000000-0005-0000-0000-0000A20E0000}"/>
    <cellStyle name="Normal 2 4 2 3 2 2 2 3 3 2" xfId="13954" xr:uid="{9A7C0534-58A2-46E8-B43B-DAE9484B3C73}"/>
    <cellStyle name="Normal 2 4 2 3 2 2 2 3 4" xfId="9736" xr:uid="{759974AD-193D-4F45-B914-00B0DBEED127}"/>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6512" xr:uid="{B5477447-6FBE-4B0E-AEA3-79BC7FAF1A51}"/>
    <cellStyle name="Normal 2 4 2 3 2 2 2 4 2 3" xfId="12294" xr:uid="{8FEC054C-2A20-46D4-B55B-D3E9E0449081}"/>
    <cellStyle name="Normal 2 4 2 3 2 2 2 4 3" xfId="5917" xr:uid="{00000000-0005-0000-0000-0000A60E0000}"/>
    <cellStyle name="Normal 2 4 2 3 2 2 2 4 3 2" xfId="14367" xr:uid="{1721E98F-213B-4605-A1C4-E784B6068542}"/>
    <cellStyle name="Normal 2 4 2 3 2 2 2 4 4" xfId="10149" xr:uid="{81C7D5CA-6DF8-4351-9C71-03790D82F722}"/>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6925" xr:uid="{5A728F9B-0F51-43F7-8598-173701C0AB03}"/>
    <cellStyle name="Normal 2 4 2 3 2 2 2 5 2 3" xfId="12707" xr:uid="{C4279B7D-7022-4720-859C-A074049DE0C2}"/>
    <cellStyle name="Normal 2 4 2 3 2 2 2 5 3" xfId="6330" xr:uid="{00000000-0005-0000-0000-0000AA0E0000}"/>
    <cellStyle name="Normal 2 4 2 3 2 2 2 5 3 2" xfId="14780" xr:uid="{1EF0F38A-2E88-43F1-B4D1-FCB6221B1B48}"/>
    <cellStyle name="Normal 2 4 2 3 2 2 2 5 4" xfId="10562" xr:uid="{AC01419F-055C-4EF0-99F1-F485EF673CCE}"/>
    <cellStyle name="Normal 2 4 2 3 2 2 2 6" xfId="2460" xr:uid="{00000000-0005-0000-0000-0000AB0E0000}"/>
    <cellStyle name="Normal 2 4 2 3 2 2 2 6 2" xfId="6743" xr:uid="{00000000-0005-0000-0000-0000AC0E0000}"/>
    <cellStyle name="Normal 2 4 2 3 2 2 2 6 2 2" xfId="15193" xr:uid="{A33715B5-AF1D-4129-A737-A3A1C5FB3C3F}"/>
    <cellStyle name="Normal 2 4 2 3 2 2 2 6 3" xfId="10975" xr:uid="{7AB47DDA-25C6-4A39-A805-9A5488D83DF1}"/>
    <cellStyle name="Normal 2 4 2 3 2 2 2 7" xfId="4677" xr:uid="{00000000-0005-0000-0000-0000AD0E0000}"/>
    <cellStyle name="Normal 2 4 2 3 2 2 2 7 2" xfId="13127" xr:uid="{5CE13491-D9BA-4DE5-B4C8-8A68249CD9C7}"/>
    <cellStyle name="Normal 2 4 2 3 2 2 2 8" xfId="8909" xr:uid="{B88F86AB-FECC-4A1C-9A01-136D9E8CCDE6}"/>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5685" xr:uid="{F725C44E-D3C9-4546-9EE8-751197975EB0}"/>
    <cellStyle name="Normal 2 4 2 3 2 2 3 2 3" xfId="11467" xr:uid="{8FFBBFD8-5330-45F1-849F-C808A066CE6A}"/>
    <cellStyle name="Normal 2 4 2 3 2 2 3 3" xfId="5090" xr:uid="{00000000-0005-0000-0000-0000B10E0000}"/>
    <cellStyle name="Normal 2 4 2 3 2 2 3 3 2" xfId="13540" xr:uid="{4CF022D2-EB05-4146-8881-CF51F9A03FF3}"/>
    <cellStyle name="Normal 2 4 2 3 2 2 3 4" xfId="9322" xr:uid="{D81FEB49-F400-46AC-8722-F0F15177EE3B}"/>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098" xr:uid="{64005E12-4538-48F4-A906-6C2BC472B587}"/>
    <cellStyle name="Normal 2 4 2 3 2 2 4 2 3" xfId="11880" xr:uid="{2379C394-0D29-43E6-A22A-CC50CB274D89}"/>
    <cellStyle name="Normal 2 4 2 3 2 2 4 3" xfId="5503" xr:uid="{00000000-0005-0000-0000-0000B50E0000}"/>
    <cellStyle name="Normal 2 4 2 3 2 2 4 3 2" xfId="13953" xr:uid="{DAEBA63D-C87F-406A-80C2-D3F58DCADB05}"/>
    <cellStyle name="Normal 2 4 2 3 2 2 4 4" xfId="9735" xr:uid="{6B551FD7-BC05-4858-9326-5BC403318C5C}"/>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6511" xr:uid="{A575DE0F-0347-43AF-9BD0-EB6D2E602C45}"/>
    <cellStyle name="Normal 2 4 2 3 2 2 5 2 3" xfId="12293" xr:uid="{4BD6DE59-FCD6-41E8-924F-668845BC80ED}"/>
    <cellStyle name="Normal 2 4 2 3 2 2 5 3" xfId="5916" xr:uid="{00000000-0005-0000-0000-0000B90E0000}"/>
    <cellStyle name="Normal 2 4 2 3 2 2 5 3 2" xfId="14366" xr:uid="{C414B55F-FF01-48E1-BD2E-E527720E6A92}"/>
    <cellStyle name="Normal 2 4 2 3 2 2 5 4" xfId="10148" xr:uid="{BFF1DE41-09FE-4081-AA49-C220372F7005}"/>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6924" xr:uid="{C433449F-8415-4BBC-AC2F-376D636F2F24}"/>
    <cellStyle name="Normal 2 4 2 3 2 2 6 2 3" xfId="12706" xr:uid="{D0B13DDF-203C-4C05-89EB-87E7A1BFAA5D}"/>
    <cellStyle name="Normal 2 4 2 3 2 2 6 3" xfId="6329" xr:uid="{00000000-0005-0000-0000-0000BD0E0000}"/>
    <cellStyle name="Normal 2 4 2 3 2 2 6 3 2" xfId="14779" xr:uid="{86ED8891-3002-4AE8-979C-D397E0A54963}"/>
    <cellStyle name="Normal 2 4 2 3 2 2 6 4" xfId="10561" xr:uid="{DD644A30-4917-43B0-ACC0-73CF3F79C585}"/>
    <cellStyle name="Normal 2 4 2 3 2 2 7" xfId="2459" xr:uid="{00000000-0005-0000-0000-0000BE0E0000}"/>
    <cellStyle name="Normal 2 4 2 3 2 2 7 2" xfId="6742" xr:uid="{00000000-0005-0000-0000-0000BF0E0000}"/>
    <cellStyle name="Normal 2 4 2 3 2 2 7 2 2" xfId="15192" xr:uid="{4A782CD5-30A7-4866-9C2D-D64BC1BA8312}"/>
    <cellStyle name="Normal 2 4 2 3 2 2 7 3" xfId="10974" xr:uid="{83992219-B0EE-4FD5-ABC3-FE5D3A917C09}"/>
    <cellStyle name="Normal 2 4 2 3 2 2 8" xfId="4676" xr:uid="{00000000-0005-0000-0000-0000C00E0000}"/>
    <cellStyle name="Normal 2 4 2 3 2 2 8 2" xfId="13126" xr:uid="{06ABEE8A-0087-4BC9-9730-87D5B8E3E7AB}"/>
    <cellStyle name="Normal 2 4 2 3 2 2 9" xfId="8908" xr:uid="{352940C0-F125-4E67-AD93-823A387D4135}"/>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5687" xr:uid="{3B23A299-321E-4253-892E-77AEEB4FD273}"/>
    <cellStyle name="Normal 2 4 2 3 2 3 2 2 3" xfId="11469" xr:uid="{69730B8C-4AD2-42FA-A15D-D87BE960A7ED}"/>
    <cellStyle name="Normal 2 4 2 3 2 3 2 3" xfId="5092" xr:uid="{00000000-0005-0000-0000-0000C50E0000}"/>
    <cellStyle name="Normal 2 4 2 3 2 3 2 3 2" xfId="13542" xr:uid="{BEAC6A23-2859-4E60-9218-CFAAB59276B6}"/>
    <cellStyle name="Normal 2 4 2 3 2 3 2 4" xfId="9324" xr:uid="{1D155467-F82C-4817-9600-C408D488C511}"/>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100" xr:uid="{BE1B89D7-053E-48C3-954E-058F3B7DCFD5}"/>
    <cellStyle name="Normal 2 4 2 3 2 3 3 2 3" xfId="11882" xr:uid="{FBD53B5D-7AF2-47ED-A011-0AC89288DDCF}"/>
    <cellStyle name="Normal 2 4 2 3 2 3 3 3" xfId="5505" xr:uid="{00000000-0005-0000-0000-0000C90E0000}"/>
    <cellStyle name="Normal 2 4 2 3 2 3 3 3 2" xfId="13955" xr:uid="{C0E8B516-EA21-4E74-B77F-417A2BAE8340}"/>
    <cellStyle name="Normal 2 4 2 3 2 3 3 4" xfId="9737" xr:uid="{D1C306FF-EBD1-4AB9-A64F-4C7E3D2F80B9}"/>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6513" xr:uid="{68B60EB3-BEB6-4CFA-93CC-3F243D6A67F2}"/>
    <cellStyle name="Normal 2 4 2 3 2 3 4 2 3" xfId="12295" xr:uid="{795C0AC9-96CD-49B8-AF68-8C221942829A}"/>
    <cellStyle name="Normal 2 4 2 3 2 3 4 3" xfId="5918" xr:uid="{00000000-0005-0000-0000-0000CD0E0000}"/>
    <cellStyle name="Normal 2 4 2 3 2 3 4 3 2" xfId="14368" xr:uid="{E7F4B46B-8DA0-493B-B3B7-F0A92CD64C66}"/>
    <cellStyle name="Normal 2 4 2 3 2 3 4 4" xfId="10150" xr:uid="{E122F227-3739-48D5-8CB0-C476BBB3B142}"/>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6926" xr:uid="{A537324B-2A7C-4BC6-9C2D-01F34E882F2A}"/>
    <cellStyle name="Normal 2 4 2 3 2 3 5 2 3" xfId="12708" xr:uid="{7CE38665-5981-4982-866B-5E3CCAB3339B}"/>
    <cellStyle name="Normal 2 4 2 3 2 3 5 3" xfId="6331" xr:uid="{00000000-0005-0000-0000-0000D10E0000}"/>
    <cellStyle name="Normal 2 4 2 3 2 3 5 3 2" xfId="14781" xr:uid="{B4710650-E489-4FF3-BFCD-7D745D496204}"/>
    <cellStyle name="Normal 2 4 2 3 2 3 5 4" xfId="10563" xr:uid="{F5CA8F88-16F5-4BCF-A517-BCBF49EE5FAE}"/>
    <cellStyle name="Normal 2 4 2 3 2 3 6" xfId="2461" xr:uid="{00000000-0005-0000-0000-0000D20E0000}"/>
    <cellStyle name="Normal 2 4 2 3 2 3 6 2" xfId="6744" xr:uid="{00000000-0005-0000-0000-0000D30E0000}"/>
    <cellStyle name="Normal 2 4 2 3 2 3 6 2 2" xfId="15194" xr:uid="{2A1FB709-49DB-41DE-B4AD-A1A7386DEFDA}"/>
    <cellStyle name="Normal 2 4 2 3 2 3 6 3" xfId="10976" xr:uid="{3BF75D91-A075-4AE2-A997-FF4A0F02D537}"/>
    <cellStyle name="Normal 2 4 2 3 2 3 7" xfId="4678" xr:uid="{00000000-0005-0000-0000-0000D40E0000}"/>
    <cellStyle name="Normal 2 4 2 3 2 3 7 2" xfId="13128" xr:uid="{E9709E84-187B-47D0-81E1-2B03BC2C6222}"/>
    <cellStyle name="Normal 2 4 2 3 2 3 8" xfId="8910" xr:uid="{9C63CE22-A164-47B4-8C51-78D0BB29B781}"/>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5684" xr:uid="{7B4A2661-93FF-4C85-A741-9FD86A0F80FC}"/>
    <cellStyle name="Normal 2 4 2 3 2 4 2 3" xfId="11466" xr:uid="{B2FE6440-EB78-4B9F-AEB0-3699D0C91BB2}"/>
    <cellStyle name="Normal 2 4 2 3 2 4 3" xfId="5089" xr:uid="{00000000-0005-0000-0000-0000D80E0000}"/>
    <cellStyle name="Normal 2 4 2 3 2 4 3 2" xfId="13539" xr:uid="{7A10CCF7-7F51-4C66-971F-87C42A16EA15}"/>
    <cellStyle name="Normal 2 4 2 3 2 4 4" xfId="9321" xr:uid="{115565E5-DFE1-4560-951D-D62E85574DDE}"/>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097" xr:uid="{BF817A04-060B-4142-B285-F86B892AB408}"/>
    <cellStyle name="Normal 2 4 2 3 2 5 2 3" xfId="11879" xr:uid="{F5F33252-CA2A-4FDF-AD37-372C3A9760B2}"/>
    <cellStyle name="Normal 2 4 2 3 2 5 3" xfId="5502" xr:uid="{00000000-0005-0000-0000-0000DC0E0000}"/>
    <cellStyle name="Normal 2 4 2 3 2 5 3 2" xfId="13952" xr:uid="{92EF4B3E-012D-4610-9AFF-F5318A5D5424}"/>
    <cellStyle name="Normal 2 4 2 3 2 5 4" xfId="9734" xr:uid="{6C2375B9-06AF-4F0F-B30B-A50160916325}"/>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6510" xr:uid="{C8A98B11-A302-4FAB-A3D5-20AA8246B5E4}"/>
    <cellStyle name="Normal 2 4 2 3 2 6 2 3" xfId="12292" xr:uid="{E7764FC2-3487-4232-8705-C8006B0FAB3A}"/>
    <cellStyle name="Normal 2 4 2 3 2 6 3" xfId="5915" xr:uid="{00000000-0005-0000-0000-0000E00E0000}"/>
    <cellStyle name="Normal 2 4 2 3 2 6 3 2" xfId="14365" xr:uid="{23702412-3762-4CC1-8926-4237366467C4}"/>
    <cellStyle name="Normal 2 4 2 3 2 6 4" xfId="10147" xr:uid="{2D195EC7-1778-465C-895B-DD8E56FB502B}"/>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6923" xr:uid="{E34A07AD-EE60-4AAA-8783-2CEAD8623063}"/>
    <cellStyle name="Normal 2 4 2 3 2 7 2 3" xfId="12705" xr:uid="{ACD881BD-CB7B-4EC6-8B56-7E9F108AFA31}"/>
    <cellStyle name="Normal 2 4 2 3 2 7 3" xfId="6328" xr:uid="{00000000-0005-0000-0000-0000E40E0000}"/>
    <cellStyle name="Normal 2 4 2 3 2 7 3 2" xfId="14778" xr:uid="{3A7E1944-D7EE-4C04-8902-6503572F8CD0}"/>
    <cellStyle name="Normal 2 4 2 3 2 7 4" xfId="10560" xr:uid="{747EDF17-6DFD-4E1F-B48E-E17A911B55DE}"/>
    <cellStyle name="Normal 2 4 2 3 2 8" xfId="2458" xr:uid="{00000000-0005-0000-0000-0000E50E0000}"/>
    <cellStyle name="Normal 2 4 2 3 2 8 2" xfId="6741" xr:uid="{00000000-0005-0000-0000-0000E60E0000}"/>
    <cellStyle name="Normal 2 4 2 3 2 8 2 2" xfId="15191" xr:uid="{3D8D7CBC-9629-413E-BA9B-3AC7A3F972E9}"/>
    <cellStyle name="Normal 2 4 2 3 2 8 3" xfId="10973" xr:uid="{A885278D-F1AC-4021-AF9E-25BEDEB89903}"/>
    <cellStyle name="Normal 2 4 2 3 2 9" xfId="4675" xr:uid="{00000000-0005-0000-0000-0000E70E0000}"/>
    <cellStyle name="Normal 2 4 2 3 2 9 2" xfId="13125" xr:uid="{9D9EDECA-3818-4EDA-85E1-F72D34B9ED68}"/>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5689" xr:uid="{62CB5605-6433-4594-A2BF-F5D79D8717CB}"/>
    <cellStyle name="Normal 2 4 2 3 3 2 2 2 3" xfId="11471" xr:uid="{CCAFF115-5EE3-4164-9F86-32AF226E5824}"/>
    <cellStyle name="Normal 2 4 2 3 3 2 2 3" xfId="5094" xr:uid="{00000000-0005-0000-0000-0000ED0E0000}"/>
    <cellStyle name="Normal 2 4 2 3 3 2 2 3 2" xfId="13544" xr:uid="{C3A67B99-59CF-4EF7-8F19-BACC4355768C}"/>
    <cellStyle name="Normal 2 4 2 3 3 2 2 4" xfId="9326" xr:uid="{4173CA39-A9A1-4AEB-AF66-DF388E3B0912}"/>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102" xr:uid="{5DADE56F-A7B4-4242-9301-C836C230A8A8}"/>
    <cellStyle name="Normal 2 4 2 3 3 2 3 2 3" xfId="11884" xr:uid="{A8749FD9-B130-4D90-B9AD-6E3DB2A73B8E}"/>
    <cellStyle name="Normal 2 4 2 3 3 2 3 3" xfId="5507" xr:uid="{00000000-0005-0000-0000-0000F10E0000}"/>
    <cellStyle name="Normal 2 4 2 3 3 2 3 3 2" xfId="13957" xr:uid="{8D315D78-205E-4444-893A-9D4E7088842B}"/>
    <cellStyle name="Normal 2 4 2 3 3 2 3 4" xfId="9739" xr:uid="{D87C45BC-AB6C-40E4-B698-4864EF4322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6515" xr:uid="{87547652-8EB8-4BE0-A292-484024E20226}"/>
    <cellStyle name="Normal 2 4 2 3 3 2 4 2 3" xfId="12297" xr:uid="{A034CD6B-7CA9-4F4F-A0B8-4C0807B7A5B9}"/>
    <cellStyle name="Normal 2 4 2 3 3 2 4 3" xfId="5920" xr:uid="{00000000-0005-0000-0000-0000F50E0000}"/>
    <cellStyle name="Normal 2 4 2 3 3 2 4 3 2" xfId="14370" xr:uid="{B75A13B6-4029-48FF-95CB-E2DBB5068FCE}"/>
    <cellStyle name="Normal 2 4 2 3 3 2 4 4" xfId="10152" xr:uid="{A07E49C9-71F6-4750-BC64-021AA2A8EC12}"/>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6928" xr:uid="{E6BCB859-EDA7-45B0-8AFA-620C3729EC25}"/>
    <cellStyle name="Normal 2 4 2 3 3 2 5 2 3" xfId="12710" xr:uid="{2B9DB4B5-7BA6-4ADA-A334-7D8921651C00}"/>
    <cellStyle name="Normal 2 4 2 3 3 2 5 3" xfId="6333" xr:uid="{00000000-0005-0000-0000-0000F90E0000}"/>
    <cellStyle name="Normal 2 4 2 3 3 2 5 3 2" xfId="14783" xr:uid="{20D83E13-D626-4F58-A1C6-F2FBA53014A5}"/>
    <cellStyle name="Normal 2 4 2 3 3 2 5 4" xfId="10565" xr:uid="{27CE2E25-0120-4211-A5AA-A31B10567DBE}"/>
    <cellStyle name="Normal 2 4 2 3 3 2 6" xfId="2463" xr:uid="{00000000-0005-0000-0000-0000FA0E0000}"/>
    <cellStyle name="Normal 2 4 2 3 3 2 6 2" xfId="6746" xr:uid="{00000000-0005-0000-0000-0000FB0E0000}"/>
    <cellStyle name="Normal 2 4 2 3 3 2 6 2 2" xfId="15196" xr:uid="{3EFD7130-9C23-4CEE-9F30-3D63A707B81F}"/>
    <cellStyle name="Normal 2 4 2 3 3 2 6 3" xfId="10978" xr:uid="{37CE9723-B75F-4294-AA31-A7A147D0A677}"/>
    <cellStyle name="Normal 2 4 2 3 3 2 7" xfId="4680" xr:uid="{00000000-0005-0000-0000-0000FC0E0000}"/>
    <cellStyle name="Normal 2 4 2 3 3 2 7 2" xfId="13130" xr:uid="{264AAD5A-17C7-4608-88F5-103C20CEF2B1}"/>
    <cellStyle name="Normal 2 4 2 3 3 2 8" xfId="8912" xr:uid="{A5CC5CF2-A762-4E10-B1F1-E7267C9A6034}"/>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5688" xr:uid="{9286A14B-2A88-48A5-B34D-236D2CFC4A9B}"/>
    <cellStyle name="Normal 2 4 2 3 3 3 2 3" xfId="11470" xr:uid="{F4016835-5255-4C93-957A-DF7F87D6EB74}"/>
    <cellStyle name="Normal 2 4 2 3 3 3 3" xfId="5093" xr:uid="{00000000-0005-0000-0000-0000000F0000}"/>
    <cellStyle name="Normal 2 4 2 3 3 3 3 2" xfId="13543" xr:uid="{437DAB3E-16C0-41CC-8E4D-BA47AA996819}"/>
    <cellStyle name="Normal 2 4 2 3 3 3 4" xfId="9325" xr:uid="{A3EE3B7C-471E-4C75-882C-C02C08DDF81E}"/>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101" xr:uid="{85056F1D-F75D-4EAD-8339-CE5212499940}"/>
    <cellStyle name="Normal 2 4 2 3 3 4 2 3" xfId="11883" xr:uid="{E08E935E-FC60-48DE-B054-8ECEFC0F5115}"/>
    <cellStyle name="Normal 2 4 2 3 3 4 3" xfId="5506" xr:uid="{00000000-0005-0000-0000-0000040F0000}"/>
    <cellStyle name="Normal 2 4 2 3 3 4 3 2" xfId="13956" xr:uid="{2FD209BB-1471-4FD7-AAB0-59A9A9AC4F0E}"/>
    <cellStyle name="Normal 2 4 2 3 3 4 4" xfId="9738" xr:uid="{B735C8A8-C5AE-430A-814F-9E4CDAFCB995}"/>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6514" xr:uid="{3649B2F3-073F-4136-A174-E394CFF347B7}"/>
    <cellStyle name="Normal 2 4 2 3 3 5 2 3" xfId="12296" xr:uid="{BC3BFD01-47CC-42C5-9C68-817A6CFFB30A}"/>
    <cellStyle name="Normal 2 4 2 3 3 5 3" xfId="5919" xr:uid="{00000000-0005-0000-0000-0000080F0000}"/>
    <cellStyle name="Normal 2 4 2 3 3 5 3 2" xfId="14369" xr:uid="{A96D3BC7-2767-4E44-B60E-B33DC5EE927F}"/>
    <cellStyle name="Normal 2 4 2 3 3 5 4" xfId="10151" xr:uid="{513D097A-7348-4A38-AD7E-0FCF5B1CCC83}"/>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6927" xr:uid="{B9D6CC90-4B2B-4B04-9980-DF8226BF2CA6}"/>
    <cellStyle name="Normal 2 4 2 3 3 6 2 3" xfId="12709" xr:uid="{B078CC29-FF5E-470D-A769-950EB9B4AE7B}"/>
    <cellStyle name="Normal 2 4 2 3 3 6 3" xfId="6332" xr:uid="{00000000-0005-0000-0000-00000C0F0000}"/>
    <cellStyle name="Normal 2 4 2 3 3 6 3 2" xfId="14782" xr:uid="{0974BC74-BC78-410D-B47B-583415F67101}"/>
    <cellStyle name="Normal 2 4 2 3 3 6 4" xfId="10564" xr:uid="{98B263BD-EF44-4D0F-8842-656CD96F847D}"/>
    <cellStyle name="Normal 2 4 2 3 3 7" xfId="2462" xr:uid="{00000000-0005-0000-0000-00000D0F0000}"/>
    <cellStyle name="Normal 2 4 2 3 3 7 2" xfId="6745" xr:uid="{00000000-0005-0000-0000-00000E0F0000}"/>
    <cellStyle name="Normal 2 4 2 3 3 7 2 2" xfId="15195" xr:uid="{D53F3ADE-3E52-4ABF-BDE3-E2568837BF76}"/>
    <cellStyle name="Normal 2 4 2 3 3 7 3" xfId="10977" xr:uid="{7B9CD22A-37FB-4C8C-A4EB-4EA8D4CDAF58}"/>
    <cellStyle name="Normal 2 4 2 3 3 8" xfId="4679" xr:uid="{00000000-0005-0000-0000-00000F0F0000}"/>
    <cellStyle name="Normal 2 4 2 3 3 8 2" xfId="13129" xr:uid="{E516FC95-25DE-4AC7-B0E9-7A11598B2824}"/>
    <cellStyle name="Normal 2 4 2 3 3 9" xfId="8911" xr:uid="{C0540A58-41DC-46E0-842C-4CA4AEE740F6}"/>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5690" xr:uid="{A1BD33FC-B9D5-493F-8367-2F3D2B607223}"/>
    <cellStyle name="Normal 2 4 2 3 4 2 2 3" xfId="11472" xr:uid="{941D173D-A262-474F-BE7A-98BEA5B47DD7}"/>
    <cellStyle name="Normal 2 4 2 3 4 2 3" xfId="5095" xr:uid="{00000000-0005-0000-0000-0000140F0000}"/>
    <cellStyle name="Normal 2 4 2 3 4 2 3 2" xfId="13545" xr:uid="{A0EA18F3-5AA3-447B-8879-78E9A13AAE35}"/>
    <cellStyle name="Normal 2 4 2 3 4 2 4" xfId="9327" xr:uid="{2906AF8F-5F71-4A39-AC17-3E651A4353B6}"/>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103" xr:uid="{281C7300-168E-4B77-9FF3-25E943E54CF9}"/>
    <cellStyle name="Normal 2 4 2 3 4 3 2 3" xfId="11885" xr:uid="{6520D42A-4CAD-463A-A35D-B99538CC29EA}"/>
    <cellStyle name="Normal 2 4 2 3 4 3 3" xfId="5508" xr:uid="{00000000-0005-0000-0000-0000180F0000}"/>
    <cellStyle name="Normal 2 4 2 3 4 3 3 2" xfId="13958" xr:uid="{6251116B-F187-4C14-AB6E-0103A1BC925A}"/>
    <cellStyle name="Normal 2 4 2 3 4 3 4" xfId="9740" xr:uid="{4C66CD4A-C852-498C-947C-3733A86D99FC}"/>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6516" xr:uid="{6F398906-C13F-4631-95C1-9CC4F8E4EEE1}"/>
    <cellStyle name="Normal 2 4 2 3 4 4 2 3" xfId="12298" xr:uid="{6F719106-1B32-4AE2-9103-F2CE578C38E8}"/>
    <cellStyle name="Normal 2 4 2 3 4 4 3" xfId="5921" xr:uid="{00000000-0005-0000-0000-00001C0F0000}"/>
    <cellStyle name="Normal 2 4 2 3 4 4 3 2" xfId="14371" xr:uid="{01E08155-CE30-4B02-9816-527078DEF318}"/>
    <cellStyle name="Normal 2 4 2 3 4 4 4" xfId="10153" xr:uid="{69E5D191-36FD-4EB4-866B-F10E33055DC7}"/>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6929" xr:uid="{B76A84A2-E568-4B32-B4F9-70EAD8C7160E}"/>
    <cellStyle name="Normal 2 4 2 3 4 5 2 3" xfId="12711" xr:uid="{E950F4CA-4BB7-427B-978E-CAD399BCF5CD}"/>
    <cellStyle name="Normal 2 4 2 3 4 5 3" xfId="6334" xr:uid="{00000000-0005-0000-0000-0000200F0000}"/>
    <cellStyle name="Normal 2 4 2 3 4 5 3 2" xfId="14784" xr:uid="{BA4312FC-F127-4B3E-8E76-4233CC4463E1}"/>
    <cellStyle name="Normal 2 4 2 3 4 5 4" xfId="10566" xr:uid="{4A03168F-BE20-4DBA-82F5-8139E83B4556}"/>
    <cellStyle name="Normal 2 4 2 3 4 6" xfId="2464" xr:uid="{00000000-0005-0000-0000-0000210F0000}"/>
    <cellStyle name="Normal 2 4 2 3 4 6 2" xfId="6747" xr:uid="{00000000-0005-0000-0000-0000220F0000}"/>
    <cellStyle name="Normal 2 4 2 3 4 6 2 2" xfId="15197" xr:uid="{EA082CCE-BF5C-48EE-9E36-ABB310D65E3D}"/>
    <cellStyle name="Normal 2 4 2 3 4 6 3" xfId="10979" xr:uid="{134538BB-7273-4042-A3AB-C8D83A0A4DE7}"/>
    <cellStyle name="Normal 2 4 2 3 4 7" xfId="4681" xr:uid="{00000000-0005-0000-0000-0000230F0000}"/>
    <cellStyle name="Normal 2 4 2 3 4 7 2" xfId="13131" xr:uid="{610C36F6-F858-4E55-B863-5E48CCD5FAB5}"/>
    <cellStyle name="Normal 2 4 2 3 4 8" xfId="8913" xr:uid="{94A1C948-801F-4E0B-95DA-3D1776455BEA}"/>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5683" xr:uid="{AC50FC10-F463-4508-B94D-F0AD122C4C73}"/>
    <cellStyle name="Normal 2 4 2 3 5 2 3" xfId="11465" xr:uid="{A8EC795A-977E-4152-884C-A527E877ADA2}"/>
    <cellStyle name="Normal 2 4 2 3 5 3" xfId="5088" xr:uid="{00000000-0005-0000-0000-0000270F0000}"/>
    <cellStyle name="Normal 2 4 2 3 5 3 2" xfId="13538" xr:uid="{8950C010-F678-4BF8-95AF-BB68A3BA3074}"/>
    <cellStyle name="Normal 2 4 2 3 5 4" xfId="9320" xr:uid="{6F6E6762-7CCF-44AE-8BF9-7DE304976DE7}"/>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096" xr:uid="{5BB52E4D-AD5B-4D78-8AF7-154C5159C1D7}"/>
    <cellStyle name="Normal 2 4 2 3 6 2 3" xfId="11878" xr:uid="{A714EB38-1215-4DD6-87D3-544E658BADC3}"/>
    <cellStyle name="Normal 2 4 2 3 6 3" xfId="5501" xr:uid="{00000000-0005-0000-0000-00002B0F0000}"/>
    <cellStyle name="Normal 2 4 2 3 6 3 2" xfId="13951" xr:uid="{6C4C6EA1-4066-49CF-85FF-42DFC73618FE}"/>
    <cellStyle name="Normal 2 4 2 3 6 4" xfId="9733" xr:uid="{182B4A30-D069-4059-9571-DB993CD7A1B0}"/>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6509" xr:uid="{FCB0203A-07E9-435C-9E39-E5CB30480CCD}"/>
    <cellStyle name="Normal 2 4 2 3 7 2 3" xfId="12291" xr:uid="{7F66A494-A559-4AD4-8CB2-EB6E8E9C57D4}"/>
    <cellStyle name="Normal 2 4 2 3 7 3" xfId="5914" xr:uid="{00000000-0005-0000-0000-00002F0F0000}"/>
    <cellStyle name="Normal 2 4 2 3 7 3 2" xfId="14364" xr:uid="{BE819714-ACF5-4218-AE08-33B81906AAC0}"/>
    <cellStyle name="Normal 2 4 2 3 7 4" xfId="10146" xr:uid="{BAB6F671-4E7C-428F-ABCF-A01D89EC5820}"/>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6922" xr:uid="{79613506-FD5B-43BA-A02A-C771627B17CD}"/>
    <cellStyle name="Normal 2 4 2 3 8 2 3" xfId="12704" xr:uid="{B16A40FD-61D5-4F67-B9E3-773091968D51}"/>
    <cellStyle name="Normal 2 4 2 3 8 3" xfId="6327" xr:uid="{00000000-0005-0000-0000-0000330F0000}"/>
    <cellStyle name="Normal 2 4 2 3 8 3 2" xfId="14777" xr:uid="{19D4AD95-F2CA-4E5E-A238-373966F86DD9}"/>
    <cellStyle name="Normal 2 4 2 3 8 4" xfId="10559" xr:uid="{E1A3AF46-4647-4CBB-94DC-499DCF773A60}"/>
    <cellStyle name="Normal 2 4 2 3 9" xfId="2457" xr:uid="{00000000-0005-0000-0000-0000340F0000}"/>
    <cellStyle name="Normal 2 4 2 3 9 2" xfId="6740" xr:uid="{00000000-0005-0000-0000-0000350F0000}"/>
    <cellStyle name="Normal 2 4 2 3 9 2 2" xfId="15190" xr:uid="{43552848-1073-48ED-A63D-0E2BB11D2EBC}"/>
    <cellStyle name="Normal 2 4 2 3 9 3" xfId="10972" xr:uid="{1E2AC3E7-DCA6-4B7A-BF0B-273212481E70}"/>
    <cellStyle name="Normal 2 4 2 4" xfId="289" xr:uid="{00000000-0005-0000-0000-0000360F0000}"/>
    <cellStyle name="Normal 2 4 2 4 10" xfId="8914" xr:uid="{277C7EB4-AB38-49A1-94E2-A71268A224D6}"/>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5693" xr:uid="{4E4A354B-1636-4092-9148-84D7BD7C7958}"/>
    <cellStyle name="Normal 2 4 2 4 2 2 2 2 3" xfId="11475" xr:uid="{AEF07EAE-7088-4537-876E-867C6DBF0EA7}"/>
    <cellStyle name="Normal 2 4 2 4 2 2 2 3" xfId="5098" xr:uid="{00000000-0005-0000-0000-00003C0F0000}"/>
    <cellStyle name="Normal 2 4 2 4 2 2 2 3 2" xfId="13548" xr:uid="{25D76BA6-9390-4700-897A-5C9D6799C8E5}"/>
    <cellStyle name="Normal 2 4 2 4 2 2 2 4" xfId="9330" xr:uid="{783224CC-89F0-4272-9D99-3CE481224DF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106" xr:uid="{D2D3461A-5823-42E2-8607-05277BB0562F}"/>
    <cellStyle name="Normal 2 4 2 4 2 2 3 2 3" xfId="11888" xr:uid="{C1C1852E-0D62-4D48-B4CA-47F49424E1D7}"/>
    <cellStyle name="Normal 2 4 2 4 2 2 3 3" xfId="5511" xr:uid="{00000000-0005-0000-0000-0000400F0000}"/>
    <cellStyle name="Normal 2 4 2 4 2 2 3 3 2" xfId="13961" xr:uid="{ABF58C3A-6BB4-41F9-A6E6-EEBCEEC4F94D}"/>
    <cellStyle name="Normal 2 4 2 4 2 2 3 4" xfId="9743" xr:uid="{7010FFE8-66EE-487F-9084-223CAA61FCA6}"/>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6519" xr:uid="{3408B2B3-DA42-4D07-8345-934865D19CF7}"/>
    <cellStyle name="Normal 2 4 2 4 2 2 4 2 3" xfId="12301" xr:uid="{606A01DA-6E8B-4875-B2BF-B5711699C782}"/>
    <cellStyle name="Normal 2 4 2 4 2 2 4 3" xfId="5924" xr:uid="{00000000-0005-0000-0000-0000440F0000}"/>
    <cellStyle name="Normal 2 4 2 4 2 2 4 3 2" xfId="14374" xr:uid="{567C7484-5D34-45F4-BEDB-03E4B79F70D9}"/>
    <cellStyle name="Normal 2 4 2 4 2 2 4 4" xfId="10156" xr:uid="{99C6A092-2F65-4ECC-98C4-DEB757996216}"/>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6932" xr:uid="{482373CA-E19A-4AE4-B132-D8A578CB15B2}"/>
    <cellStyle name="Normal 2 4 2 4 2 2 5 2 3" xfId="12714" xr:uid="{796D6D7A-31C5-44BD-8070-96752E82C1B3}"/>
    <cellStyle name="Normal 2 4 2 4 2 2 5 3" xfId="6337" xr:uid="{00000000-0005-0000-0000-0000480F0000}"/>
    <cellStyle name="Normal 2 4 2 4 2 2 5 3 2" xfId="14787" xr:uid="{808A8B28-2B29-4E26-B05E-3C00033FCDC8}"/>
    <cellStyle name="Normal 2 4 2 4 2 2 5 4" xfId="10569" xr:uid="{6326852F-E572-4A35-A76D-E6A7F5FDD8A9}"/>
    <cellStyle name="Normal 2 4 2 4 2 2 6" xfId="2467" xr:uid="{00000000-0005-0000-0000-0000490F0000}"/>
    <cellStyle name="Normal 2 4 2 4 2 2 6 2" xfId="6750" xr:uid="{00000000-0005-0000-0000-00004A0F0000}"/>
    <cellStyle name="Normal 2 4 2 4 2 2 6 2 2" xfId="15200" xr:uid="{14BC1FB4-4FA0-4B15-8AC6-E327D72B3F6E}"/>
    <cellStyle name="Normal 2 4 2 4 2 2 6 3" xfId="10982" xr:uid="{C0BBB3CA-7C04-478E-942E-0F2A238A94F1}"/>
    <cellStyle name="Normal 2 4 2 4 2 2 7" xfId="4684" xr:uid="{00000000-0005-0000-0000-00004B0F0000}"/>
    <cellStyle name="Normal 2 4 2 4 2 2 7 2" xfId="13134" xr:uid="{1932E411-B054-4CC5-AB51-211D0F70B0D8}"/>
    <cellStyle name="Normal 2 4 2 4 2 2 8" xfId="8916" xr:uid="{903A21EB-FAB8-4A61-BE10-2C8FC88853C1}"/>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5692" xr:uid="{279CE016-8F32-4DE8-A075-25486D90D0E2}"/>
    <cellStyle name="Normal 2 4 2 4 2 3 2 3" xfId="11474" xr:uid="{6CCC3E6A-CE6F-4F2C-827B-1FDD1899BC6F}"/>
    <cellStyle name="Normal 2 4 2 4 2 3 3" xfId="5097" xr:uid="{00000000-0005-0000-0000-00004F0F0000}"/>
    <cellStyle name="Normal 2 4 2 4 2 3 3 2" xfId="13547" xr:uid="{6FD74B01-509E-4553-9379-A131442C970A}"/>
    <cellStyle name="Normal 2 4 2 4 2 3 4" xfId="9329" xr:uid="{FFA38B4C-AFDA-4547-A0AC-BDA9B74C348A}"/>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105" xr:uid="{6FCEED18-C2FD-4B2F-B080-DEB695EAEAD5}"/>
    <cellStyle name="Normal 2 4 2 4 2 4 2 3" xfId="11887" xr:uid="{65FC19B4-7C67-448A-BBFC-49A54EA61C80}"/>
    <cellStyle name="Normal 2 4 2 4 2 4 3" xfId="5510" xr:uid="{00000000-0005-0000-0000-0000530F0000}"/>
    <cellStyle name="Normal 2 4 2 4 2 4 3 2" xfId="13960" xr:uid="{DECD1BF1-C465-4D0F-BFA8-D92CA879F630}"/>
    <cellStyle name="Normal 2 4 2 4 2 4 4" xfId="9742" xr:uid="{202E08B8-3462-4BDF-ACED-01170542AAC2}"/>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6518" xr:uid="{4E354B85-CFC0-4B5B-9E42-BF8D9630E388}"/>
    <cellStyle name="Normal 2 4 2 4 2 5 2 3" xfId="12300" xr:uid="{40E7257D-50A2-42B4-A97A-0418A8E4CF11}"/>
    <cellStyle name="Normal 2 4 2 4 2 5 3" xfId="5923" xr:uid="{00000000-0005-0000-0000-0000570F0000}"/>
    <cellStyle name="Normal 2 4 2 4 2 5 3 2" xfId="14373" xr:uid="{456AC279-803C-4843-9B78-2F08198F3227}"/>
    <cellStyle name="Normal 2 4 2 4 2 5 4" xfId="10155" xr:uid="{F89A8C8A-B4D2-48B0-AA84-3D6082A9BCEB}"/>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6931" xr:uid="{3B7B7D5F-0A27-4F46-92F7-EA1423F2D71E}"/>
    <cellStyle name="Normal 2 4 2 4 2 6 2 3" xfId="12713" xr:uid="{43C6B240-C0EE-41CD-A7E3-642660BC9FD0}"/>
    <cellStyle name="Normal 2 4 2 4 2 6 3" xfId="6336" xr:uid="{00000000-0005-0000-0000-00005B0F0000}"/>
    <cellStyle name="Normal 2 4 2 4 2 6 3 2" xfId="14786" xr:uid="{99B9A4D3-ED24-497A-B5B7-4E489AD268D0}"/>
    <cellStyle name="Normal 2 4 2 4 2 6 4" xfId="10568" xr:uid="{49ACB0F4-ABDC-403D-AABA-71928325BA6E}"/>
    <cellStyle name="Normal 2 4 2 4 2 7" xfId="2466" xr:uid="{00000000-0005-0000-0000-00005C0F0000}"/>
    <cellStyle name="Normal 2 4 2 4 2 7 2" xfId="6749" xr:uid="{00000000-0005-0000-0000-00005D0F0000}"/>
    <cellStyle name="Normal 2 4 2 4 2 7 2 2" xfId="15199" xr:uid="{E53F06FA-D055-4F66-BFE8-C789C9D270A6}"/>
    <cellStyle name="Normal 2 4 2 4 2 7 3" xfId="10981" xr:uid="{93ACD4D5-1309-4EA5-8CFB-BE79D6496C20}"/>
    <cellStyle name="Normal 2 4 2 4 2 8" xfId="4683" xr:uid="{00000000-0005-0000-0000-00005E0F0000}"/>
    <cellStyle name="Normal 2 4 2 4 2 8 2" xfId="13133" xr:uid="{9BE38159-9199-460D-89D0-E321BEB0B912}"/>
    <cellStyle name="Normal 2 4 2 4 2 9" xfId="8915" xr:uid="{A3AA866A-7281-4EE8-9F47-45FD2E82662D}"/>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5694" xr:uid="{39152B5D-1BED-49D3-AADC-CD54E52587A6}"/>
    <cellStyle name="Normal 2 4 2 4 3 2 2 3" xfId="11476" xr:uid="{5F7D4CF2-692D-41FF-81DB-8CA7341E1007}"/>
    <cellStyle name="Normal 2 4 2 4 3 2 3" xfId="5099" xr:uid="{00000000-0005-0000-0000-0000630F0000}"/>
    <cellStyle name="Normal 2 4 2 4 3 2 3 2" xfId="13549" xr:uid="{489EA9A3-804A-4C68-B509-0F68F4B2545C}"/>
    <cellStyle name="Normal 2 4 2 4 3 2 4" xfId="9331" xr:uid="{BD85F40A-32D3-44F3-99DA-BB27336FEAB8}"/>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107" xr:uid="{2369AEFB-EC47-4B6D-A22E-8779E198957D}"/>
    <cellStyle name="Normal 2 4 2 4 3 3 2 3" xfId="11889" xr:uid="{BA6B3C94-AAF2-42F8-BD13-76295F3D8EA5}"/>
    <cellStyle name="Normal 2 4 2 4 3 3 3" xfId="5512" xr:uid="{00000000-0005-0000-0000-0000670F0000}"/>
    <cellStyle name="Normal 2 4 2 4 3 3 3 2" xfId="13962" xr:uid="{9FF8ABD0-4AF2-4E3E-A4CE-79EEEAB3B008}"/>
    <cellStyle name="Normal 2 4 2 4 3 3 4" xfId="9744" xr:uid="{F06DBEB5-6C87-4E3B-B75E-E63A1A0F5169}"/>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6520" xr:uid="{26E94177-C180-409B-9724-8DCD3425652C}"/>
    <cellStyle name="Normal 2 4 2 4 3 4 2 3" xfId="12302" xr:uid="{60582687-3CE8-44D7-99F3-AED22B5E726F}"/>
    <cellStyle name="Normal 2 4 2 4 3 4 3" xfId="5925" xr:uid="{00000000-0005-0000-0000-00006B0F0000}"/>
    <cellStyle name="Normal 2 4 2 4 3 4 3 2" xfId="14375" xr:uid="{396E3615-4189-46DB-A2E5-44CEDEB8BC7E}"/>
    <cellStyle name="Normal 2 4 2 4 3 4 4" xfId="10157" xr:uid="{E0A9A460-0893-4692-BA4F-962488449A7E}"/>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6933" xr:uid="{9327F95E-1B8E-4BDA-A9B8-B0AC24EF75D2}"/>
    <cellStyle name="Normal 2 4 2 4 3 5 2 3" xfId="12715" xr:uid="{32882F4A-B30B-4C92-833A-40E245C4CD7D}"/>
    <cellStyle name="Normal 2 4 2 4 3 5 3" xfId="6338" xr:uid="{00000000-0005-0000-0000-00006F0F0000}"/>
    <cellStyle name="Normal 2 4 2 4 3 5 3 2" xfId="14788" xr:uid="{DC40BBB0-49C1-47B1-9865-4EFB1779E19E}"/>
    <cellStyle name="Normal 2 4 2 4 3 5 4" xfId="10570" xr:uid="{2E94F6C2-5755-4C65-BF60-B015C00B5E8A}"/>
    <cellStyle name="Normal 2 4 2 4 3 6" xfId="2468" xr:uid="{00000000-0005-0000-0000-0000700F0000}"/>
    <cellStyle name="Normal 2 4 2 4 3 6 2" xfId="6751" xr:uid="{00000000-0005-0000-0000-0000710F0000}"/>
    <cellStyle name="Normal 2 4 2 4 3 6 2 2" xfId="15201" xr:uid="{F3EA61AF-87C7-4363-AE34-E6F99BF6D786}"/>
    <cellStyle name="Normal 2 4 2 4 3 6 3" xfId="10983" xr:uid="{8C9B434D-4A0B-40CB-830F-137823011D43}"/>
    <cellStyle name="Normal 2 4 2 4 3 7" xfId="4685" xr:uid="{00000000-0005-0000-0000-0000720F0000}"/>
    <cellStyle name="Normal 2 4 2 4 3 7 2" xfId="13135" xr:uid="{BB263DD1-2255-4F30-BDCE-7B1E17AD5FFA}"/>
    <cellStyle name="Normal 2 4 2 4 3 8" xfId="8917" xr:uid="{C3506CDE-A82E-4149-8C38-D1FAF5CD0438}"/>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5691" xr:uid="{03616B70-4196-437E-AE9B-704B9CBE4FBB}"/>
    <cellStyle name="Normal 2 4 2 4 4 2 3" xfId="11473" xr:uid="{48713863-BEF7-4135-8080-C2EDB778A5CC}"/>
    <cellStyle name="Normal 2 4 2 4 4 3" xfId="5096" xr:uid="{00000000-0005-0000-0000-0000760F0000}"/>
    <cellStyle name="Normal 2 4 2 4 4 3 2" xfId="13546" xr:uid="{9948ECAC-1FE9-4B2C-A819-FD5209EB379A}"/>
    <cellStyle name="Normal 2 4 2 4 4 4" xfId="9328" xr:uid="{BF17A201-E2CF-40FB-A182-2597B11DF270}"/>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104" xr:uid="{82C13610-9F66-4D49-8B99-D1FD2C8E2D99}"/>
    <cellStyle name="Normal 2 4 2 4 5 2 3" xfId="11886" xr:uid="{311218A0-85BE-4DB2-90CD-44CC75C6CC7E}"/>
    <cellStyle name="Normal 2 4 2 4 5 3" xfId="5509" xr:uid="{00000000-0005-0000-0000-00007A0F0000}"/>
    <cellStyle name="Normal 2 4 2 4 5 3 2" xfId="13959" xr:uid="{22A281CD-C4DA-4BE3-B8E3-649B5EC8993B}"/>
    <cellStyle name="Normal 2 4 2 4 5 4" xfId="9741" xr:uid="{2BCED825-D408-4E48-A172-56BDA8EAD7BF}"/>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6517" xr:uid="{AA30DC1C-2CF9-4FF1-98A9-8F64BACD1982}"/>
    <cellStyle name="Normal 2 4 2 4 6 2 3" xfId="12299" xr:uid="{BA98612A-364A-428F-BD9F-4D078624941E}"/>
    <cellStyle name="Normal 2 4 2 4 6 3" xfId="5922" xr:uid="{00000000-0005-0000-0000-00007E0F0000}"/>
    <cellStyle name="Normal 2 4 2 4 6 3 2" xfId="14372" xr:uid="{D1E2E017-C0DB-46C5-A743-CE7A6FF8380C}"/>
    <cellStyle name="Normal 2 4 2 4 6 4" xfId="10154" xr:uid="{236C8894-7C7C-4F1B-8CB6-201529CE89B3}"/>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6930" xr:uid="{3087EE02-FD32-4CD3-A73E-D7796B65FDAE}"/>
    <cellStyle name="Normal 2 4 2 4 7 2 3" xfId="12712" xr:uid="{808038D7-54B7-4F12-8CA0-F7B2657C69C3}"/>
    <cellStyle name="Normal 2 4 2 4 7 3" xfId="6335" xr:uid="{00000000-0005-0000-0000-0000820F0000}"/>
    <cellStyle name="Normal 2 4 2 4 7 3 2" xfId="14785" xr:uid="{2C9E5E3F-62AA-4A21-BC19-4B886D778209}"/>
    <cellStyle name="Normal 2 4 2 4 7 4" xfId="10567" xr:uid="{6CF61EC3-2B8F-48EF-BFCA-B49899AF5489}"/>
    <cellStyle name="Normal 2 4 2 4 8" xfId="2465" xr:uid="{00000000-0005-0000-0000-0000830F0000}"/>
    <cellStyle name="Normal 2 4 2 4 8 2" xfId="6748" xr:uid="{00000000-0005-0000-0000-0000840F0000}"/>
    <cellStyle name="Normal 2 4 2 4 8 2 2" xfId="15198" xr:uid="{4EBAAD56-5182-4FB8-8499-F0C442D41D95}"/>
    <cellStyle name="Normal 2 4 2 4 8 3" xfId="10980" xr:uid="{51AAFA90-C235-4E36-ACE9-307397C9593D}"/>
    <cellStyle name="Normal 2 4 2 4 9" xfId="4682" xr:uid="{00000000-0005-0000-0000-0000850F0000}"/>
    <cellStyle name="Normal 2 4 2 4 9 2" xfId="13132" xr:uid="{F34D6B76-6EAA-422E-97E3-424599C59732}"/>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5696" xr:uid="{97B45AFC-0D11-40F2-BDDB-F20DC2FE2E32}"/>
    <cellStyle name="Normal 2 4 2 5 2 2 2 3" xfId="11478" xr:uid="{9070F384-19EB-4EDC-A862-1CACE2D7229A}"/>
    <cellStyle name="Normal 2 4 2 5 2 2 3" xfId="5101" xr:uid="{00000000-0005-0000-0000-00008B0F0000}"/>
    <cellStyle name="Normal 2 4 2 5 2 2 3 2" xfId="13551" xr:uid="{9FF847EC-3259-4BDD-A043-42DBE2B470F7}"/>
    <cellStyle name="Normal 2 4 2 5 2 2 4" xfId="9333" xr:uid="{41622AC5-BB91-4B0E-80E4-DD09E2AEE6DC}"/>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109" xr:uid="{A2B5FDFA-4BD7-4E9F-99A9-DD9D0CED2BBE}"/>
    <cellStyle name="Normal 2 4 2 5 2 3 2 3" xfId="11891" xr:uid="{0CF7DEA2-D98E-4F42-91D1-70C301238136}"/>
    <cellStyle name="Normal 2 4 2 5 2 3 3" xfId="5514" xr:uid="{00000000-0005-0000-0000-00008F0F0000}"/>
    <cellStyle name="Normal 2 4 2 5 2 3 3 2" xfId="13964" xr:uid="{BF9CDD5A-C17C-4DB3-8B90-22B0A8A2171D}"/>
    <cellStyle name="Normal 2 4 2 5 2 3 4" xfId="9746" xr:uid="{A59C39DB-134E-4444-86F7-3CFD30621C41}"/>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6522" xr:uid="{7EBA1837-41E5-45C6-87D7-DE686A4E161E}"/>
    <cellStyle name="Normal 2 4 2 5 2 4 2 3" xfId="12304" xr:uid="{A3BB9F66-5DB1-4332-B351-5A5AD6361D77}"/>
    <cellStyle name="Normal 2 4 2 5 2 4 3" xfId="5927" xr:uid="{00000000-0005-0000-0000-0000930F0000}"/>
    <cellStyle name="Normal 2 4 2 5 2 4 3 2" xfId="14377" xr:uid="{4CCDFC2F-D014-48A6-8BA5-8BF754211435}"/>
    <cellStyle name="Normal 2 4 2 5 2 4 4" xfId="10159" xr:uid="{44818A44-7073-4E71-A16C-7997A7B49B1C}"/>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6935" xr:uid="{07D0EE47-136F-4E9F-B653-82B41EC685CA}"/>
    <cellStyle name="Normal 2 4 2 5 2 5 2 3" xfId="12717" xr:uid="{8DB528FA-C98D-435A-823F-1EBB257BE289}"/>
    <cellStyle name="Normal 2 4 2 5 2 5 3" xfId="6340" xr:uid="{00000000-0005-0000-0000-0000970F0000}"/>
    <cellStyle name="Normal 2 4 2 5 2 5 3 2" xfId="14790" xr:uid="{3BCB1DDC-E31F-4816-889F-B53F87DA9B40}"/>
    <cellStyle name="Normal 2 4 2 5 2 5 4" xfId="10572" xr:uid="{90D625C5-CF52-45D2-B574-50ADB3710402}"/>
    <cellStyle name="Normal 2 4 2 5 2 6" xfId="2470" xr:uid="{00000000-0005-0000-0000-0000980F0000}"/>
    <cellStyle name="Normal 2 4 2 5 2 6 2" xfId="6753" xr:uid="{00000000-0005-0000-0000-0000990F0000}"/>
    <cellStyle name="Normal 2 4 2 5 2 6 2 2" xfId="15203" xr:uid="{306D687C-F044-4A93-91F3-A7AD43B48836}"/>
    <cellStyle name="Normal 2 4 2 5 2 6 3" xfId="10985" xr:uid="{7107DFF3-D860-49F7-AE94-743698F1611B}"/>
    <cellStyle name="Normal 2 4 2 5 2 7" xfId="4687" xr:uid="{00000000-0005-0000-0000-00009A0F0000}"/>
    <cellStyle name="Normal 2 4 2 5 2 7 2" xfId="13137" xr:uid="{CA05E387-1ECF-4C8C-AA0F-6AE049624132}"/>
    <cellStyle name="Normal 2 4 2 5 2 8" xfId="8919" xr:uid="{4EFDBC8E-AC6D-4A48-9611-52A90CD8D14B}"/>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5695" xr:uid="{2822E2B4-EE1B-4690-94D1-04A268EE8FA4}"/>
    <cellStyle name="Normal 2 4 2 5 3 2 3" xfId="11477" xr:uid="{805E0F85-DBE4-443E-AF83-C9F4175DF5EF}"/>
    <cellStyle name="Normal 2 4 2 5 3 3" xfId="5100" xr:uid="{00000000-0005-0000-0000-00009E0F0000}"/>
    <cellStyle name="Normal 2 4 2 5 3 3 2" xfId="13550" xr:uid="{19333F98-C309-4A52-8AD1-7EAEA04CB038}"/>
    <cellStyle name="Normal 2 4 2 5 3 4" xfId="9332" xr:uid="{2629822D-F8CD-4289-A422-2EF506CB00A2}"/>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108" xr:uid="{98B33D8B-8234-450D-8640-B3DB54406CB6}"/>
    <cellStyle name="Normal 2 4 2 5 4 2 3" xfId="11890" xr:uid="{F4A6F13A-2D88-48C0-88C8-66E9AC07741A}"/>
    <cellStyle name="Normal 2 4 2 5 4 3" xfId="5513" xr:uid="{00000000-0005-0000-0000-0000A20F0000}"/>
    <cellStyle name="Normal 2 4 2 5 4 3 2" xfId="13963" xr:uid="{77112624-F78F-4B2F-AAEB-3879D66281AC}"/>
    <cellStyle name="Normal 2 4 2 5 4 4" xfId="9745" xr:uid="{E66E1347-B57B-4BBB-B345-BE5CD1C0FAAD}"/>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6521" xr:uid="{663A3603-F9B6-47D6-89D7-C83E573DCFB8}"/>
    <cellStyle name="Normal 2 4 2 5 5 2 3" xfId="12303" xr:uid="{B726B3D9-890A-413B-9486-91979CA2302C}"/>
    <cellStyle name="Normal 2 4 2 5 5 3" xfId="5926" xr:uid="{00000000-0005-0000-0000-0000A60F0000}"/>
    <cellStyle name="Normal 2 4 2 5 5 3 2" xfId="14376" xr:uid="{8A424179-2073-4C40-8C85-09EF6A327F59}"/>
    <cellStyle name="Normal 2 4 2 5 5 4" xfId="10158" xr:uid="{C0BCB46C-2E14-46FE-91D3-FF401D661110}"/>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6934" xr:uid="{587ABB4D-E582-4211-9E31-CB131E4FDB0C}"/>
    <cellStyle name="Normal 2 4 2 5 6 2 3" xfId="12716" xr:uid="{208F15DE-0C39-48AA-A1C6-F9B61EC008FE}"/>
    <cellStyle name="Normal 2 4 2 5 6 3" xfId="6339" xr:uid="{00000000-0005-0000-0000-0000AA0F0000}"/>
    <cellStyle name="Normal 2 4 2 5 6 3 2" xfId="14789" xr:uid="{022D1B2B-A48C-46D2-BCB3-ABBC42F7A3B2}"/>
    <cellStyle name="Normal 2 4 2 5 6 4" xfId="10571" xr:uid="{DEA64CF8-F6E9-4B96-9087-07BA0FF77525}"/>
    <cellStyle name="Normal 2 4 2 5 7" xfId="2469" xr:uid="{00000000-0005-0000-0000-0000AB0F0000}"/>
    <cellStyle name="Normal 2 4 2 5 7 2" xfId="6752" xr:uid="{00000000-0005-0000-0000-0000AC0F0000}"/>
    <cellStyle name="Normal 2 4 2 5 7 2 2" xfId="15202" xr:uid="{FCBAD7DC-00EE-4CFD-8DD5-D57A6DC9363D}"/>
    <cellStyle name="Normal 2 4 2 5 7 3" xfId="10984" xr:uid="{C7F2A227-0D3B-4A84-82D7-9F8F7FB63811}"/>
    <cellStyle name="Normal 2 4 2 5 8" xfId="4686" xr:uid="{00000000-0005-0000-0000-0000AD0F0000}"/>
    <cellStyle name="Normal 2 4 2 5 8 2" xfId="13136" xr:uid="{67C0A6FB-24D0-4D9A-90CE-31C2AA6B699C}"/>
    <cellStyle name="Normal 2 4 2 5 9" xfId="8918" xr:uid="{539C27D4-10A3-4E6E-8731-9A1CBCDC70D4}"/>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5697" xr:uid="{535419B6-F265-48FA-B377-028AC02BC964}"/>
    <cellStyle name="Normal 2 4 2 6 2 2 3" xfId="11479" xr:uid="{C2C2A1A7-C116-44BB-AED9-19277B983EE0}"/>
    <cellStyle name="Normal 2 4 2 6 2 3" xfId="5102" xr:uid="{00000000-0005-0000-0000-0000B20F0000}"/>
    <cellStyle name="Normal 2 4 2 6 2 3 2" xfId="13552" xr:uid="{5369E39F-6E11-40A3-A00A-57DA51050A6A}"/>
    <cellStyle name="Normal 2 4 2 6 2 4" xfId="9334" xr:uid="{9564C336-09A0-4DF6-B2E6-3D84C09B1A5A}"/>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110" xr:uid="{11E2244F-74E8-4670-81F9-5C8534C9F2D5}"/>
    <cellStyle name="Normal 2 4 2 6 3 2 3" xfId="11892" xr:uid="{77218DF8-6A40-4ED0-8A66-9AC7F8BF7F49}"/>
    <cellStyle name="Normal 2 4 2 6 3 3" xfId="5515" xr:uid="{00000000-0005-0000-0000-0000B60F0000}"/>
    <cellStyle name="Normal 2 4 2 6 3 3 2" xfId="13965" xr:uid="{E94A794C-39AA-4A6D-93B7-5F101BD48E22}"/>
    <cellStyle name="Normal 2 4 2 6 3 4" xfId="9747" xr:uid="{DDD06F12-D044-4BC0-98C6-E616FDD115B8}"/>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6523" xr:uid="{06F34DB9-36FB-4B5E-9733-783E54BFACFC}"/>
    <cellStyle name="Normal 2 4 2 6 4 2 3" xfId="12305" xr:uid="{DE62565F-89A8-4366-BA51-A83FDFB80B69}"/>
    <cellStyle name="Normal 2 4 2 6 4 3" xfId="5928" xr:uid="{00000000-0005-0000-0000-0000BA0F0000}"/>
    <cellStyle name="Normal 2 4 2 6 4 3 2" xfId="14378" xr:uid="{45C2F109-1D88-44B5-B1FC-14F6B4835689}"/>
    <cellStyle name="Normal 2 4 2 6 4 4" xfId="10160" xr:uid="{780BE3D9-53FD-4AED-B27D-1847C0BABFEC}"/>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6936" xr:uid="{C228E3D6-3D5C-4EA1-AAAA-7CEDA054C256}"/>
    <cellStyle name="Normal 2 4 2 6 5 2 3" xfId="12718" xr:uid="{CB0E5822-6952-4617-AE0D-3AC22CCBBED9}"/>
    <cellStyle name="Normal 2 4 2 6 5 3" xfId="6341" xr:uid="{00000000-0005-0000-0000-0000BE0F0000}"/>
    <cellStyle name="Normal 2 4 2 6 5 3 2" xfId="14791" xr:uid="{F8191A23-23A5-46F4-A347-6E655D643A54}"/>
    <cellStyle name="Normal 2 4 2 6 5 4" xfId="10573" xr:uid="{0E5C774A-FB92-4353-9D75-296FDCB13781}"/>
    <cellStyle name="Normal 2 4 2 6 6" xfId="2471" xr:uid="{00000000-0005-0000-0000-0000BF0F0000}"/>
    <cellStyle name="Normal 2 4 2 6 6 2" xfId="6754" xr:uid="{00000000-0005-0000-0000-0000C00F0000}"/>
    <cellStyle name="Normal 2 4 2 6 6 2 2" xfId="15204" xr:uid="{59D9CF67-FB3C-41BF-9E7F-3905D6FAED62}"/>
    <cellStyle name="Normal 2 4 2 6 6 3" xfId="10986" xr:uid="{BFA9B75A-590F-4871-9B9B-DB52B0CE1E89}"/>
    <cellStyle name="Normal 2 4 2 6 7" xfId="4688" xr:uid="{00000000-0005-0000-0000-0000C10F0000}"/>
    <cellStyle name="Normal 2 4 2 6 7 2" xfId="13138" xr:uid="{1721ED3F-2B98-4DB2-B551-0EFD6B407F99}"/>
    <cellStyle name="Normal 2 4 2 6 8" xfId="8920" xr:uid="{8B14F1E3-C5FF-4799-B198-9C5FFBCF2A71}"/>
    <cellStyle name="Normal 2 4 2 7" xfId="771" xr:uid="{00000000-0005-0000-0000-0000C20F0000}"/>
    <cellStyle name="Normal 2 4 2 7 2" xfId="3010" xr:uid="{00000000-0005-0000-0000-0000C30F0000}"/>
    <cellStyle name="Normal 2 4 2 7 2 2" xfId="7232" xr:uid="{00000000-0005-0000-0000-0000C40F0000}"/>
    <cellStyle name="Normal 2 4 2 7 2 2 2" xfId="15682" xr:uid="{9FE4CE72-D1D0-42AB-ABD1-5F1DAE6CEBBA}"/>
    <cellStyle name="Normal 2 4 2 7 2 3" xfId="11464" xr:uid="{D6963392-31E6-49DC-81A8-396FBD90E3A4}"/>
    <cellStyle name="Normal 2 4 2 7 3" xfId="5087" xr:uid="{00000000-0005-0000-0000-0000C50F0000}"/>
    <cellStyle name="Normal 2 4 2 7 3 2" xfId="13537" xr:uid="{78323144-4674-4068-BF1E-CA27C8E20281}"/>
    <cellStyle name="Normal 2 4 2 7 4" xfId="9319" xr:uid="{1AF95A07-9815-49FB-BE39-E0B3C4B22333}"/>
    <cellStyle name="Normal 2 4 2 8" xfId="1193" xr:uid="{00000000-0005-0000-0000-0000C60F0000}"/>
    <cellStyle name="Normal 2 4 2 8 2" xfId="3423" xr:uid="{00000000-0005-0000-0000-0000C70F0000}"/>
    <cellStyle name="Normal 2 4 2 8 2 2" xfId="7645" xr:uid="{00000000-0005-0000-0000-0000C80F0000}"/>
    <cellStyle name="Normal 2 4 2 8 2 2 2" xfId="16095" xr:uid="{4EF1B496-59F0-4A5F-B3ED-910386BB3EBD}"/>
    <cellStyle name="Normal 2 4 2 8 2 3" xfId="11877" xr:uid="{01B76C6A-E89F-4806-9C6D-E77DA1FC1913}"/>
    <cellStyle name="Normal 2 4 2 8 3" xfId="5500" xr:uid="{00000000-0005-0000-0000-0000C90F0000}"/>
    <cellStyle name="Normal 2 4 2 8 3 2" xfId="13950" xr:uid="{67557070-B056-4BDF-AA40-4BD031DADBF5}"/>
    <cellStyle name="Normal 2 4 2 8 4" xfId="9732" xr:uid="{CA45AAF8-9AB6-4A5F-BA73-6CC6D91CF35D}"/>
    <cellStyle name="Normal 2 4 2 9" xfId="1606" xr:uid="{00000000-0005-0000-0000-0000CA0F0000}"/>
    <cellStyle name="Normal 2 4 2 9 2" xfId="3836" xr:uid="{00000000-0005-0000-0000-0000CB0F0000}"/>
    <cellStyle name="Normal 2 4 2 9 2 2" xfId="8058" xr:uid="{00000000-0005-0000-0000-0000CC0F0000}"/>
    <cellStyle name="Normal 2 4 2 9 2 2 2" xfId="16508" xr:uid="{5BDD0E9D-4939-4200-83F3-2FA01FB03C39}"/>
    <cellStyle name="Normal 2 4 2 9 2 3" xfId="12290" xr:uid="{07C68CE9-D964-4A66-A768-9107FFEAA47A}"/>
    <cellStyle name="Normal 2 4 2 9 3" xfId="5913" xr:uid="{00000000-0005-0000-0000-0000CD0F0000}"/>
    <cellStyle name="Normal 2 4 2 9 3 2" xfId="14363" xr:uid="{F98097FB-C586-4A64-943C-DC9451827B70}"/>
    <cellStyle name="Normal 2 4 2 9 4" xfId="10145" xr:uid="{A8512091-7F16-410F-901E-EE4BC204605B}"/>
    <cellStyle name="Normal 2 4 3" xfId="296" xr:uid="{00000000-0005-0000-0000-0000CE0F0000}"/>
    <cellStyle name="Normal 2 4 3 10" xfId="8921" xr:uid="{BEF2F78C-03DE-47EE-A072-BC1F1747E5F4}"/>
    <cellStyle name="Normal 2 4 3 2" xfId="297" xr:uid="{00000000-0005-0000-0000-0000CF0F0000}"/>
    <cellStyle name="Normal 2 4 3 3" xfId="298" xr:uid="{00000000-0005-0000-0000-0000D00F0000}"/>
    <cellStyle name="Normal 2 4 3 3 10" xfId="8922" xr:uid="{4A11186D-D93B-4C94-954A-216B0488E487}"/>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5701" xr:uid="{049235C2-61DD-480E-9EC4-49B2729C650D}"/>
    <cellStyle name="Normal 2 4 3 3 2 2 2 2 3" xfId="11483" xr:uid="{1BA52C55-1A79-4CE9-81AE-4681CBA77242}"/>
    <cellStyle name="Normal 2 4 3 3 2 2 2 3" xfId="5106" xr:uid="{00000000-0005-0000-0000-0000D60F0000}"/>
    <cellStyle name="Normal 2 4 3 3 2 2 2 3 2" xfId="13556" xr:uid="{5DE89AB7-25BA-4338-82DF-BB83F5F6F4C2}"/>
    <cellStyle name="Normal 2 4 3 3 2 2 2 4" xfId="9338" xr:uid="{E8F04F5C-9873-414B-AE4B-AEE53D0E9A45}"/>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114" xr:uid="{303D481C-1FC6-4875-8EBA-8D99D53350B5}"/>
    <cellStyle name="Normal 2 4 3 3 2 2 3 2 3" xfId="11896" xr:uid="{ECC76E8F-D3EF-4FB9-91AA-66C0BDF8789A}"/>
    <cellStyle name="Normal 2 4 3 3 2 2 3 3" xfId="5519" xr:uid="{00000000-0005-0000-0000-0000DA0F0000}"/>
    <cellStyle name="Normal 2 4 3 3 2 2 3 3 2" xfId="13969" xr:uid="{1712B537-D440-4379-98C7-75EC8CAF8C91}"/>
    <cellStyle name="Normal 2 4 3 3 2 2 3 4" xfId="9751" xr:uid="{C2636F1B-B3C3-46A8-831C-5570BAE60C16}"/>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6527" xr:uid="{6B70F310-98D2-4B4B-8912-974E591A4899}"/>
    <cellStyle name="Normal 2 4 3 3 2 2 4 2 3" xfId="12309" xr:uid="{EBFB3372-234E-4AF6-B313-446607F3F4C4}"/>
    <cellStyle name="Normal 2 4 3 3 2 2 4 3" xfId="5932" xr:uid="{00000000-0005-0000-0000-0000DE0F0000}"/>
    <cellStyle name="Normal 2 4 3 3 2 2 4 3 2" xfId="14382" xr:uid="{A187A838-7BA2-42B4-A545-D90AF510F759}"/>
    <cellStyle name="Normal 2 4 3 3 2 2 4 4" xfId="10164" xr:uid="{81DE13C4-99A2-420A-941F-7873A23DC944}"/>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6940" xr:uid="{D943A3C1-6B6A-4201-99EF-A3C0A22171D6}"/>
    <cellStyle name="Normal 2 4 3 3 2 2 5 2 3" xfId="12722" xr:uid="{6B851AF3-BA53-4F4C-A866-764EEFDC741A}"/>
    <cellStyle name="Normal 2 4 3 3 2 2 5 3" xfId="6345" xr:uid="{00000000-0005-0000-0000-0000E20F0000}"/>
    <cellStyle name="Normal 2 4 3 3 2 2 5 3 2" xfId="14795" xr:uid="{DC487204-E6A7-4ACB-B505-1361EFF80E87}"/>
    <cellStyle name="Normal 2 4 3 3 2 2 5 4" xfId="10577" xr:uid="{1DC72BCA-CEC1-48BA-8AE6-E6295DBD71D7}"/>
    <cellStyle name="Normal 2 4 3 3 2 2 6" xfId="2475" xr:uid="{00000000-0005-0000-0000-0000E30F0000}"/>
    <cellStyle name="Normal 2 4 3 3 2 2 6 2" xfId="6758" xr:uid="{00000000-0005-0000-0000-0000E40F0000}"/>
    <cellStyle name="Normal 2 4 3 3 2 2 6 2 2" xfId="15208" xr:uid="{6585FB94-E4EF-429F-819F-1BF87BEFE1FA}"/>
    <cellStyle name="Normal 2 4 3 3 2 2 6 3" xfId="10990" xr:uid="{8E19C3A2-ED48-4B61-AA18-7E641B793E46}"/>
    <cellStyle name="Normal 2 4 3 3 2 2 7" xfId="4692" xr:uid="{00000000-0005-0000-0000-0000E50F0000}"/>
    <cellStyle name="Normal 2 4 3 3 2 2 7 2" xfId="13142" xr:uid="{754FE704-EA06-447A-9047-E548D92E0A62}"/>
    <cellStyle name="Normal 2 4 3 3 2 2 8" xfId="8924" xr:uid="{53094DF1-BF95-4EC1-B626-4B152D711622}"/>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5700" xr:uid="{A968885E-C117-4D9D-B623-DAED78B0D003}"/>
    <cellStyle name="Normal 2 4 3 3 2 3 2 3" xfId="11482" xr:uid="{134D816F-C5D1-4143-B29C-99FA0BFA0EF4}"/>
    <cellStyle name="Normal 2 4 3 3 2 3 3" xfId="5105" xr:uid="{00000000-0005-0000-0000-0000E90F0000}"/>
    <cellStyle name="Normal 2 4 3 3 2 3 3 2" xfId="13555" xr:uid="{67EA95BE-D53F-4D50-89AE-3B672AEB2C3C}"/>
    <cellStyle name="Normal 2 4 3 3 2 3 4" xfId="9337" xr:uid="{660E6BC5-7CA3-4844-80C4-2950A7353609}"/>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113" xr:uid="{81B1E456-0E9D-4266-8FDA-C5049C672DE7}"/>
    <cellStyle name="Normal 2 4 3 3 2 4 2 3" xfId="11895" xr:uid="{AE751634-5C2D-45C6-B397-E3A82D2FF15B}"/>
    <cellStyle name="Normal 2 4 3 3 2 4 3" xfId="5518" xr:uid="{00000000-0005-0000-0000-0000ED0F0000}"/>
    <cellStyle name="Normal 2 4 3 3 2 4 3 2" xfId="13968" xr:uid="{18284826-A535-408A-8849-4CCB03E73CF3}"/>
    <cellStyle name="Normal 2 4 3 3 2 4 4" xfId="9750" xr:uid="{8C5C02E6-C310-4A08-A01E-81A211D51E3A}"/>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6526" xr:uid="{6C7EF8E6-14E7-44DC-9002-37FD4188E9B0}"/>
    <cellStyle name="Normal 2 4 3 3 2 5 2 3" xfId="12308" xr:uid="{100AA6DC-EA9F-4FEA-B3A0-5FADBF623FB3}"/>
    <cellStyle name="Normal 2 4 3 3 2 5 3" xfId="5931" xr:uid="{00000000-0005-0000-0000-0000F10F0000}"/>
    <cellStyle name="Normal 2 4 3 3 2 5 3 2" xfId="14381" xr:uid="{8D4DD4A5-873C-418B-BC2C-623B284C2228}"/>
    <cellStyle name="Normal 2 4 3 3 2 5 4" xfId="10163" xr:uid="{B4102672-7D61-4D11-90D7-64B66B927C3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6939" xr:uid="{09EF2DA6-2FBD-4614-81D6-0915F56D1A86}"/>
    <cellStyle name="Normal 2 4 3 3 2 6 2 3" xfId="12721" xr:uid="{6B0651D3-7E6D-4107-93E1-211FEC1361CA}"/>
    <cellStyle name="Normal 2 4 3 3 2 6 3" xfId="6344" xr:uid="{00000000-0005-0000-0000-0000F50F0000}"/>
    <cellStyle name="Normal 2 4 3 3 2 6 3 2" xfId="14794" xr:uid="{3318D46D-0E2F-4EF1-8E42-517687A98A46}"/>
    <cellStyle name="Normal 2 4 3 3 2 6 4" xfId="10576" xr:uid="{B84A8D1F-6294-4467-A6BF-620FECE704B2}"/>
    <cellStyle name="Normal 2 4 3 3 2 7" xfId="2474" xr:uid="{00000000-0005-0000-0000-0000F60F0000}"/>
    <cellStyle name="Normal 2 4 3 3 2 7 2" xfId="6757" xr:uid="{00000000-0005-0000-0000-0000F70F0000}"/>
    <cellStyle name="Normal 2 4 3 3 2 7 2 2" xfId="15207" xr:uid="{7B9850E5-F951-4BA9-8D55-09534ED7807D}"/>
    <cellStyle name="Normal 2 4 3 3 2 7 3" xfId="10989" xr:uid="{DB5DC270-DB61-496A-9879-F0121D70BB66}"/>
    <cellStyle name="Normal 2 4 3 3 2 8" xfId="4691" xr:uid="{00000000-0005-0000-0000-0000F80F0000}"/>
    <cellStyle name="Normal 2 4 3 3 2 8 2" xfId="13141" xr:uid="{6EBF15A0-5A92-4733-ADD2-346ECAC8CEAE}"/>
    <cellStyle name="Normal 2 4 3 3 2 9" xfId="8923" xr:uid="{7CDD0671-49BA-415F-AC82-FF945385320D}"/>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5702" xr:uid="{74C8F51F-39C0-496E-80B0-D58AFD532698}"/>
    <cellStyle name="Normal 2 4 3 3 3 2 2 3" xfId="11484" xr:uid="{38782239-18B1-4903-9B1E-ED21B9174FB7}"/>
    <cellStyle name="Normal 2 4 3 3 3 2 3" xfId="5107" xr:uid="{00000000-0005-0000-0000-0000FD0F0000}"/>
    <cellStyle name="Normal 2 4 3 3 3 2 3 2" xfId="13557" xr:uid="{CF966922-65CE-4DD0-80F3-BD4C10DA42B0}"/>
    <cellStyle name="Normal 2 4 3 3 3 2 4" xfId="9339" xr:uid="{DBCE6F17-84CE-4C66-9C75-A34C658AEF26}"/>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115" xr:uid="{ABBF103B-7188-4FAE-9BA1-0A3473396692}"/>
    <cellStyle name="Normal 2 4 3 3 3 3 2 3" xfId="11897" xr:uid="{62C8620B-95FA-4974-AA7C-0AEA543C221A}"/>
    <cellStyle name="Normal 2 4 3 3 3 3 3" xfId="5520" xr:uid="{00000000-0005-0000-0000-000001100000}"/>
    <cellStyle name="Normal 2 4 3 3 3 3 3 2" xfId="13970" xr:uid="{19B173C7-4ECF-4029-9517-F8E82C327541}"/>
    <cellStyle name="Normal 2 4 3 3 3 3 4" xfId="9752" xr:uid="{176656BD-F5A0-437D-A53C-82690BCB24D2}"/>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6528" xr:uid="{862FC306-8EA0-4B7F-9C82-C287D56E1F1D}"/>
    <cellStyle name="Normal 2 4 3 3 3 4 2 3" xfId="12310" xr:uid="{9A82B949-65EC-4B9E-BB4C-6F9636E85D09}"/>
    <cellStyle name="Normal 2 4 3 3 3 4 3" xfId="5933" xr:uid="{00000000-0005-0000-0000-000005100000}"/>
    <cellStyle name="Normal 2 4 3 3 3 4 3 2" xfId="14383" xr:uid="{26BAD42D-5B5C-4106-AF0E-9EC4236287D4}"/>
    <cellStyle name="Normal 2 4 3 3 3 4 4" xfId="10165" xr:uid="{354976D1-CBB7-4DF6-8FE9-2FA4CE5F8562}"/>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6941" xr:uid="{14B89D23-D0AB-4707-8E43-123B33E0D8D3}"/>
    <cellStyle name="Normal 2 4 3 3 3 5 2 3" xfId="12723" xr:uid="{EA5FF8BE-1E71-460E-86DC-9D865FB4B875}"/>
    <cellStyle name="Normal 2 4 3 3 3 5 3" xfId="6346" xr:uid="{00000000-0005-0000-0000-000009100000}"/>
    <cellStyle name="Normal 2 4 3 3 3 5 3 2" xfId="14796" xr:uid="{176AE730-CFAC-4C58-A553-21A4BC8EE63B}"/>
    <cellStyle name="Normal 2 4 3 3 3 5 4" xfId="10578" xr:uid="{360728DD-4919-40A0-B679-7E0E212CD1CF}"/>
    <cellStyle name="Normal 2 4 3 3 3 6" xfId="2476" xr:uid="{00000000-0005-0000-0000-00000A100000}"/>
    <cellStyle name="Normal 2 4 3 3 3 6 2" xfId="6759" xr:uid="{00000000-0005-0000-0000-00000B100000}"/>
    <cellStyle name="Normal 2 4 3 3 3 6 2 2" xfId="15209" xr:uid="{2ED9E13C-01F1-4015-8B53-7EFA8BED2317}"/>
    <cellStyle name="Normal 2 4 3 3 3 6 3" xfId="10991" xr:uid="{30830D55-6194-4E00-83D4-9C5F26F28EF6}"/>
    <cellStyle name="Normal 2 4 3 3 3 7" xfId="4693" xr:uid="{00000000-0005-0000-0000-00000C100000}"/>
    <cellStyle name="Normal 2 4 3 3 3 7 2" xfId="13143" xr:uid="{F82F8C55-06EE-4205-B724-0676B12F379D}"/>
    <cellStyle name="Normal 2 4 3 3 3 8" xfId="8925" xr:uid="{EEECFE6B-CEBA-4F63-87CC-4C2E0D2BE84B}"/>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5699" xr:uid="{6D5692C8-E005-445C-AA20-D2836B40375F}"/>
    <cellStyle name="Normal 2 4 3 3 4 2 3" xfId="11481" xr:uid="{19003D84-EE4D-4FA5-B632-6DBB67A30A6A}"/>
    <cellStyle name="Normal 2 4 3 3 4 3" xfId="5104" xr:uid="{00000000-0005-0000-0000-000010100000}"/>
    <cellStyle name="Normal 2 4 3 3 4 3 2" xfId="13554" xr:uid="{1946DE0F-1845-47DB-9557-C2303A3E63AB}"/>
    <cellStyle name="Normal 2 4 3 3 4 4" xfId="9336" xr:uid="{8A5B3237-EEEA-41D5-9E15-58434BE96A56}"/>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112" xr:uid="{E8C04DEA-CF75-4778-A8F5-D06286184499}"/>
    <cellStyle name="Normal 2 4 3 3 5 2 3" xfId="11894" xr:uid="{E9FD8D9E-AFF9-449C-9C97-DF6EB87B9E57}"/>
    <cellStyle name="Normal 2 4 3 3 5 3" xfId="5517" xr:uid="{00000000-0005-0000-0000-000014100000}"/>
    <cellStyle name="Normal 2 4 3 3 5 3 2" xfId="13967" xr:uid="{DD3F03F3-4E29-44DD-8A92-D47FAE85E8AA}"/>
    <cellStyle name="Normal 2 4 3 3 5 4" xfId="9749" xr:uid="{B5B5D254-A842-4F2A-B111-4FCA22E2FD27}"/>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6525" xr:uid="{B3543056-89BB-40A1-B175-B0CED9D97EF9}"/>
    <cellStyle name="Normal 2 4 3 3 6 2 3" xfId="12307" xr:uid="{EC646F6B-B028-4221-8ABA-53FCE33C5680}"/>
    <cellStyle name="Normal 2 4 3 3 6 3" xfId="5930" xr:uid="{00000000-0005-0000-0000-000018100000}"/>
    <cellStyle name="Normal 2 4 3 3 6 3 2" xfId="14380" xr:uid="{A252C6E7-E807-425A-A798-4888E232AB8F}"/>
    <cellStyle name="Normal 2 4 3 3 6 4" xfId="10162" xr:uid="{7E93AE56-C87E-4118-A16D-0F92E92827C4}"/>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6938" xr:uid="{B024310D-F7AB-437D-9DE9-2DC9697294F0}"/>
    <cellStyle name="Normal 2 4 3 3 7 2 3" xfId="12720" xr:uid="{43C19923-B518-4662-A312-FD031064EA87}"/>
    <cellStyle name="Normal 2 4 3 3 7 3" xfId="6343" xr:uid="{00000000-0005-0000-0000-00001C100000}"/>
    <cellStyle name="Normal 2 4 3 3 7 3 2" xfId="14793" xr:uid="{31AA075C-10C8-4387-B774-0F079808810B}"/>
    <cellStyle name="Normal 2 4 3 3 7 4" xfId="10575" xr:uid="{6FF0CC36-86F3-4793-94ED-CA47E3372922}"/>
    <cellStyle name="Normal 2 4 3 3 8" xfId="2473" xr:uid="{00000000-0005-0000-0000-00001D100000}"/>
    <cellStyle name="Normal 2 4 3 3 8 2" xfId="6756" xr:uid="{00000000-0005-0000-0000-00001E100000}"/>
    <cellStyle name="Normal 2 4 3 3 8 2 2" xfId="15206" xr:uid="{FDDAA374-F684-465F-8FF2-D4BE3C78FCC0}"/>
    <cellStyle name="Normal 2 4 3 3 8 3" xfId="10988" xr:uid="{9837D372-D3DD-429F-B860-A710796E94B2}"/>
    <cellStyle name="Normal 2 4 3 3 9" xfId="4690" xr:uid="{00000000-0005-0000-0000-00001F100000}"/>
    <cellStyle name="Normal 2 4 3 3 9 2" xfId="13140" xr:uid="{DCC1ECFA-878A-43F6-8B69-01E8205640CC}"/>
    <cellStyle name="Normal 2 4 3 4" xfId="787" xr:uid="{00000000-0005-0000-0000-000020100000}"/>
    <cellStyle name="Normal 2 4 3 4 2" xfId="3026" xr:uid="{00000000-0005-0000-0000-000021100000}"/>
    <cellStyle name="Normal 2 4 3 4 2 2" xfId="7248" xr:uid="{00000000-0005-0000-0000-000022100000}"/>
    <cellStyle name="Normal 2 4 3 4 2 2 2" xfId="15698" xr:uid="{A26BFE21-93A3-4360-B906-C00EFBA5CD9D}"/>
    <cellStyle name="Normal 2 4 3 4 2 3" xfId="11480" xr:uid="{0FDCE7CE-0821-4B67-B630-3BFC97092CEA}"/>
    <cellStyle name="Normal 2 4 3 4 3" xfId="5103" xr:uid="{00000000-0005-0000-0000-000023100000}"/>
    <cellStyle name="Normal 2 4 3 4 3 2" xfId="13553" xr:uid="{04F10CBE-B339-47F5-AFB9-467B8A022974}"/>
    <cellStyle name="Normal 2 4 3 4 4" xfId="9335" xr:uid="{77B10449-443B-4A13-9251-008EE362B3BC}"/>
    <cellStyle name="Normal 2 4 3 5" xfId="1209" xr:uid="{00000000-0005-0000-0000-000024100000}"/>
    <cellStyle name="Normal 2 4 3 5 2" xfId="3439" xr:uid="{00000000-0005-0000-0000-000025100000}"/>
    <cellStyle name="Normal 2 4 3 5 2 2" xfId="7661" xr:uid="{00000000-0005-0000-0000-000026100000}"/>
    <cellStyle name="Normal 2 4 3 5 2 2 2" xfId="16111" xr:uid="{63261527-8055-4B3C-BF19-0B19158509A9}"/>
    <cellStyle name="Normal 2 4 3 5 2 3" xfId="11893" xr:uid="{7993799E-5F61-4037-A89C-282D549F59CD}"/>
    <cellStyle name="Normal 2 4 3 5 3" xfId="5516" xr:uid="{00000000-0005-0000-0000-000027100000}"/>
    <cellStyle name="Normal 2 4 3 5 3 2" xfId="13966" xr:uid="{1D51647B-3FC3-4686-9910-82E1AB68C645}"/>
    <cellStyle name="Normal 2 4 3 5 4" xfId="9748" xr:uid="{EA6D2B97-91A0-4762-8ACF-B7EA8926FEDF}"/>
    <cellStyle name="Normal 2 4 3 6" xfId="1622" xr:uid="{00000000-0005-0000-0000-000028100000}"/>
    <cellStyle name="Normal 2 4 3 6 2" xfId="3852" xr:uid="{00000000-0005-0000-0000-000029100000}"/>
    <cellStyle name="Normal 2 4 3 6 2 2" xfId="8074" xr:uid="{00000000-0005-0000-0000-00002A100000}"/>
    <cellStyle name="Normal 2 4 3 6 2 2 2" xfId="16524" xr:uid="{EBCD5FD6-3876-4823-A3FE-C478608A6606}"/>
    <cellStyle name="Normal 2 4 3 6 2 3" xfId="12306" xr:uid="{95EFE41D-B02C-4E03-85E7-84E47CF07169}"/>
    <cellStyle name="Normal 2 4 3 6 3" xfId="5929" xr:uid="{00000000-0005-0000-0000-00002B100000}"/>
    <cellStyle name="Normal 2 4 3 6 3 2" xfId="14379" xr:uid="{0B45AC5F-2CBF-4018-AB22-9179A4F32128}"/>
    <cellStyle name="Normal 2 4 3 6 4" xfId="10161" xr:uid="{70F64AED-AC60-4922-9122-AAD04CBD8AA0}"/>
    <cellStyle name="Normal 2 4 3 7" xfId="2036" xr:uid="{00000000-0005-0000-0000-00002C100000}"/>
    <cellStyle name="Normal 2 4 3 7 2" xfId="4265" xr:uid="{00000000-0005-0000-0000-00002D100000}"/>
    <cellStyle name="Normal 2 4 3 7 2 2" xfId="8487" xr:uid="{00000000-0005-0000-0000-00002E100000}"/>
    <cellStyle name="Normal 2 4 3 7 2 2 2" xfId="16937" xr:uid="{1ED2BE6F-27E3-4343-9D91-7DFEA36FE89C}"/>
    <cellStyle name="Normal 2 4 3 7 2 3" xfId="12719" xr:uid="{3057D46A-9C6C-4CB9-9F3B-BAC20E290938}"/>
    <cellStyle name="Normal 2 4 3 7 3" xfId="6342" xr:uid="{00000000-0005-0000-0000-00002F100000}"/>
    <cellStyle name="Normal 2 4 3 7 3 2" xfId="14792" xr:uid="{F91615E0-7C8F-4852-9AB1-D4CC08F03C7D}"/>
    <cellStyle name="Normal 2 4 3 7 4" xfId="10574" xr:uid="{912AEF83-1ADF-4E4E-B8B2-5DBFF8B3B074}"/>
    <cellStyle name="Normal 2 4 3 8" xfId="2472" xr:uid="{00000000-0005-0000-0000-000030100000}"/>
    <cellStyle name="Normal 2 4 3 8 2" xfId="6755" xr:uid="{00000000-0005-0000-0000-000031100000}"/>
    <cellStyle name="Normal 2 4 3 8 2 2" xfId="15205" xr:uid="{A5C0FB7C-B1B3-467C-885A-7AF51C775A19}"/>
    <cellStyle name="Normal 2 4 3 8 3" xfId="10987" xr:uid="{06012617-FC11-4E10-92E8-7DF65A5CC1E8}"/>
    <cellStyle name="Normal 2 4 3 9" xfId="4689" xr:uid="{00000000-0005-0000-0000-000032100000}"/>
    <cellStyle name="Normal 2 4 3 9 2" xfId="13139" xr:uid="{D988B25D-FA25-4C9D-A443-402175AB7FA2}"/>
    <cellStyle name="Normal 2 4 4" xfId="302" xr:uid="{00000000-0005-0000-0000-000033100000}"/>
    <cellStyle name="Normal 2 4 5" xfId="303" xr:uid="{00000000-0005-0000-0000-000034100000}"/>
    <cellStyle name="Normal 2 4 5 10" xfId="4694" xr:uid="{00000000-0005-0000-0000-000035100000}"/>
    <cellStyle name="Normal 2 4 5 10 2" xfId="13144" xr:uid="{C16387E9-D93A-4B13-AC5A-A5F50A518C41}"/>
    <cellStyle name="Normal 2 4 5 11" xfId="8926" xr:uid="{51973374-5032-4A07-8D37-14B95A5299F5}"/>
    <cellStyle name="Normal 2 4 5 2" xfId="304" xr:uid="{00000000-0005-0000-0000-000036100000}"/>
    <cellStyle name="Normal 2 4 5 2 10" xfId="8927" xr:uid="{715F1908-BFD5-405D-8C73-043CEBF2F346}"/>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5706" xr:uid="{6446425F-2C87-42F3-BF97-7C586927ECB0}"/>
    <cellStyle name="Normal 2 4 5 2 2 2 2 2 3" xfId="11488" xr:uid="{764D85F8-D494-40D4-8C4F-B4EA7BAD259E}"/>
    <cellStyle name="Normal 2 4 5 2 2 2 2 3" xfId="5111" xr:uid="{00000000-0005-0000-0000-00003C100000}"/>
    <cellStyle name="Normal 2 4 5 2 2 2 2 3 2" xfId="13561" xr:uid="{F07FA133-2C94-4DCB-AC3E-6102C40A2452}"/>
    <cellStyle name="Normal 2 4 5 2 2 2 2 4" xfId="9343" xr:uid="{669EEF23-342B-430E-868F-79A5380454A2}"/>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119" xr:uid="{EAF87735-BEC5-461F-BE3D-05EA84B31409}"/>
    <cellStyle name="Normal 2 4 5 2 2 2 3 2 3" xfId="11901" xr:uid="{1B673DB0-6E2F-40F5-AFF7-B3DED76B5511}"/>
    <cellStyle name="Normal 2 4 5 2 2 2 3 3" xfId="5524" xr:uid="{00000000-0005-0000-0000-000040100000}"/>
    <cellStyle name="Normal 2 4 5 2 2 2 3 3 2" xfId="13974" xr:uid="{032EE223-4838-4496-A397-E0AF5E55EB57}"/>
    <cellStyle name="Normal 2 4 5 2 2 2 3 4" xfId="9756" xr:uid="{09D6A72B-2438-4A57-8C5E-3D4494FBE455}"/>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6532" xr:uid="{F2B5D07E-829E-47C1-AE0C-37932EE10F54}"/>
    <cellStyle name="Normal 2 4 5 2 2 2 4 2 3" xfId="12314" xr:uid="{9FF33DE0-AE88-40EA-9CCA-A1D71BCA430C}"/>
    <cellStyle name="Normal 2 4 5 2 2 2 4 3" xfId="5937" xr:uid="{00000000-0005-0000-0000-000044100000}"/>
    <cellStyle name="Normal 2 4 5 2 2 2 4 3 2" xfId="14387" xr:uid="{83770168-5FBA-4911-B1DE-2C9A654280DA}"/>
    <cellStyle name="Normal 2 4 5 2 2 2 4 4" xfId="10169" xr:uid="{C13AA380-C9B0-4471-85CB-43E8A6C50AB7}"/>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6945" xr:uid="{D7469086-4E95-4C17-8E48-986CFFF93139}"/>
    <cellStyle name="Normal 2 4 5 2 2 2 5 2 3" xfId="12727" xr:uid="{4B9D8F88-8701-4187-B6C2-BC8BE212E7BE}"/>
    <cellStyle name="Normal 2 4 5 2 2 2 5 3" xfId="6350" xr:uid="{00000000-0005-0000-0000-000048100000}"/>
    <cellStyle name="Normal 2 4 5 2 2 2 5 3 2" xfId="14800" xr:uid="{31360B67-7EFE-4A2B-A952-E4B954229045}"/>
    <cellStyle name="Normal 2 4 5 2 2 2 5 4" xfId="10582" xr:uid="{59456E32-BEE2-47EC-8E7B-A8F1D1DB753D}"/>
    <cellStyle name="Normal 2 4 5 2 2 2 6" xfId="2480" xr:uid="{00000000-0005-0000-0000-000049100000}"/>
    <cellStyle name="Normal 2 4 5 2 2 2 6 2" xfId="6763" xr:uid="{00000000-0005-0000-0000-00004A100000}"/>
    <cellStyle name="Normal 2 4 5 2 2 2 6 2 2" xfId="15213" xr:uid="{64015126-5D87-4164-B446-D4E627535660}"/>
    <cellStyle name="Normal 2 4 5 2 2 2 6 3" xfId="10995" xr:uid="{874878F7-6742-418E-8CAC-13F973842899}"/>
    <cellStyle name="Normal 2 4 5 2 2 2 7" xfId="4697" xr:uid="{00000000-0005-0000-0000-00004B100000}"/>
    <cellStyle name="Normal 2 4 5 2 2 2 7 2" xfId="13147" xr:uid="{1B1A077E-E142-4474-B429-3B1A68E0E80F}"/>
    <cellStyle name="Normal 2 4 5 2 2 2 8" xfId="8929" xr:uid="{4EC2FCF4-9D8E-4405-B68A-068E6DA33209}"/>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5705" xr:uid="{5F097181-C12C-4A2D-9FC9-946A18282B05}"/>
    <cellStyle name="Normal 2 4 5 2 2 3 2 3" xfId="11487" xr:uid="{54D7663A-AABB-4449-AB3E-31F3F10C74B7}"/>
    <cellStyle name="Normal 2 4 5 2 2 3 3" xfId="5110" xr:uid="{00000000-0005-0000-0000-00004F100000}"/>
    <cellStyle name="Normal 2 4 5 2 2 3 3 2" xfId="13560" xr:uid="{343BCF8D-2B18-42DF-B44C-FA2F94617503}"/>
    <cellStyle name="Normal 2 4 5 2 2 3 4" xfId="9342" xr:uid="{86925797-1E67-4042-81CD-1A2115AA951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118" xr:uid="{ED60A562-ECE9-452E-867D-ECB510221EEA}"/>
    <cellStyle name="Normal 2 4 5 2 2 4 2 3" xfId="11900" xr:uid="{2C85CB04-FBD5-44EA-9797-4EA5D3550D74}"/>
    <cellStyle name="Normal 2 4 5 2 2 4 3" xfId="5523" xr:uid="{00000000-0005-0000-0000-000053100000}"/>
    <cellStyle name="Normal 2 4 5 2 2 4 3 2" xfId="13973" xr:uid="{C20A1BAC-FBA4-40BA-97E7-A09FE739BA9F}"/>
    <cellStyle name="Normal 2 4 5 2 2 4 4" xfId="9755" xr:uid="{E14CAA9B-DEFC-41B8-867E-84046E8DF0AE}"/>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6531" xr:uid="{04BA7839-070D-43FA-9600-6CD6B90C4D2D}"/>
    <cellStyle name="Normal 2 4 5 2 2 5 2 3" xfId="12313" xr:uid="{C1056541-205F-4BBA-8A96-54EFD9CD113D}"/>
    <cellStyle name="Normal 2 4 5 2 2 5 3" xfId="5936" xr:uid="{00000000-0005-0000-0000-000057100000}"/>
    <cellStyle name="Normal 2 4 5 2 2 5 3 2" xfId="14386" xr:uid="{23BB08F1-452E-484B-B012-8824C815B6ED}"/>
    <cellStyle name="Normal 2 4 5 2 2 5 4" xfId="10168" xr:uid="{1B14E5E7-51D4-40C8-96EA-6891BA8C6A39}"/>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6944" xr:uid="{FF4BB58E-1527-42D6-9B77-9F7FBF4BF539}"/>
    <cellStyle name="Normal 2 4 5 2 2 6 2 3" xfId="12726" xr:uid="{2E9B7A1B-9A6C-430D-9D9A-471C49C466DC}"/>
    <cellStyle name="Normal 2 4 5 2 2 6 3" xfId="6349" xr:uid="{00000000-0005-0000-0000-00005B100000}"/>
    <cellStyle name="Normal 2 4 5 2 2 6 3 2" xfId="14799" xr:uid="{0C9147FF-4C5F-4F9F-8C9C-A3818B43D00F}"/>
    <cellStyle name="Normal 2 4 5 2 2 6 4" xfId="10581" xr:uid="{08280E09-EC36-4273-8275-42F70E6FAB0E}"/>
    <cellStyle name="Normal 2 4 5 2 2 7" xfId="2479" xr:uid="{00000000-0005-0000-0000-00005C100000}"/>
    <cellStyle name="Normal 2 4 5 2 2 7 2" xfId="6762" xr:uid="{00000000-0005-0000-0000-00005D100000}"/>
    <cellStyle name="Normal 2 4 5 2 2 7 2 2" xfId="15212" xr:uid="{202D04EB-53F9-4B2D-A1DE-FFAF5C50222A}"/>
    <cellStyle name="Normal 2 4 5 2 2 7 3" xfId="10994" xr:uid="{722D7C3A-CA8F-4461-AF60-E5128301DF3C}"/>
    <cellStyle name="Normal 2 4 5 2 2 8" xfId="4696" xr:uid="{00000000-0005-0000-0000-00005E100000}"/>
    <cellStyle name="Normal 2 4 5 2 2 8 2" xfId="13146" xr:uid="{052E1A8A-9A62-4B3F-913F-5A7B581A1952}"/>
    <cellStyle name="Normal 2 4 5 2 2 9" xfId="8928" xr:uid="{CD8C5A7C-BD49-44E3-A0CC-924AF9C27339}"/>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5707" xr:uid="{02C6A7B5-C68A-401B-9A43-4CE8654C8251}"/>
    <cellStyle name="Normal 2 4 5 2 3 2 2 3" xfId="11489" xr:uid="{0391B15B-8894-4013-B6E5-6194558469A8}"/>
    <cellStyle name="Normal 2 4 5 2 3 2 3" xfId="5112" xr:uid="{00000000-0005-0000-0000-000063100000}"/>
    <cellStyle name="Normal 2 4 5 2 3 2 3 2" xfId="13562" xr:uid="{8D367F72-90A7-4B27-87AB-375CFC7F6035}"/>
    <cellStyle name="Normal 2 4 5 2 3 2 4" xfId="9344" xr:uid="{ED156DC7-B2A8-4FF1-AD42-90885B598C99}"/>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120" xr:uid="{8FAC24CF-484B-4713-B641-B02ACE64EFA2}"/>
    <cellStyle name="Normal 2 4 5 2 3 3 2 3" xfId="11902" xr:uid="{ABB645C2-08B8-4FDD-83C5-B9E535D82921}"/>
    <cellStyle name="Normal 2 4 5 2 3 3 3" xfId="5525" xr:uid="{00000000-0005-0000-0000-000067100000}"/>
    <cellStyle name="Normal 2 4 5 2 3 3 3 2" xfId="13975" xr:uid="{7443C2BB-DC63-432D-9984-8F3625F795F7}"/>
    <cellStyle name="Normal 2 4 5 2 3 3 4" xfId="9757" xr:uid="{04D8BDD1-A470-4350-AEAB-05A6A1E1BCFF}"/>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6533" xr:uid="{44ABC848-69AE-4710-9425-C62FBC9006B7}"/>
    <cellStyle name="Normal 2 4 5 2 3 4 2 3" xfId="12315" xr:uid="{63D95736-8A69-4FED-80D1-224D112B3C1F}"/>
    <cellStyle name="Normal 2 4 5 2 3 4 3" xfId="5938" xr:uid="{00000000-0005-0000-0000-00006B100000}"/>
    <cellStyle name="Normal 2 4 5 2 3 4 3 2" xfId="14388" xr:uid="{81FAC5A5-070C-4778-AEC7-2B4EF187CF1F}"/>
    <cellStyle name="Normal 2 4 5 2 3 4 4" xfId="10170" xr:uid="{50884EA1-DF36-4173-AA31-2C49E0DE7591}"/>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6946" xr:uid="{FD5D2F9A-CD80-416D-A0EA-5430B70DBD8B}"/>
    <cellStyle name="Normal 2 4 5 2 3 5 2 3" xfId="12728" xr:uid="{0D0201DE-4CCF-4DCD-9931-E189AF87F67B}"/>
    <cellStyle name="Normal 2 4 5 2 3 5 3" xfId="6351" xr:uid="{00000000-0005-0000-0000-00006F100000}"/>
    <cellStyle name="Normal 2 4 5 2 3 5 3 2" xfId="14801" xr:uid="{FC3775D2-C8B9-4AB5-87CE-6412063958EF}"/>
    <cellStyle name="Normal 2 4 5 2 3 5 4" xfId="10583" xr:uid="{C45ED88D-C447-4DDD-AE81-94176B709D6E}"/>
    <cellStyle name="Normal 2 4 5 2 3 6" xfId="2481" xr:uid="{00000000-0005-0000-0000-000070100000}"/>
    <cellStyle name="Normal 2 4 5 2 3 6 2" xfId="6764" xr:uid="{00000000-0005-0000-0000-000071100000}"/>
    <cellStyle name="Normal 2 4 5 2 3 6 2 2" xfId="15214" xr:uid="{5EEC784A-D47E-4998-B176-EA30C0929E0C}"/>
    <cellStyle name="Normal 2 4 5 2 3 6 3" xfId="10996" xr:uid="{38F843E7-56C0-4CAF-9E38-508B3139D241}"/>
    <cellStyle name="Normal 2 4 5 2 3 7" xfId="4698" xr:uid="{00000000-0005-0000-0000-000072100000}"/>
    <cellStyle name="Normal 2 4 5 2 3 7 2" xfId="13148" xr:uid="{F4FF3188-B8A0-4AD2-9EF3-8B739D5FD63F}"/>
    <cellStyle name="Normal 2 4 5 2 3 8" xfId="8930" xr:uid="{FAE208F8-5868-4F88-ABAA-9B114884037E}"/>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5704" xr:uid="{56BAB131-7136-4C12-B9A3-2681932CFE35}"/>
    <cellStyle name="Normal 2 4 5 2 4 2 3" xfId="11486" xr:uid="{76CDFF28-DE27-4E6D-BB9D-6D555D071560}"/>
    <cellStyle name="Normal 2 4 5 2 4 3" xfId="5109" xr:uid="{00000000-0005-0000-0000-000076100000}"/>
    <cellStyle name="Normal 2 4 5 2 4 3 2" xfId="13559" xr:uid="{785DA017-CEFB-4CED-A73C-F56C793DF733}"/>
    <cellStyle name="Normal 2 4 5 2 4 4" xfId="9341" xr:uid="{E158F451-2041-42CB-B236-61D9770AECE3}"/>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117" xr:uid="{FF95E5E5-D8E6-452A-85EC-D92124FAEE24}"/>
    <cellStyle name="Normal 2 4 5 2 5 2 3" xfId="11899" xr:uid="{FE43D47D-D727-4D79-A2FF-02C7C15040C7}"/>
    <cellStyle name="Normal 2 4 5 2 5 3" xfId="5522" xr:uid="{00000000-0005-0000-0000-00007A100000}"/>
    <cellStyle name="Normal 2 4 5 2 5 3 2" xfId="13972" xr:uid="{C029B045-76AA-47A8-8F49-BBE18435AD3A}"/>
    <cellStyle name="Normal 2 4 5 2 5 4" xfId="9754" xr:uid="{B9A87603-EEE2-454B-9464-FE962555FC50}"/>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6530" xr:uid="{84C7E980-0F74-4268-A688-C403FF4E88D2}"/>
    <cellStyle name="Normal 2 4 5 2 6 2 3" xfId="12312" xr:uid="{921B5902-3A88-42B9-8ADC-9C55CBD2D9F9}"/>
    <cellStyle name="Normal 2 4 5 2 6 3" xfId="5935" xr:uid="{00000000-0005-0000-0000-00007E100000}"/>
    <cellStyle name="Normal 2 4 5 2 6 3 2" xfId="14385" xr:uid="{11386122-DCDF-4F40-92E7-376E9C01E1D9}"/>
    <cellStyle name="Normal 2 4 5 2 6 4" xfId="10167" xr:uid="{BC1BF985-8851-446A-AF70-7162B0FCDA70}"/>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6943" xr:uid="{465F7F2D-5680-4086-A941-BD6144BBDC30}"/>
    <cellStyle name="Normal 2 4 5 2 7 2 3" xfId="12725" xr:uid="{8ED1A279-39CB-4E1D-812F-E59C24A1302F}"/>
    <cellStyle name="Normal 2 4 5 2 7 3" xfId="6348" xr:uid="{00000000-0005-0000-0000-000082100000}"/>
    <cellStyle name="Normal 2 4 5 2 7 3 2" xfId="14798" xr:uid="{25801860-2495-4846-9845-FC55139084F9}"/>
    <cellStyle name="Normal 2 4 5 2 7 4" xfId="10580" xr:uid="{9474ED38-87E2-4D4C-BB07-081A99BF6E70}"/>
    <cellStyle name="Normal 2 4 5 2 8" xfId="2478" xr:uid="{00000000-0005-0000-0000-000083100000}"/>
    <cellStyle name="Normal 2 4 5 2 8 2" xfId="6761" xr:uid="{00000000-0005-0000-0000-000084100000}"/>
    <cellStyle name="Normal 2 4 5 2 8 2 2" xfId="15211" xr:uid="{DE9D279E-B472-44F4-927C-2513CF78FFE9}"/>
    <cellStyle name="Normal 2 4 5 2 8 3" xfId="10993" xr:uid="{4A53DFF7-954E-4735-ADD6-8331CBCAF686}"/>
    <cellStyle name="Normal 2 4 5 2 9" xfId="4695" xr:uid="{00000000-0005-0000-0000-000085100000}"/>
    <cellStyle name="Normal 2 4 5 2 9 2" xfId="13145" xr:uid="{8A3EC683-FC91-4561-8920-16DFBFA6A6CC}"/>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5709" xr:uid="{967D6177-A132-497D-8870-9EFD2866A645}"/>
    <cellStyle name="Normal 2 4 5 3 2 2 2 3" xfId="11491" xr:uid="{C5056C9D-C50E-4151-B46F-27F7B74D31C6}"/>
    <cellStyle name="Normal 2 4 5 3 2 2 3" xfId="5114" xr:uid="{00000000-0005-0000-0000-00008B100000}"/>
    <cellStyle name="Normal 2 4 5 3 2 2 3 2" xfId="13564" xr:uid="{76A74BC6-A975-4F87-9883-6C2EAC592C09}"/>
    <cellStyle name="Normal 2 4 5 3 2 2 4" xfId="9346" xr:uid="{34563ED3-5E16-4C0C-9D7C-DF0E4BC2C7CF}"/>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122" xr:uid="{3D45AFB9-AE49-4B58-B432-C461D783F17C}"/>
    <cellStyle name="Normal 2 4 5 3 2 3 2 3" xfId="11904" xr:uid="{0B737745-6951-465F-9758-AE0CF0B170FB}"/>
    <cellStyle name="Normal 2 4 5 3 2 3 3" xfId="5527" xr:uid="{00000000-0005-0000-0000-00008F100000}"/>
    <cellStyle name="Normal 2 4 5 3 2 3 3 2" xfId="13977" xr:uid="{F55E4DC6-B1E1-48DB-9FA3-F9301C5A68FC}"/>
    <cellStyle name="Normal 2 4 5 3 2 3 4" xfId="9759" xr:uid="{3B3F380F-8B39-4D09-A2F3-9A0DA11E8EBC}"/>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6535" xr:uid="{F8985555-4A09-4E06-A84D-D154650AD407}"/>
    <cellStyle name="Normal 2 4 5 3 2 4 2 3" xfId="12317" xr:uid="{A42771E0-DFE6-4649-A9C8-3B96535A08FC}"/>
    <cellStyle name="Normal 2 4 5 3 2 4 3" xfId="5940" xr:uid="{00000000-0005-0000-0000-000093100000}"/>
    <cellStyle name="Normal 2 4 5 3 2 4 3 2" xfId="14390" xr:uid="{61E62184-8C77-4DC4-BA81-0B8EE6FFE6D5}"/>
    <cellStyle name="Normal 2 4 5 3 2 4 4" xfId="10172" xr:uid="{817524D8-F065-46A0-94B4-11C4D6749ABC}"/>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6948" xr:uid="{DF85E544-FA58-4017-BDC4-67E85540537E}"/>
    <cellStyle name="Normal 2 4 5 3 2 5 2 3" xfId="12730" xr:uid="{2493D549-86D4-4CB9-A3BE-CE6A39F1B687}"/>
    <cellStyle name="Normal 2 4 5 3 2 5 3" xfId="6353" xr:uid="{00000000-0005-0000-0000-000097100000}"/>
    <cellStyle name="Normal 2 4 5 3 2 5 3 2" xfId="14803" xr:uid="{CCC68CAC-5908-4791-8BF1-BFA7035AE891}"/>
    <cellStyle name="Normal 2 4 5 3 2 5 4" xfId="10585" xr:uid="{CAF67C9A-3A49-46B1-9E97-ED4EFF49D760}"/>
    <cellStyle name="Normal 2 4 5 3 2 6" xfId="2483" xr:uid="{00000000-0005-0000-0000-000098100000}"/>
    <cellStyle name="Normal 2 4 5 3 2 6 2" xfId="6766" xr:uid="{00000000-0005-0000-0000-000099100000}"/>
    <cellStyle name="Normal 2 4 5 3 2 6 2 2" xfId="15216" xr:uid="{AA5D88BA-36AD-4B76-9155-299211678885}"/>
    <cellStyle name="Normal 2 4 5 3 2 6 3" xfId="10998" xr:uid="{B70DA98C-9B07-44FF-AACC-9EF873FB6084}"/>
    <cellStyle name="Normal 2 4 5 3 2 7" xfId="4700" xr:uid="{00000000-0005-0000-0000-00009A100000}"/>
    <cellStyle name="Normal 2 4 5 3 2 7 2" xfId="13150" xr:uid="{077CDAD6-3399-4D0E-969F-6035B8B9D0E8}"/>
    <cellStyle name="Normal 2 4 5 3 2 8" xfId="8932" xr:uid="{8BA78E55-9E2A-43DB-8973-3F823D5691B1}"/>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5708" xr:uid="{8AC37E57-3634-4257-96B4-42A4E08BFF12}"/>
    <cellStyle name="Normal 2 4 5 3 3 2 3" xfId="11490" xr:uid="{2BBA79F2-44D9-46E6-899C-B177E4DE78CD}"/>
    <cellStyle name="Normal 2 4 5 3 3 3" xfId="5113" xr:uid="{00000000-0005-0000-0000-00009E100000}"/>
    <cellStyle name="Normal 2 4 5 3 3 3 2" xfId="13563" xr:uid="{66E98675-EDA0-4AF6-8C57-CEC338068172}"/>
    <cellStyle name="Normal 2 4 5 3 3 4" xfId="9345" xr:uid="{0156B836-C146-416B-AE14-6AC664A89F00}"/>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121" xr:uid="{B1437020-ABF8-4185-A765-F36FABDAAFA5}"/>
    <cellStyle name="Normal 2 4 5 3 4 2 3" xfId="11903" xr:uid="{2E9605B8-7E41-4A72-B23F-16E95A004203}"/>
    <cellStyle name="Normal 2 4 5 3 4 3" xfId="5526" xr:uid="{00000000-0005-0000-0000-0000A2100000}"/>
    <cellStyle name="Normal 2 4 5 3 4 3 2" xfId="13976" xr:uid="{C3C2EFFD-E8BB-43F6-A70F-E51F27A8F4E7}"/>
    <cellStyle name="Normal 2 4 5 3 4 4" xfId="9758" xr:uid="{DD37DF78-2D36-4EA7-BA4E-C72A65E5134E}"/>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6534" xr:uid="{FF9A5B5B-27EA-4CF1-AB57-0FE34B23970B}"/>
    <cellStyle name="Normal 2 4 5 3 5 2 3" xfId="12316" xr:uid="{A93F0BDC-1C38-4CB9-98FC-2F095D6208AF}"/>
    <cellStyle name="Normal 2 4 5 3 5 3" xfId="5939" xr:uid="{00000000-0005-0000-0000-0000A6100000}"/>
    <cellStyle name="Normal 2 4 5 3 5 3 2" xfId="14389" xr:uid="{8BDC2684-40CD-4782-9FB5-4473B1D6C029}"/>
    <cellStyle name="Normal 2 4 5 3 5 4" xfId="10171" xr:uid="{7EF1BA94-EDC5-4809-B88F-1518644B36F3}"/>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6947" xr:uid="{44691558-EA8D-41C6-B11B-DCA2A6FC35D5}"/>
    <cellStyle name="Normal 2 4 5 3 6 2 3" xfId="12729" xr:uid="{85458529-5F8C-4E2C-AC40-7F1016C724DF}"/>
    <cellStyle name="Normal 2 4 5 3 6 3" xfId="6352" xr:uid="{00000000-0005-0000-0000-0000AA100000}"/>
    <cellStyle name="Normal 2 4 5 3 6 3 2" xfId="14802" xr:uid="{4FFED60D-5D07-4542-9BF4-65B9CB79EF46}"/>
    <cellStyle name="Normal 2 4 5 3 6 4" xfId="10584" xr:uid="{1AFCEFF8-B606-4D7B-810D-8A476329E9B8}"/>
    <cellStyle name="Normal 2 4 5 3 7" xfId="2482" xr:uid="{00000000-0005-0000-0000-0000AB100000}"/>
    <cellStyle name="Normal 2 4 5 3 7 2" xfId="6765" xr:uid="{00000000-0005-0000-0000-0000AC100000}"/>
    <cellStyle name="Normal 2 4 5 3 7 2 2" xfId="15215" xr:uid="{806BBB4F-B0FF-4029-8CA1-56B7AE317917}"/>
    <cellStyle name="Normal 2 4 5 3 7 3" xfId="10997" xr:uid="{F89D9CB6-611E-4DB3-92ED-72A0FB411032}"/>
    <cellStyle name="Normal 2 4 5 3 8" xfId="4699" xr:uid="{00000000-0005-0000-0000-0000AD100000}"/>
    <cellStyle name="Normal 2 4 5 3 8 2" xfId="13149" xr:uid="{70C53EEE-EA2A-4163-875D-3F884FE9DDFF}"/>
    <cellStyle name="Normal 2 4 5 3 9" xfId="8931" xr:uid="{D60388CE-6F06-453D-9AEB-4218E3446B4E}"/>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5710" xr:uid="{5E029FB1-2E2E-4B59-A98D-CF96AC2B0F00}"/>
    <cellStyle name="Normal 2 4 5 4 2 2 3" xfId="11492" xr:uid="{7482201B-39D0-43D4-B5B6-00AE277B00CA}"/>
    <cellStyle name="Normal 2 4 5 4 2 3" xfId="5115" xr:uid="{00000000-0005-0000-0000-0000B2100000}"/>
    <cellStyle name="Normal 2 4 5 4 2 3 2" xfId="13565" xr:uid="{CCAF240C-1B2D-426A-9567-2A510C886E14}"/>
    <cellStyle name="Normal 2 4 5 4 2 4" xfId="9347" xr:uid="{6BB5A75C-CBA3-43A0-A56B-3EA6728B5E5A}"/>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123" xr:uid="{85F42B60-44E5-4428-983B-A564974A1F2E}"/>
    <cellStyle name="Normal 2 4 5 4 3 2 3" xfId="11905" xr:uid="{A93F0B6B-81BE-4633-9BAB-17BFDAB6CC33}"/>
    <cellStyle name="Normal 2 4 5 4 3 3" xfId="5528" xr:uid="{00000000-0005-0000-0000-0000B6100000}"/>
    <cellStyle name="Normal 2 4 5 4 3 3 2" xfId="13978" xr:uid="{BEBE5508-A2CD-496F-81AF-FD18EE3A3593}"/>
    <cellStyle name="Normal 2 4 5 4 3 4" xfId="9760" xr:uid="{543CE7DC-B795-489C-9832-AF29C70505A0}"/>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6536" xr:uid="{5B08EEE1-CD52-4B59-8817-8164912809B7}"/>
    <cellStyle name="Normal 2 4 5 4 4 2 3" xfId="12318" xr:uid="{DF94A8D3-A407-4F60-B62F-C579696AD24A}"/>
    <cellStyle name="Normal 2 4 5 4 4 3" xfId="5941" xr:uid="{00000000-0005-0000-0000-0000BA100000}"/>
    <cellStyle name="Normal 2 4 5 4 4 3 2" xfId="14391" xr:uid="{A4A5191E-4A10-449E-A89C-30281CCBB951}"/>
    <cellStyle name="Normal 2 4 5 4 4 4" xfId="10173" xr:uid="{73A65587-4D8C-439D-8C20-1747DD64B64C}"/>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6949" xr:uid="{CEDAB646-C8BA-41CC-ADB5-7A5EE02A9CF4}"/>
    <cellStyle name="Normal 2 4 5 4 5 2 3" xfId="12731" xr:uid="{1FEDE6FF-6940-4B52-B9F1-361C8BB6B1B4}"/>
    <cellStyle name="Normal 2 4 5 4 5 3" xfId="6354" xr:uid="{00000000-0005-0000-0000-0000BE100000}"/>
    <cellStyle name="Normal 2 4 5 4 5 3 2" xfId="14804" xr:uid="{EA255C21-5406-429F-B836-02EF420E4DF6}"/>
    <cellStyle name="Normal 2 4 5 4 5 4" xfId="10586" xr:uid="{D2B9C228-2801-4151-B202-1D903667509E}"/>
    <cellStyle name="Normal 2 4 5 4 6" xfId="2484" xr:uid="{00000000-0005-0000-0000-0000BF100000}"/>
    <cellStyle name="Normal 2 4 5 4 6 2" xfId="6767" xr:uid="{00000000-0005-0000-0000-0000C0100000}"/>
    <cellStyle name="Normal 2 4 5 4 6 2 2" xfId="15217" xr:uid="{2917A93D-6E60-438D-AD43-B6EBDB68C308}"/>
    <cellStyle name="Normal 2 4 5 4 6 3" xfId="10999" xr:uid="{8B641CEB-1451-43C1-AC08-E8A90D760A33}"/>
    <cellStyle name="Normal 2 4 5 4 7" xfId="4701" xr:uid="{00000000-0005-0000-0000-0000C1100000}"/>
    <cellStyle name="Normal 2 4 5 4 7 2" xfId="13151" xr:uid="{29CC2761-92E5-4E3C-AF5D-23E655516F02}"/>
    <cellStyle name="Normal 2 4 5 4 8" xfId="8933" xr:uid="{EFC80798-E786-4642-890E-452F9158837B}"/>
    <cellStyle name="Normal 2 4 5 5" xfId="792" xr:uid="{00000000-0005-0000-0000-0000C2100000}"/>
    <cellStyle name="Normal 2 4 5 5 2" xfId="3031" xr:uid="{00000000-0005-0000-0000-0000C3100000}"/>
    <cellStyle name="Normal 2 4 5 5 2 2" xfId="7253" xr:uid="{00000000-0005-0000-0000-0000C4100000}"/>
    <cellStyle name="Normal 2 4 5 5 2 2 2" xfId="15703" xr:uid="{F41A0C62-3C60-4607-A342-82E27B0C4677}"/>
    <cellStyle name="Normal 2 4 5 5 2 3" xfId="11485" xr:uid="{541201A8-E801-45AD-8A53-D4E376720646}"/>
    <cellStyle name="Normal 2 4 5 5 3" xfId="5108" xr:uid="{00000000-0005-0000-0000-0000C5100000}"/>
    <cellStyle name="Normal 2 4 5 5 3 2" xfId="13558" xr:uid="{E4E18329-4797-46F3-A1B3-069D012226B3}"/>
    <cellStyle name="Normal 2 4 5 5 4" xfId="9340" xr:uid="{DAB09A7E-55C5-4EDD-A895-2AFC32D1D3CE}"/>
    <cellStyle name="Normal 2 4 5 6" xfId="1214" xr:uid="{00000000-0005-0000-0000-0000C6100000}"/>
    <cellStyle name="Normal 2 4 5 6 2" xfId="3444" xr:uid="{00000000-0005-0000-0000-0000C7100000}"/>
    <cellStyle name="Normal 2 4 5 6 2 2" xfId="7666" xr:uid="{00000000-0005-0000-0000-0000C8100000}"/>
    <cellStyle name="Normal 2 4 5 6 2 2 2" xfId="16116" xr:uid="{5685C707-3685-4E67-8379-7398A1D0207B}"/>
    <cellStyle name="Normal 2 4 5 6 2 3" xfId="11898" xr:uid="{C97452BF-D3C9-4013-B930-028E5492E7B2}"/>
    <cellStyle name="Normal 2 4 5 6 3" xfId="5521" xr:uid="{00000000-0005-0000-0000-0000C9100000}"/>
    <cellStyle name="Normal 2 4 5 6 3 2" xfId="13971" xr:uid="{A7430DBC-5C49-431A-9765-88A4B46F99B9}"/>
    <cellStyle name="Normal 2 4 5 6 4" xfId="9753" xr:uid="{5FF6CB73-D78F-47BF-AC4A-FC32265C3E4C}"/>
    <cellStyle name="Normal 2 4 5 7" xfId="1627" xr:uid="{00000000-0005-0000-0000-0000CA100000}"/>
    <cellStyle name="Normal 2 4 5 7 2" xfId="3857" xr:uid="{00000000-0005-0000-0000-0000CB100000}"/>
    <cellStyle name="Normal 2 4 5 7 2 2" xfId="8079" xr:uid="{00000000-0005-0000-0000-0000CC100000}"/>
    <cellStyle name="Normal 2 4 5 7 2 2 2" xfId="16529" xr:uid="{6D86350A-CB5E-4DB4-B140-5488C4308F7A}"/>
    <cellStyle name="Normal 2 4 5 7 2 3" xfId="12311" xr:uid="{ABDD8921-1C39-4798-A821-687901EC838F}"/>
    <cellStyle name="Normal 2 4 5 7 3" xfId="5934" xr:uid="{00000000-0005-0000-0000-0000CD100000}"/>
    <cellStyle name="Normal 2 4 5 7 3 2" xfId="14384" xr:uid="{866F2A8D-CA31-4C9D-991F-388F904E1A4E}"/>
    <cellStyle name="Normal 2 4 5 7 4" xfId="10166" xr:uid="{B9537330-BBB3-4929-A328-1909D87BDC40}"/>
    <cellStyle name="Normal 2 4 5 8" xfId="2041" xr:uid="{00000000-0005-0000-0000-0000CE100000}"/>
    <cellStyle name="Normal 2 4 5 8 2" xfId="4270" xr:uid="{00000000-0005-0000-0000-0000CF100000}"/>
    <cellStyle name="Normal 2 4 5 8 2 2" xfId="8492" xr:uid="{00000000-0005-0000-0000-0000D0100000}"/>
    <cellStyle name="Normal 2 4 5 8 2 2 2" xfId="16942" xr:uid="{C4B59ED5-7A08-4459-9AA4-47FB3FA6343B}"/>
    <cellStyle name="Normal 2 4 5 8 2 3" xfId="12724" xr:uid="{1416CE3F-CF2D-452B-8726-38EA4FC19721}"/>
    <cellStyle name="Normal 2 4 5 8 3" xfId="6347" xr:uid="{00000000-0005-0000-0000-0000D1100000}"/>
    <cellStyle name="Normal 2 4 5 8 3 2" xfId="14797" xr:uid="{859C4BC4-4AB1-461B-BBB9-85630159B1B6}"/>
    <cellStyle name="Normal 2 4 5 8 4" xfId="10579" xr:uid="{107F9B9D-2C6E-4513-9343-1FC0E500CD47}"/>
    <cellStyle name="Normal 2 4 5 9" xfId="2477" xr:uid="{00000000-0005-0000-0000-0000D2100000}"/>
    <cellStyle name="Normal 2 4 5 9 2" xfId="6760" xr:uid="{00000000-0005-0000-0000-0000D3100000}"/>
    <cellStyle name="Normal 2 4 5 9 2 2" xfId="15210" xr:uid="{CC58D2AE-77F9-4126-8224-2DFB18F7D4BD}"/>
    <cellStyle name="Normal 2 4 5 9 3" xfId="10992" xr:uid="{9CA53927-FD00-4607-83E4-1B03A21A849E}"/>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5712" xr:uid="{95F3774B-D128-4D25-9E8B-B664DFA1E2FD}"/>
    <cellStyle name="Normal 2 4 7 2 2 2 3" xfId="11494" xr:uid="{9350FB20-4956-4010-A4BC-8190ADE988D8}"/>
    <cellStyle name="Normal 2 4 7 2 2 3" xfId="5117" xr:uid="{00000000-0005-0000-0000-0000DA100000}"/>
    <cellStyle name="Normal 2 4 7 2 2 3 2" xfId="13567" xr:uid="{DE4A7271-0303-45C7-8B02-1A9A303F45FE}"/>
    <cellStyle name="Normal 2 4 7 2 2 4" xfId="9349" xr:uid="{F5ED94CF-597D-4811-8859-5CF78750F8D6}"/>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6125" xr:uid="{8BCF3ADB-C56A-45AD-AC97-9B272AB4B445}"/>
    <cellStyle name="Normal 2 4 7 2 3 2 3" xfId="11907" xr:uid="{31CDA55D-4A9C-4838-B102-43969889552D}"/>
    <cellStyle name="Normal 2 4 7 2 3 3" xfId="5530" xr:uid="{00000000-0005-0000-0000-0000DE100000}"/>
    <cellStyle name="Normal 2 4 7 2 3 3 2" xfId="13980" xr:uid="{32FE1AD7-3B11-4FC9-83E6-CA11864D4F0E}"/>
    <cellStyle name="Normal 2 4 7 2 3 4" xfId="9762" xr:uid="{21741126-B877-4A23-A4B1-50410B6CD244}"/>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6538" xr:uid="{D7740B47-8139-45D4-BA2A-EFF1AC5753FE}"/>
    <cellStyle name="Normal 2 4 7 2 4 2 3" xfId="12320" xr:uid="{FE514A2A-F95A-4F4B-AEDB-1578B105B668}"/>
    <cellStyle name="Normal 2 4 7 2 4 3" xfId="5943" xr:uid="{00000000-0005-0000-0000-0000E2100000}"/>
    <cellStyle name="Normal 2 4 7 2 4 3 2" xfId="14393" xr:uid="{A47C2332-7738-4AA1-88EB-C10D8F58D8AC}"/>
    <cellStyle name="Normal 2 4 7 2 4 4" xfId="10175" xr:uid="{A26FF78C-76B3-4416-80D4-A9D9FAD78313}"/>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6951" xr:uid="{B4B6DD1B-FB2F-4D45-8DC5-923AD68EE413}"/>
    <cellStyle name="Normal 2 4 7 2 5 2 3" xfId="12733" xr:uid="{BD090824-BC1F-4BCA-9817-10AA6C7DA230}"/>
    <cellStyle name="Normal 2 4 7 2 5 3" xfId="6356" xr:uid="{00000000-0005-0000-0000-0000E6100000}"/>
    <cellStyle name="Normal 2 4 7 2 5 3 2" xfId="14806" xr:uid="{6BC54E02-880E-42C3-96A9-9C9DDA8B61E0}"/>
    <cellStyle name="Normal 2 4 7 2 5 4" xfId="10588" xr:uid="{0A7F1A5B-28EE-45CB-BF90-19A929BE8D2A}"/>
    <cellStyle name="Normal 2 4 7 2 6" xfId="2486" xr:uid="{00000000-0005-0000-0000-0000E7100000}"/>
    <cellStyle name="Normal 2 4 7 2 6 2" xfId="6769" xr:uid="{00000000-0005-0000-0000-0000E8100000}"/>
    <cellStyle name="Normal 2 4 7 2 6 2 2" xfId="15219" xr:uid="{E705F9BB-B09E-4137-AEFC-2021187D2975}"/>
    <cellStyle name="Normal 2 4 7 2 6 3" xfId="11001" xr:uid="{362E8003-F858-4853-A0B7-3FDE7335AEE8}"/>
    <cellStyle name="Normal 2 4 7 2 7" xfId="4703" xr:uid="{00000000-0005-0000-0000-0000E9100000}"/>
    <cellStyle name="Normal 2 4 7 2 7 2" xfId="13153" xr:uid="{03D8DB5E-D18C-4E28-B4D8-9F031ACDEC77}"/>
    <cellStyle name="Normal 2 4 7 2 8" xfId="8935" xr:uid="{AEF5DA3F-0D88-48BC-9DA0-E0294B8BFC9C}"/>
    <cellStyle name="Normal 2 4 7 3" xfId="800" xr:uid="{00000000-0005-0000-0000-0000EA100000}"/>
    <cellStyle name="Normal 2 4 7 3 2" xfId="3039" xr:uid="{00000000-0005-0000-0000-0000EB100000}"/>
    <cellStyle name="Normal 2 4 7 3 2 2" xfId="7261" xr:uid="{00000000-0005-0000-0000-0000EC100000}"/>
    <cellStyle name="Normal 2 4 7 3 2 2 2" xfId="15711" xr:uid="{1872F8BC-9838-425A-90A1-8D5160C2CF6D}"/>
    <cellStyle name="Normal 2 4 7 3 2 3" xfId="11493" xr:uid="{F874ACC7-A05C-47D3-BA3B-9FBEF6B4B700}"/>
    <cellStyle name="Normal 2 4 7 3 3" xfId="5116" xr:uid="{00000000-0005-0000-0000-0000ED100000}"/>
    <cellStyle name="Normal 2 4 7 3 3 2" xfId="13566" xr:uid="{D0BBA47B-A674-4FE1-B639-9B8EAE99465A}"/>
    <cellStyle name="Normal 2 4 7 3 4" xfId="9348" xr:uid="{32043A7C-9DB3-45EF-B3C2-5F81F3D7D5A5}"/>
    <cellStyle name="Normal 2 4 7 4" xfId="1222" xr:uid="{00000000-0005-0000-0000-0000EE100000}"/>
    <cellStyle name="Normal 2 4 7 4 2" xfId="3452" xr:uid="{00000000-0005-0000-0000-0000EF100000}"/>
    <cellStyle name="Normal 2 4 7 4 2 2" xfId="7674" xr:uid="{00000000-0005-0000-0000-0000F0100000}"/>
    <cellStyle name="Normal 2 4 7 4 2 2 2" xfId="16124" xr:uid="{79C8001A-FDC5-4760-991A-F0EC38906A28}"/>
    <cellStyle name="Normal 2 4 7 4 2 3" xfId="11906" xr:uid="{6C9C2AB5-58BD-493E-95BE-C854CEA649FD}"/>
    <cellStyle name="Normal 2 4 7 4 3" xfId="5529" xr:uid="{00000000-0005-0000-0000-0000F1100000}"/>
    <cellStyle name="Normal 2 4 7 4 3 2" xfId="13979" xr:uid="{CF8E5735-9771-47AB-9FB0-6744B677962B}"/>
    <cellStyle name="Normal 2 4 7 4 4" xfId="9761" xr:uid="{19ECA406-8864-4217-8EB0-5CE87CBDF1E4}"/>
    <cellStyle name="Normal 2 4 7 5" xfId="1635" xr:uid="{00000000-0005-0000-0000-0000F2100000}"/>
    <cellStyle name="Normal 2 4 7 5 2" xfId="3865" xr:uid="{00000000-0005-0000-0000-0000F3100000}"/>
    <cellStyle name="Normal 2 4 7 5 2 2" xfId="8087" xr:uid="{00000000-0005-0000-0000-0000F4100000}"/>
    <cellStyle name="Normal 2 4 7 5 2 2 2" xfId="16537" xr:uid="{B47ECBE9-2296-4BE7-B5C6-1FE28BE26DF1}"/>
    <cellStyle name="Normal 2 4 7 5 2 3" xfId="12319" xr:uid="{CE07B0AC-A946-4745-BAB3-6A1D571B597B}"/>
    <cellStyle name="Normal 2 4 7 5 3" xfId="5942" xr:uid="{00000000-0005-0000-0000-0000F5100000}"/>
    <cellStyle name="Normal 2 4 7 5 3 2" xfId="14392" xr:uid="{4885680A-6062-4272-9CF0-6240300C5AA6}"/>
    <cellStyle name="Normal 2 4 7 5 4" xfId="10174" xr:uid="{577BA654-4B41-4649-8D1B-640F2EAC930F}"/>
    <cellStyle name="Normal 2 4 7 6" xfId="2049" xr:uid="{00000000-0005-0000-0000-0000F6100000}"/>
    <cellStyle name="Normal 2 4 7 6 2" xfId="4278" xr:uid="{00000000-0005-0000-0000-0000F7100000}"/>
    <cellStyle name="Normal 2 4 7 6 2 2" xfId="8500" xr:uid="{00000000-0005-0000-0000-0000F8100000}"/>
    <cellStyle name="Normal 2 4 7 6 2 2 2" xfId="16950" xr:uid="{6B8AC215-FF73-4CD3-A218-C96D66A44DEE}"/>
    <cellStyle name="Normal 2 4 7 6 2 3" xfId="12732" xr:uid="{B99E205A-4ABC-4ABE-AA6B-08A0FA8E97B3}"/>
    <cellStyle name="Normal 2 4 7 6 3" xfId="6355" xr:uid="{00000000-0005-0000-0000-0000F9100000}"/>
    <cellStyle name="Normal 2 4 7 6 3 2" xfId="14805" xr:uid="{C40DF05E-21AA-4400-8112-3D5819725D2E}"/>
    <cellStyle name="Normal 2 4 7 6 4" xfId="10587" xr:uid="{BAD96D2B-F86D-4561-AAD1-11215DFFB0B7}"/>
    <cellStyle name="Normal 2 4 7 7" xfId="2485" xr:uid="{00000000-0005-0000-0000-0000FA100000}"/>
    <cellStyle name="Normal 2 4 7 7 2" xfId="6768" xr:uid="{00000000-0005-0000-0000-0000FB100000}"/>
    <cellStyle name="Normal 2 4 7 7 2 2" xfId="15218" xr:uid="{AD10BEBE-1C72-4F97-9356-928FF3E2B8F2}"/>
    <cellStyle name="Normal 2 4 7 7 3" xfId="11000" xr:uid="{5256A9D9-8515-4797-A9DA-B80F89A0EF73}"/>
    <cellStyle name="Normal 2 4 7 8" xfId="4702" xr:uid="{00000000-0005-0000-0000-0000FC100000}"/>
    <cellStyle name="Normal 2 4 7 8 2" xfId="13152" xr:uid="{7B1BA4C8-578C-46FA-AB00-2A791FB5E4D2}"/>
    <cellStyle name="Normal 2 4 7 9" xfId="8934" xr:uid="{4FE9B289-F73D-4FE5-8E40-3AF5EE5E16C5}"/>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5713" xr:uid="{61040263-1B33-41C5-AE11-6AAFE8B59C70}"/>
    <cellStyle name="Normal 2 4 8 2 2 3" xfId="11495" xr:uid="{8A74E077-AAB2-4DB9-93DD-BA1BC5CEFE27}"/>
    <cellStyle name="Normal 2 4 8 2 3" xfId="5118" xr:uid="{00000000-0005-0000-0000-000001110000}"/>
    <cellStyle name="Normal 2 4 8 2 3 2" xfId="13568" xr:uid="{208491AD-8850-41E3-9CFA-A675BA7E903B}"/>
    <cellStyle name="Normal 2 4 8 2 4" xfId="9350" xr:uid="{03AD6410-CAB4-416E-A985-8B3C6B53919C}"/>
    <cellStyle name="Normal 2 4 8 3" xfId="1224" xr:uid="{00000000-0005-0000-0000-000002110000}"/>
    <cellStyle name="Normal 2 4 8 3 2" xfId="3454" xr:uid="{00000000-0005-0000-0000-000003110000}"/>
    <cellStyle name="Normal 2 4 8 3 2 2" xfId="7676" xr:uid="{00000000-0005-0000-0000-000004110000}"/>
    <cellStyle name="Normal 2 4 8 3 2 2 2" xfId="16126" xr:uid="{2E459AC6-09CE-4FA1-9A3E-2BB2C5AB7D78}"/>
    <cellStyle name="Normal 2 4 8 3 2 3" xfId="11908" xr:uid="{BD9A7DED-F5FE-423E-A958-F1397006456C}"/>
    <cellStyle name="Normal 2 4 8 3 3" xfId="5531" xr:uid="{00000000-0005-0000-0000-000005110000}"/>
    <cellStyle name="Normal 2 4 8 3 3 2" xfId="13981" xr:uid="{6CD85ED7-DE4B-4A32-9065-8BC7FEF1EC31}"/>
    <cellStyle name="Normal 2 4 8 3 4" xfId="9763" xr:uid="{B2446020-D511-4214-84A7-425965DB0950}"/>
    <cellStyle name="Normal 2 4 8 4" xfId="1637" xr:uid="{00000000-0005-0000-0000-000006110000}"/>
    <cellStyle name="Normal 2 4 8 4 2" xfId="3867" xr:uid="{00000000-0005-0000-0000-000007110000}"/>
    <cellStyle name="Normal 2 4 8 4 2 2" xfId="8089" xr:uid="{00000000-0005-0000-0000-000008110000}"/>
    <cellStyle name="Normal 2 4 8 4 2 2 2" xfId="16539" xr:uid="{BA95FD1B-A5BA-4285-A294-66E8B62B89D4}"/>
    <cellStyle name="Normal 2 4 8 4 2 3" xfId="12321" xr:uid="{445132C4-A44E-4C9F-B7BE-76F94DE5486C}"/>
    <cellStyle name="Normal 2 4 8 4 3" xfId="5944" xr:uid="{00000000-0005-0000-0000-000009110000}"/>
    <cellStyle name="Normal 2 4 8 4 3 2" xfId="14394" xr:uid="{D572435D-F8D8-4037-91BA-D7CD4C73B97A}"/>
    <cellStyle name="Normal 2 4 8 4 4" xfId="10176" xr:uid="{50F8F5DB-D0E6-463E-A9FD-325634262412}"/>
    <cellStyle name="Normal 2 4 8 5" xfId="2051" xr:uid="{00000000-0005-0000-0000-00000A110000}"/>
    <cellStyle name="Normal 2 4 8 5 2" xfId="4280" xr:uid="{00000000-0005-0000-0000-00000B110000}"/>
    <cellStyle name="Normal 2 4 8 5 2 2" xfId="8502" xr:uid="{00000000-0005-0000-0000-00000C110000}"/>
    <cellStyle name="Normal 2 4 8 5 2 2 2" xfId="16952" xr:uid="{845FD6D6-60B6-430C-93FB-4F9418447A0E}"/>
    <cellStyle name="Normal 2 4 8 5 2 3" xfId="12734" xr:uid="{570524BE-8128-433C-AE68-5E1C93CB7DDB}"/>
    <cellStyle name="Normal 2 4 8 5 3" xfId="6357" xr:uid="{00000000-0005-0000-0000-00000D110000}"/>
    <cellStyle name="Normal 2 4 8 5 3 2" xfId="14807" xr:uid="{09D1E21F-040F-4D0B-8DF1-142CBFCBE67E}"/>
    <cellStyle name="Normal 2 4 8 5 4" xfId="10589" xr:uid="{4FC49461-D9EF-4463-85E1-8F4315616E2B}"/>
    <cellStyle name="Normal 2 4 8 6" xfId="2487" xr:uid="{00000000-0005-0000-0000-00000E110000}"/>
    <cellStyle name="Normal 2 4 8 6 2" xfId="6770" xr:uid="{00000000-0005-0000-0000-00000F110000}"/>
    <cellStyle name="Normal 2 4 8 6 2 2" xfId="15220" xr:uid="{E64F9C68-3FE5-4EFA-9F21-349196815055}"/>
    <cellStyle name="Normal 2 4 8 6 3" xfId="11002" xr:uid="{07B7EAE5-5899-43DE-A39F-7B0C2B9551B0}"/>
    <cellStyle name="Normal 2 4 8 7" xfId="4704" xr:uid="{00000000-0005-0000-0000-000010110000}"/>
    <cellStyle name="Normal 2 4 8 7 2" xfId="13154" xr:uid="{E36FB38F-7AF6-411A-A6B8-F851E204B600}"/>
    <cellStyle name="Normal 2 4 8 8" xfId="8936" xr:uid="{25BE5E9A-C305-452E-881E-1EA209066E66}"/>
    <cellStyle name="Normal 2 5" xfId="315" xr:uid="{00000000-0005-0000-0000-000011110000}"/>
    <cellStyle name="Normal 2 5 10" xfId="4705" xr:uid="{00000000-0005-0000-0000-000012110000}"/>
    <cellStyle name="Normal 2 5 10 2" xfId="13155" xr:uid="{3AF37105-B7F7-4E4D-B001-E25C1B5954AD}"/>
    <cellStyle name="Normal 2 5 11" xfId="8937" xr:uid="{CB526014-2834-4440-9E0B-776C45B0E1F0}"/>
    <cellStyle name="Normal 2 5 2" xfId="316" xr:uid="{00000000-0005-0000-0000-000013110000}"/>
    <cellStyle name="Normal 2 5 3" xfId="317" xr:uid="{00000000-0005-0000-0000-000014110000}"/>
    <cellStyle name="Normal 2 5 4" xfId="318" xr:uid="{00000000-0005-0000-0000-000015110000}"/>
    <cellStyle name="Normal 2 5 4 10" xfId="8938" xr:uid="{C44592B7-EA77-4D8D-9E97-1DAAC8BBBE1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5717" xr:uid="{165B519E-7682-4B60-9BCA-B5013D028F75}"/>
    <cellStyle name="Normal 2 5 4 2 2 2 2 3" xfId="11499" xr:uid="{9774774B-8F94-411B-8276-9FB62E57C68D}"/>
    <cellStyle name="Normal 2 5 4 2 2 2 3" xfId="5122" xr:uid="{00000000-0005-0000-0000-00001B110000}"/>
    <cellStyle name="Normal 2 5 4 2 2 2 3 2" xfId="13572" xr:uid="{2823A9A0-1D72-43AA-9E57-BB6096440836}"/>
    <cellStyle name="Normal 2 5 4 2 2 2 4" xfId="9354" xr:uid="{12E72412-13C3-4CF6-9511-795FE5BA39CF}"/>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6130" xr:uid="{BADD0D24-593E-4856-9C42-2A81DA59D27F}"/>
    <cellStyle name="Normal 2 5 4 2 2 3 2 3" xfId="11912" xr:uid="{35C5E749-1BE0-46AC-BE68-245EA6684C28}"/>
    <cellStyle name="Normal 2 5 4 2 2 3 3" xfId="5535" xr:uid="{00000000-0005-0000-0000-00001F110000}"/>
    <cellStyle name="Normal 2 5 4 2 2 3 3 2" xfId="13985" xr:uid="{D559F7C5-11A5-4800-BA4F-52B73717D710}"/>
    <cellStyle name="Normal 2 5 4 2 2 3 4" xfId="9767" xr:uid="{563D0207-8BD2-4BDA-B262-45B90F0584AF}"/>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6543" xr:uid="{1EBB96B1-4996-42CD-848E-39007BECF9D2}"/>
    <cellStyle name="Normal 2 5 4 2 2 4 2 3" xfId="12325" xr:uid="{63FF4077-2F7B-441C-8C4F-3E997F6F8649}"/>
    <cellStyle name="Normal 2 5 4 2 2 4 3" xfId="5948" xr:uid="{00000000-0005-0000-0000-000023110000}"/>
    <cellStyle name="Normal 2 5 4 2 2 4 3 2" xfId="14398" xr:uid="{A53D19C6-705E-4B9D-9ED3-C0CCA56D0767}"/>
    <cellStyle name="Normal 2 5 4 2 2 4 4" xfId="10180" xr:uid="{CF87DF72-E134-4E3F-A6E9-F4B0001228C5}"/>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6956" xr:uid="{BB461284-395B-4862-9991-506E0C4F398E}"/>
    <cellStyle name="Normal 2 5 4 2 2 5 2 3" xfId="12738" xr:uid="{F629D513-E577-4F69-8E20-1640F9E5D3CF}"/>
    <cellStyle name="Normal 2 5 4 2 2 5 3" xfId="6361" xr:uid="{00000000-0005-0000-0000-000027110000}"/>
    <cellStyle name="Normal 2 5 4 2 2 5 3 2" xfId="14811" xr:uid="{A8C62B5E-1370-4CDB-85ED-3CFC3D3D25C2}"/>
    <cellStyle name="Normal 2 5 4 2 2 5 4" xfId="10593" xr:uid="{928EB099-0311-4F30-A095-704180CEFB73}"/>
    <cellStyle name="Normal 2 5 4 2 2 6" xfId="2491" xr:uid="{00000000-0005-0000-0000-000028110000}"/>
    <cellStyle name="Normal 2 5 4 2 2 6 2" xfId="6774" xr:uid="{00000000-0005-0000-0000-000029110000}"/>
    <cellStyle name="Normal 2 5 4 2 2 6 2 2" xfId="15224" xr:uid="{2BAC415D-CD87-4EE9-820A-70CAA00996CE}"/>
    <cellStyle name="Normal 2 5 4 2 2 6 3" xfId="11006" xr:uid="{62937680-12AA-42E8-AAE4-6BC997069582}"/>
    <cellStyle name="Normal 2 5 4 2 2 7" xfId="4708" xr:uid="{00000000-0005-0000-0000-00002A110000}"/>
    <cellStyle name="Normal 2 5 4 2 2 7 2" xfId="13158" xr:uid="{57B90B4C-4A5E-4A8F-9F2D-9602D843662E}"/>
    <cellStyle name="Normal 2 5 4 2 2 8" xfId="8940" xr:uid="{8B374752-898D-452D-ABBF-83B5BB0946BF}"/>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5716" xr:uid="{0C31EE37-00B5-44DF-A546-32DC6C6AED4D}"/>
    <cellStyle name="Normal 2 5 4 2 3 2 3" xfId="11498" xr:uid="{8A9DE23A-FFA0-4E59-A8CD-A5FDFB9F07D1}"/>
    <cellStyle name="Normal 2 5 4 2 3 3" xfId="5121" xr:uid="{00000000-0005-0000-0000-00002E110000}"/>
    <cellStyle name="Normal 2 5 4 2 3 3 2" xfId="13571" xr:uid="{2B7E37B1-0228-42F9-910E-35D48BBAD618}"/>
    <cellStyle name="Normal 2 5 4 2 3 4" xfId="9353" xr:uid="{07EE48A2-400C-4111-8E8B-95BC168097DA}"/>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6129" xr:uid="{B5D77D79-E23A-4132-98F9-A27D1EE38F44}"/>
    <cellStyle name="Normal 2 5 4 2 4 2 3" xfId="11911" xr:uid="{4617B943-CD87-4E5C-B3D3-CD0B027C568D}"/>
    <cellStyle name="Normal 2 5 4 2 4 3" xfId="5534" xr:uid="{00000000-0005-0000-0000-000032110000}"/>
    <cellStyle name="Normal 2 5 4 2 4 3 2" xfId="13984" xr:uid="{E264FBA1-77DA-43F7-9B01-2F2D87EE26E1}"/>
    <cellStyle name="Normal 2 5 4 2 4 4" xfId="9766" xr:uid="{427D7358-174C-445C-A65B-18DE10B3AD42}"/>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6542" xr:uid="{A3260E5E-F42A-4E44-BC6D-D5E1AD7EB071}"/>
    <cellStyle name="Normal 2 5 4 2 5 2 3" xfId="12324" xr:uid="{5992BF65-B848-4B3E-82F6-CBBFB53BCA67}"/>
    <cellStyle name="Normal 2 5 4 2 5 3" xfId="5947" xr:uid="{00000000-0005-0000-0000-000036110000}"/>
    <cellStyle name="Normal 2 5 4 2 5 3 2" xfId="14397" xr:uid="{4FD74AE0-E2D9-46AE-A978-159B8938A139}"/>
    <cellStyle name="Normal 2 5 4 2 5 4" xfId="10179" xr:uid="{A590AF8F-0D6D-41F2-BCF3-17849F44E6D9}"/>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6955" xr:uid="{0A4E2829-FB50-4F57-BBA5-4150614DA33A}"/>
    <cellStyle name="Normal 2 5 4 2 6 2 3" xfId="12737" xr:uid="{4C13002D-83B6-4B93-8A44-2F7B6D7DC900}"/>
    <cellStyle name="Normal 2 5 4 2 6 3" xfId="6360" xr:uid="{00000000-0005-0000-0000-00003A110000}"/>
    <cellStyle name="Normal 2 5 4 2 6 3 2" xfId="14810" xr:uid="{C5EEBAF5-53B7-45BE-BFEF-D3D9CC33B433}"/>
    <cellStyle name="Normal 2 5 4 2 6 4" xfId="10592" xr:uid="{7D980A28-17E2-470A-8CDE-F240F5F8F242}"/>
    <cellStyle name="Normal 2 5 4 2 7" xfId="2490" xr:uid="{00000000-0005-0000-0000-00003B110000}"/>
    <cellStyle name="Normal 2 5 4 2 7 2" xfId="6773" xr:uid="{00000000-0005-0000-0000-00003C110000}"/>
    <cellStyle name="Normal 2 5 4 2 7 2 2" xfId="15223" xr:uid="{84B7E0B6-4341-4A36-97FE-EF137796156B}"/>
    <cellStyle name="Normal 2 5 4 2 7 3" xfId="11005" xr:uid="{EB7C58BC-F680-49A1-ACDF-4EBBB47E39B8}"/>
    <cellStyle name="Normal 2 5 4 2 8" xfId="4707" xr:uid="{00000000-0005-0000-0000-00003D110000}"/>
    <cellStyle name="Normal 2 5 4 2 8 2" xfId="13157" xr:uid="{0B486596-02BE-4300-90BE-0D7E9D4E52FC}"/>
    <cellStyle name="Normal 2 5 4 2 9" xfId="8939" xr:uid="{29EC235E-C610-4E9C-B88C-807A2B16A6CB}"/>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5718" xr:uid="{FD13BD6F-B410-41AC-8099-6DD0D1DE59DD}"/>
    <cellStyle name="Normal 2 5 4 3 2 2 3" xfId="11500" xr:uid="{164DDB62-23A1-4365-AC87-B50EC9B34409}"/>
    <cellStyle name="Normal 2 5 4 3 2 3" xfId="5123" xr:uid="{00000000-0005-0000-0000-000042110000}"/>
    <cellStyle name="Normal 2 5 4 3 2 3 2" xfId="13573" xr:uid="{23014F9F-97F8-486B-9534-06F4AF024EF6}"/>
    <cellStyle name="Normal 2 5 4 3 2 4" xfId="9355" xr:uid="{A71B4059-1D4B-4B7C-8C86-6C959DBB6AEE}"/>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6131" xr:uid="{9C73E779-AFC9-4DEE-9CDA-052843358516}"/>
    <cellStyle name="Normal 2 5 4 3 3 2 3" xfId="11913" xr:uid="{93263C5F-6693-4918-A051-15382B808F84}"/>
    <cellStyle name="Normal 2 5 4 3 3 3" xfId="5536" xr:uid="{00000000-0005-0000-0000-000046110000}"/>
    <cellStyle name="Normal 2 5 4 3 3 3 2" xfId="13986" xr:uid="{C8787085-AD7A-4996-8120-521F4FE3AB2C}"/>
    <cellStyle name="Normal 2 5 4 3 3 4" xfId="9768" xr:uid="{3C9EE2ED-4B09-4E8E-AD68-AAAFFD1EBF28}"/>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6544" xr:uid="{3799653A-489A-440E-84BC-F7DDFEA973CF}"/>
    <cellStyle name="Normal 2 5 4 3 4 2 3" xfId="12326" xr:uid="{37D5247B-5F55-42BD-8BF5-011F792DA1AF}"/>
    <cellStyle name="Normal 2 5 4 3 4 3" xfId="5949" xr:uid="{00000000-0005-0000-0000-00004A110000}"/>
    <cellStyle name="Normal 2 5 4 3 4 3 2" xfId="14399" xr:uid="{C68D3160-20F8-486F-967D-B491E5EE9D8F}"/>
    <cellStyle name="Normal 2 5 4 3 4 4" xfId="10181" xr:uid="{4CCACB74-008D-4FB3-BEDB-86D817E65E00}"/>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6957" xr:uid="{0A2CE1E7-6666-4C65-92AF-88845954E3F0}"/>
    <cellStyle name="Normal 2 5 4 3 5 2 3" xfId="12739" xr:uid="{3F6B07C3-4D46-40B7-AB33-50186543C470}"/>
    <cellStyle name="Normal 2 5 4 3 5 3" xfId="6362" xr:uid="{00000000-0005-0000-0000-00004E110000}"/>
    <cellStyle name="Normal 2 5 4 3 5 3 2" xfId="14812" xr:uid="{6E91EFA3-EF56-4450-9239-39E8D8C84ED0}"/>
    <cellStyle name="Normal 2 5 4 3 5 4" xfId="10594" xr:uid="{AC17A0EC-40A2-402D-8DF9-B1C75135CC8A}"/>
    <cellStyle name="Normal 2 5 4 3 6" xfId="2492" xr:uid="{00000000-0005-0000-0000-00004F110000}"/>
    <cellStyle name="Normal 2 5 4 3 6 2" xfId="6775" xr:uid="{00000000-0005-0000-0000-000050110000}"/>
    <cellStyle name="Normal 2 5 4 3 6 2 2" xfId="15225" xr:uid="{210FE036-9233-4E26-BCC4-02E183B34D22}"/>
    <cellStyle name="Normal 2 5 4 3 6 3" xfId="11007" xr:uid="{F68830B7-6F21-49FB-A208-7BB05C9CD2A5}"/>
    <cellStyle name="Normal 2 5 4 3 7" xfId="4709" xr:uid="{00000000-0005-0000-0000-000051110000}"/>
    <cellStyle name="Normal 2 5 4 3 7 2" xfId="13159" xr:uid="{92677F2F-AD7B-427F-B4F9-4A3884DA3D8C}"/>
    <cellStyle name="Normal 2 5 4 3 8" xfId="8941" xr:uid="{148BAE9B-EC3D-40D4-AB15-9E0819ADBACD}"/>
    <cellStyle name="Normal 2 5 4 4" xfId="804" xr:uid="{00000000-0005-0000-0000-000052110000}"/>
    <cellStyle name="Normal 2 5 4 4 2" xfId="3043" xr:uid="{00000000-0005-0000-0000-000053110000}"/>
    <cellStyle name="Normal 2 5 4 4 2 2" xfId="7265" xr:uid="{00000000-0005-0000-0000-000054110000}"/>
    <cellStyle name="Normal 2 5 4 4 2 2 2" xfId="15715" xr:uid="{AA7897A0-D6DD-46D0-98CC-FF2756AA260C}"/>
    <cellStyle name="Normal 2 5 4 4 2 3" xfId="11497" xr:uid="{954E6602-0978-46B5-9F20-4F8B910A5935}"/>
    <cellStyle name="Normal 2 5 4 4 3" xfId="5120" xr:uid="{00000000-0005-0000-0000-000055110000}"/>
    <cellStyle name="Normal 2 5 4 4 3 2" xfId="13570" xr:uid="{A0199E14-D50B-417B-9EA3-49131A2585B8}"/>
    <cellStyle name="Normal 2 5 4 4 4" xfId="9352" xr:uid="{4CD5938A-A59C-45A0-A68C-8DB4DC2C495A}"/>
    <cellStyle name="Normal 2 5 4 5" xfId="1226" xr:uid="{00000000-0005-0000-0000-000056110000}"/>
    <cellStyle name="Normal 2 5 4 5 2" xfId="3456" xr:uid="{00000000-0005-0000-0000-000057110000}"/>
    <cellStyle name="Normal 2 5 4 5 2 2" xfId="7678" xr:uid="{00000000-0005-0000-0000-000058110000}"/>
    <cellStyle name="Normal 2 5 4 5 2 2 2" xfId="16128" xr:uid="{EE4F759F-0907-4AE0-96BF-7F58659C372D}"/>
    <cellStyle name="Normal 2 5 4 5 2 3" xfId="11910" xr:uid="{B4149BF1-A8A3-4085-9152-B2143EA3D018}"/>
    <cellStyle name="Normal 2 5 4 5 3" xfId="5533" xr:uid="{00000000-0005-0000-0000-000059110000}"/>
    <cellStyle name="Normal 2 5 4 5 3 2" xfId="13983" xr:uid="{69A91FAB-0903-4ECA-AB08-C3A04DE6152A}"/>
    <cellStyle name="Normal 2 5 4 5 4" xfId="9765" xr:uid="{B382BE71-458C-44DA-A062-2BCC0FF76D83}"/>
    <cellStyle name="Normal 2 5 4 6" xfId="1639" xr:uid="{00000000-0005-0000-0000-00005A110000}"/>
    <cellStyle name="Normal 2 5 4 6 2" xfId="3869" xr:uid="{00000000-0005-0000-0000-00005B110000}"/>
    <cellStyle name="Normal 2 5 4 6 2 2" xfId="8091" xr:uid="{00000000-0005-0000-0000-00005C110000}"/>
    <cellStyle name="Normal 2 5 4 6 2 2 2" xfId="16541" xr:uid="{8D9F4502-4C00-4963-8EE2-067C8C99AC5B}"/>
    <cellStyle name="Normal 2 5 4 6 2 3" xfId="12323" xr:uid="{D58F8530-4151-42B9-8F06-10B2B82165A9}"/>
    <cellStyle name="Normal 2 5 4 6 3" xfId="5946" xr:uid="{00000000-0005-0000-0000-00005D110000}"/>
    <cellStyle name="Normal 2 5 4 6 3 2" xfId="14396" xr:uid="{66DCE85B-C7D9-4861-A5D0-CF8C7FB62364}"/>
    <cellStyle name="Normal 2 5 4 6 4" xfId="10178" xr:uid="{AB08BD79-7633-4A15-BA98-E3B3A6D681BC}"/>
    <cellStyle name="Normal 2 5 4 7" xfId="2053" xr:uid="{00000000-0005-0000-0000-00005E110000}"/>
    <cellStyle name="Normal 2 5 4 7 2" xfId="4282" xr:uid="{00000000-0005-0000-0000-00005F110000}"/>
    <cellStyle name="Normal 2 5 4 7 2 2" xfId="8504" xr:uid="{00000000-0005-0000-0000-000060110000}"/>
    <cellStyle name="Normal 2 5 4 7 2 2 2" xfId="16954" xr:uid="{A963F144-B158-4B77-A7AD-EF8E31C77C78}"/>
    <cellStyle name="Normal 2 5 4 7 2 3" xfId="12736" xr:uid="{CE0C75B5-0FEF-4A65-AAD3-A4302CEC05B4}"/>
    <cellStyle name="Normal 2 5 4 7 3" xfId="6359" xr:uid="{00000000-0005-0000-0000-000061110000}"/>
    <cellStyle name="Normal 2 5 4 7 3 2" xfId="14809" xr:uid="{C1F9CE7D-D78A-424F-8EB3-6A33C6385457}"/>
    <cellStyle name="Normal 2 5 4 7 4" xfId="10591" xr:uid="{8EF5AC58-B976-4EB1-A991-70F559739144}"/>
    <cellStyle name="Normal 2 5 4 8" xfId="2489" xr:uid="{00000000-0005-0000-0000-000062110000}"/>
    <cellStyle name="Normal 2 5 4 8 2" xfId="6772" xr:uid="{00000000-0005-0000-0000-000063110000}"/>
    <cellStyle name="Normal 2 5 4 8 2 2" xfId="15222" xr:uid="{0AA54B39-5663-470B-9C86-2D3A61102E50}"/>
    <cellStyle name="Normal 2 5 4 8 3" xfId="11004" xr:uid="{B53AFA9F-5B93-45F4-B809-9B719492B481}"/>
    <cellStyle name="Normal 2 5 4 9" xfId="4706" xr:uid="{00000000-0005-0000-0000-000064110000}"/>
    <cellStyle name="Normal 2 5 4 9 2" xfId="13156" xr:uid="{EC4A7D95-85E8-42DA-AEDA-810FFDC006B6}"/>
    <cellStyle name="Normal 2 5 5" xfId="803" xr:uid="{00000000-0005-0000-0000-000065110000}"/>
    <cellStyle name="Normal 2 5 5 2" xfId="3042" xr:uid="{00000000-0005-0000-0000-000066110000}"/>
    <cellStyle name="Normal 2 5 5 2 2" xfId="7264" xr:uid="{00000000-0005-0000-0000-000067110000}"/>
    <cellStyle name="Normal 2 5 5 2 2 2" xfId="15714" xr:uid="{43358CBE-4482-4124-BE54-AFCE84B8038C}"/>
    <cellStyle name="Normal 2 5 5 2 3" xfId="11496" xr:uid="{9B5E1791-9366-4D55-9446-3DDAA15262EE}"/>
    <cellStyle name="Normal 2 5 5 3" xfId="5119" xr:uid="{00000000-0005-0000-0000-000068110000}"/>
    <cellStyle name="Normal 2 5 5 3 2" xfId="13569" xr:uid="{8C200590-156C-4D06-BDB3-009CAD10A0B8}"/>
    <cellStyle name="Normal 2 5 5 4" xfId="9351" xr:uid="{7C76B120-A1AE-49C4-A4CA-D867F502408F}"/>
    <cellStyle name="Normal 2 5 6" xfId="1225" xr:uid="{00000000-0005-0000-0000-000069110000}"/>
    <cellStyle name="Normal 2 5 6 2" xfId="3455" xr:uid="{00000000-0005-0000-0000-00006A110000}"/>
    <cellStyle name="Normal 2 5 6 2 2" xfId="7677" xr:uid="{00000000-0005-0000-0000-00006B110000}"/>
    <cellStyle name="Normal 2 5 6 2 2 2" xfId="16127" xr:uid="{3FA2E96A-AFFA-41E5-98D6-359585F9AFD7}"/>
    <cellStyle name="Normal 2 5 6 2 3" xfId="11909" xr:uid="{D57E9629-6683-49CD-AD2E-4B8C121D1099}"/>
    <cellStyle name="Normal 2 5 6 3" xfId="5532" xr:uid="{00000000-0005-0000-0000-00006C110000}"/>
    <cellStyle name="Normal 2 5 6 3 2" xfId="13982" xr:uid="{B153F381-FDB6-41F5-84AB-9D5F3DFBC639}"/>
    <cellStyle name="Normal 2 5 6 4" xfId="9764" xr:uid="{83344A8F-7CBE-45D2-A0A7-8B2ABDC958C2}"/>
    <cellStyle name="Normal 2 5 7" xfId="1638" xr:uid="{00000000-0005-0000-0000-00006D110000}"/>
    <cellStyle name="Normal 2 5 7 2" xfId="3868" xr:uid="{00000000-0005-0000-0000-00006E110000}"/>
    <cellStyle name="Normal 2 5 7 2 2" xfId="8090" xr:uid="{00000000-0005-0000-0000-00006F110000}"/>
    <cellStyle name="Normal 2 5 7 2 2 2" xfId="16540" xr:uid="{579D5D8E-8672-4541-9C65-72EE0658CCAD}"/>
    <cellStyle name="Normal 2 5 7 2 3" xfId="12322" xr:uid="{B8117018-9B52-4F60-BCF1-6D4C48153589}"/>
    <cellStyle name="Normal 2 5 7 3" xfId="5945" xr:uid="{00000000-0005-0000-0000-000070110000}"/>
    <cellStyle name="Normal 2 5 7 3 2" xfId="14395" xr:uid="{DDBE71CB-40F4-42AE-A6BE-A1B95E408B36}"/>
    <cellStyle name="Normal 2 5 7 4" xfId="10177" xr:uid="{953FA337-DD4E-44A6-8840-6F8A26464613}"/>
    <cellStyle name="Normal 2 5 8" xfId="2052" xr:uid="{00000000-0005-0000-0000-000071110000}"/>
    <cellStyle name="Normal 2 5 8 2" xfId="4281" xr:uid="{00000000-0005-0000-0000-000072110000}"/>
    <cellStyle name="Normal 2 5 8 2 2" xfId="8503" xr:uid="{00000000-0005-0000-0000-000073110000}"/>
    <cellStyle name="Normal 2 5 8 2 2 2" xfId="16953" xr:uid="{B28FEEE3-8A11-4A74-B2CF-F579F3DDA1E3}"/>
    <cellStyle name="Normal 2 5 8 2 3" xfId="12735" xr:uid="{DC87D07D-242F-40E5-86BC-94E7DB924CC5}"/>
    <cellStyle name="Normal 2 5 8 3" xfId="6358" xr:uid="{00000000-0005-0000-0000-000074110000}"/>
    <cellStyle name="Normal 2 5 8 3 2" xfId="14808" xr:uid="{4B378701-6D80-4F08-BCCC-6C6E360C3FA5}"/>
    <cellStyle name="Normal 2 5 8 4" xfId="10590" xr:uid="{7CB62C12-2ABF-42C9-8476-4D73E81705FB}"/>
    <cellStyle name="Normal 2 5 9" xfId="2488" xr:uid="{00000000-0005-0000-0000-000075110000}"/>
    <cellStyle name="Normal 2 5 9 2" xfId="6771" xr:uid="{00000000-0005-0000-0000-000076110000}"/>
    <cellStyle name="Normal 2 5 9 2 2" xfId="15221" xr:uid="{C4B380B0-28CD-4784-B65E-7C3233C1D253}"/>
    <cellStyle name="Normal 2 5 9 3" xfId="11003" xr:uid="{09FC9902-816D-4E5C-97BF-B6020FB581D9}"/>
    <cellStyle name="Normal 2 6" xfId="322" xr:uid="{00000000-0005-0000-0000-000077110000}"/>
    <cellStyle name="Normal 2 7" xfId="769" xr:uid="{00000000-0005-0000-0000-000078110000}"/>
    <cellStyle name="Normal 2 8" xfId="4495" xr:uid="{00000000-0005-0000-0000-000079110000}"/>
    <cellStyle name="Normal 2 8 2" xfId="12947" xr:uid="{ABB08915-C1ED-42B1-B6B6-603EEAE6EE2A}"/>
    <cellStyle name="Normal 3" xfId="323" xr:uid="{00000000-0005-0000-0000-00007A110000}"/>
    <cellStyle name="Normal 3 2" xfId="324" xr:uid="{00000000-0005-0000-0000-00007B110000}"/>
    <cellStyle name="Normal 3 2 10" xfId="8942" xr:uid="{9ABCAEDC-B061-442B-9C44-89BEF40772DA}"/>
    <cellStyle name="Normal 3 2 2" xfId="325" xr:uid="{00000000-0005-0000-0000-00007C110000}"/>
    <cellStyle name="Normal 3 2 2 2" xfId="810" xr:uid="{00000000-0005-0000-0000-00007D110000}"/>
    <cellStyle name="Normal 3 2 3" xfId="326" xr:uid="{00000000-0005-0000-0000-00007E110000}"/>
    <cellStyle name="Normal 3 2 3 10" xfId="8943" xr:uid="{55514A0F-115F-4AC4-B468-F7B8CC67281B}"/>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5722" xr:uid="{A7345978-96B9-4E10-93F0-C785075940DD}"/>
    <cellStyle name="Normal 3 2 3 2 2 2 2 3" xfId="11504" xr:uid="{84DC6D34-ACE2-4810-B8EC-FF9070B73E33}"/>
    <cellStyle name="Normal 3 2 3 2 2 2 3" xfId="5127" xr:uid="{00000000-0005-0000-0000-000084110000}"/>
    <cellStyle name="Normal 3 2 3 2 2 2 3 2" xfId="13577" xr:uid="{A0BD5764-019A-4472-AA65-6908147A8152}"/>
    <cellStyle name="Normal 3 2 3 2 2 2 4" xfId="9359" xr:uid="{84B18279-1E05-42F3-B83E-F42B9E0113E1}"/>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6135" xr:uid="{1501FAFD-D7CC-444B-B7D9-A742473C93DC}"/>
    <cellStyle name="Normal 3 2 3 2 2 3 2 3" xfId="11917" xr:uid="{5AE47EAA-17B0-4B86-8802-3AC6FDD90AED}"/>
    <cellStyle name="Normal 3 2 3 2 2 3 3" xfId="5540" xr:uid="{00000000-0005-0000-0000-000088110000}"/>
    <cellStyle name="Normal 3 2 3 2 2 3 3 2" xfId="13990" xr:uid="{A0F08CF2-118D-40ED-8EB4-58A3A8ACC612}"/>
    <cellStyle name="Normal 3 2 3 2 2 3 4" xfId="9772" xr:uid="{762E4FBC-8F97-4A16-9032-BAF888F2A1E2}"/>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6548" xr:uid="{209A641F-747B-465F-A655-F0470D7312F6}"/>
    <cellStyle name="Normal 3 2 3 2 2 4 2 3" xfId="12330" xr:uid="{ECE3F9FE-190B-4262-99A7-B1E9F9DF6A84}"/>
    <cellStyle name="Normal 3 2 3 2 2 4 3" xfId="5953" xr:uid="{00000000-0005-0000-0000-00008C110000}"/>
    <cellStyle name="Normal 3 2 3 2 2 4 3 2" xfId="14403" xr:uid="{DC4A1304-8A19-4254-9DFB-E552E9936711}"/>
    <cellStyle name="Normal 3 2 3 2 2 4 4" xfId="10185" xr:uid="{0A5D6AC7-67E4-4020-A9F1-A7C954972274}"/>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6961" xr:uid="{EB09DD51-9DC9-46B5-B282-F18961695380}"/>
    <cellStyle name="Normal 3 2 3 2 2 5 2 3" xfId="12743" xr:uid="{A4E80E42-9BD3-4749-9ECB-5BE4D4D23395}"/>
    <cellStyle name="Normal 3 2 3 2 2 5 3" xfId="6366" xr:uid="{00000000-0005-0000-0000-000090110000}"/>
    <cellStyle name="Normal 3 2 3 2 2 5 3 2" xfId="14816" xr:uid="{6F35F166-DFBA-4EC0-ACA6-3CA73C84202E}"/>
    <cellStyle name="Normal 3 2 3 2 2 5 4" xfId="10598" xr:uid="{4D06497B-5DEC-4987-89A8-EDD6CD7082C5}"/>
    <cellStyle name="Normal 3 2 3 2 2 6" xfId="2496" xr:uid="{00000000-0005-0000-0000-000091110000}"/>
    <cellStyle name="Normal 3 2 3 2 2 6 2" xfId="6779" xr:uid="{00000000-0005-0000-0000-000092110000}"/>
    <cellStyle name="Normal 3 2 3 2 2 6 2 2" xfId="15229" xr:uid="{DF3218AA-0E94-44B6-A98E-FDED771123DC}"/>
    <cellStyle name="Normal 3 2 3 2 2 6 3" xfId="11011" xr:uid="{0D4BE4CE-E045-48BC-AF13-002287A924A7}"/>
    <cellStyle name="Normal 3 2 3 2 2 7" xfId="4713" xr:uid="{00000000-0005-0000-0000-000093110000}"/>
    <cellStyle name="Normal 3 2 3 2 2 7 2" xfId="13163" xr:uid="{BCE66BB0-DBB2-4302-B093-9CC9B1D2A717}"/>
    <cellStyle name="Normal 3 2 3 2 2 8" xfId="8945" xr:uid="{8B538585-8FFA-457C-8D43-8FC51EA6CD74}"/>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5721" xr:uid="{EEFACA25-1DCA-4621-92F1-D2788219B655}"/>
    <cellStyle name="Normal 3 2 3 2 3 2 3" xfId="11503" xr:uid="{1A877F39-FDD2-4E29-865B-99F13A5BDC52}"/>
    <cellStyle name="Normal 3 2 3 2 3 3" xfId="5126" xr:uid="{00000000-0005-0000-0000-000097110000}"/>
    <cellStyle name="Normal 3 2 3 2 3 3 2" xfId="13576" xr:uid="{72FE18AC-F230-48DF-BB65-4C46B7A4740E}"/>
    <cellStyle name="Normal 3 2 3 2 3 4" xfId="9358" xr:uid="{0710B8E7-F1D2-4EA9-ABF9-D408D0B694C2}"/>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6134" xr:uid="{DA120159-A403-4323-B406-632B623A9E28}"/>
    <cellStyle name="Normal 3 2 3 2 4 2 3" xfId="11916" xr:uid="{8C5A1F23-2A84-4F93-889C-EEC67D6F514C}"/>
    <cellStyle name="Normal 3 2 3 2 4 3" xfId="5539" xr:uid="{00000000-0005-0000-0000-00009B110000}"/>
    <cellStyle name="Normal 3 2 3 2 4 3 2" xfId="13989" xr:uid="{C11F2766-35D5-4F7A-82C6-D536D96EEF5F}"/>
    <cellStyle name="Normal 3 2 3 2 4 4" xfId="9771" xr:uid="{DD158E66-7505-42A4-B9D0-2BC13828DE4E}"/>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6547" xr:uid="{1F4E79B2-466A-4914-984A-A2000E1DF29B}"/>
    <cellStyle name="Normal 3 2 3 2 5 2 3" xfId="12329" xr:uid="{B445354D-9425-4E15-BAFD-CC984098EFEB}"/>
    <cellStyle name="Normal 3 2 3 2 5 3" xfId="5952" xr:uid="{00000000-0005-0000-0000-00009F110000}"/>
    <cellStyle name="Normal 3 2 3 2 5 3 2" xfId="14402" xr:uid="{17EB5ACF-DCC6-4C16-B908-34D6CC1C8259}"/>
    <cellStyle name="Normal 3 2 3 2 5 4" xfId="10184" xr:uid="{07644C6F-D822-4D48-8B37-1E3189B98C02}"/>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6960" xr:uid="{34C091EE-F450-436B-B422-5D1DF4382647}"/>
    <cellStyle name="Normal 3 2 3 2 6 2 3" xfId="12742" xr:uid="{35F9BDA5-D3AD-4A69-8D56-416776F71772}"/>
    <cellStyle name="Normal 3 2 3 2 6 3" xfId="6365" xr:uid="{00000000-0005-0000-0000-0000A3110000}"/>
    <cellStyle name="Normal 3 2 3 2 6 3 2" xfId="14815" xr:uid="{556A9424-E623-42E9-8B99-2656208A6016}"/>
    <cellStyle name="Normal 3 2 3 2 6 4" xfId="10597" xr:uid="{E2653F6F-558B-44F0-B6BE-05829051FF22}"/>
    <cellStyle name="Normal 3 2 3 2 7" xfId="2495" xr:uid="{00000000-0005-0000-0000-0000A4110000}"/>
    <cellStyle name="Normal 3 2 3 2 7 2" xfId="6778" xr:uid="{00000000-0005-0000-0000-0000A5110000}"/>
    <cellStyle name="Normal 3 2 3 2 7 2 2" xfId="15228" xr:uid="{C96ECB08-7473-4553-B693-285883FC5CCC}"/>
    <cellStyle name="Normal 3 2 3 2 7 3" xfId="11010" xr:uid="{A5B6AFC9-E3EC-4B84-8B53-64E499174AF5}"/>
    <cellStyle name="Normal 3 2 3 2 8" xfId="4712" xr:uid="{00000000-0005-0000-0000-0000A6110000}"/>
    <cellStyle name="Normal 3 2 3 2 8 2" xfId="13162" xr:uid="{EBD479F5-06F5-4323-AEFA-6A54C6D6CBFE}"/>
    <cellStyle name="Normal 3 2 3 2 9" xfId="8944" xr:uid="{7A01BD84-2D41-4037-9BAA-AF714122858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5723" xr:uid="{FBF98D87-18C4-4889-BC41-BA85C6CDDFAB}"/>
    <cellStyle name="Normal 3 2 3 3 2 2 3" xfId="11505" xr:uid="{EE919038-9C17-4BC9-8B45-7E7C51907B10}"/>
    <cellStyle name="Normal 3 2 3 3 2 3" xfId="5128" xr:uid="{00000000-0005-0000-0000-0000AB110000}"/>
    <cellStyle name="Normal 3 2 3 3 2 3 2" xfId="13578" xr:uid="{1B29D87C-4417-45BC-A757-2025A85D94B1}"/>
    <cellStyle name="Normal 3 2 3 3 2 4" xfId="9360" xr:uid="{37A81616-4831-4088-9831-63D78EB6544D}"/>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6136" xr:uid="{734BB7E0-B058-4F0C-8BD5-F547D4604901}"/>
    <cellStyle name="Normal 3 2 3 3 3 2 3" xfId="11918" xr:uid="{F9559F28-1802-4442-A5C7-487564449D7F}"/>
    <cellStyle name="Normal 3 2 3 3 3 3" xfId="5541" xr:uid="{00000000-0005-0000-0000-0000AF110000}"/>
    <cellStyle name="Normal 3 2 3 3 3 3 2" xfId="13991" xr:uid="{3A8B9AF1-9096-4F62-ACFD-BF8130A0E9F4}"/>
    <cellStyle name="Normal 3 2 3 3 3 4" xfId="9773" xr:uid="{56654E0B-ADF8-411A-9E21-6F9353B2D992}"/>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6549" xr:uid="{D9F8A6BD-0F75-47D9-A633-33B058F64D9A}"/>
    <cellStyle name="Normal 3 2 3 3 4 2 3" xfId="12331" xr:uid="{236C3C62-BD28-470A-BFDF-4B17FD961061}"/>
    <cellStyle name="Normal 3 2 3 3 4 3" xfId="5954" xr:uid="{00000000-0005-0000-0000-0000B3110000}"/>
    <cellStyle name="Normal 3 2 3 3 4 3 2" xfId="14404" xr:uid="{471A5E25-D1F7-4D9D-85B7-B41BEACA2A24}"/>
    <cellStyle name="Normal 3 2 3 3 4 4" xfId="10186" xr:uid="{4FF5B1BC-2A16-4D41-8637-76028DEFA255}"/>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6962" xr:uid="{91370F82-1834-4CC1-9D74-6DEB10E46FB7}"/>
    <cellStyle name="Normal 3 2 3 3 5 2 3" xfId="12744" xr:uid="{EBEFD928-EC53-45F7-897B-A26AB6EFA979}"/>
    <cellStyle name="Normal 3 2 3 3 5 3" xfId="6367" xr:uid="{00000000-0005-0000-0000-0000B7110000}"/>
    <cellStyle name="Normal 3 2 3 3 5 3 2" xfId="14817" xr:uid="{C480EE69-B8A9-45D8-A3D9-85F176628C0E}"/>
    <cellStyle name="Normal 3 2 3 3 5 4" xfId="10599" xr:uid="{600AAA6B-4388-4E79-A029-3AF432066CE1}"/>
    <cellStyle name="Normal 3 2 3 3 6" xfId="2497" xr:uid="{00000000-0005-0000-0000-0000B8110000}"/>
    <cellStyle name="Normal 3 2 3 3 6 2" xfId="6780" xr:uid="{00000000-0005-0000-0000-0000B9110000}"/>
    <cellStyle name="Normal 3 2 3 3 6 2 2" xfId="15230" xr:uid="{AC8DE796-9B3A-44BE-B690-C9569E52CB46}"/>
    <cellStyle name="Normal 3 2 3 3 6 3" xfId="11012" xr:uid="{29652AB9-6C94-4E30-BE99-BE5061ACF29E}"/>
    <cellStyle name="Normal 3 2 3 3 7" xfId="4714" xr:uid="{00000000-0005-0000-0000-0000BA110000}"/>
    <cellStyle name="Normal 3 2 3 3 7 2" xfId="13164" xr:uid="{6BAAE836-A8E7-48A2-8AF6-02DFE3EC44BE}"/>
    <cellStyle name="Normal 3 2 3 3 8" xfId="8946" xr:uid="{67D24377-FB31-4A78-9ABA-DFC4D08980B5}"/>
    <cellStyle name="Normal 3 2 3 4" xfId="811" xr:uid="{00000000-0005-0000-0000-0000BB110000}"/>
    <cellStyle name="Normal 3 2 3 4 2" xfId="3048" xr:uid="{00000000-0005-0000-0000-0000BC110000}"/>
    <cellStyle name="Normal 3 2 3 4 2 2" xfId="7270" xr:uid="{00000000-0005-0000-0000-0000BD110000}"/>
    <cellStyle name="Normal 3 2 3 4 2 2 2" xfId="15720" xr:uid="{0E43FC6E-408D-4106-87AD-349BD33ABA87}"/>
    <cellStyle name="Normal 3 2 3 4 2 3" xfId="11502" xr:uid="{E936482D-5489-49E7-B29D-56BAB24D0420}"/>
    <cellStyle name="Normal 3 2 3 4 3" xfId="5125" xr:uid="{00000000-0005-0000-0000-0000BE110000}"/>
    <cellStyle name="Normal 3 2 3 4 3 2" xfId="13575" xr:uid="{04979D8E-2526-4E95-B366-6D163021A918}"/>
    <cellStyle name="Normal 3 2 3 4 4" xfId="9357" xr:uid="{99916BA3-5D89-48E9-AC35-29BB990F4228}"/>
    <cellStyle name="Normal 3 2 3 5" xfId="1231" xr:uid="{00000000-0005-0000-0000-0000BF110000}"/>
    <cellStyle name="Normal 3 2 3 5 2" xfId="3461" xr:uid="{00000000-0005-0000-0000-0000C0110000}"/>
    <cellStyle name="Normal 3 2 3 5 2 2" xfId="7683" xr:uid="{00000000-0005-0000-0000-0000C1110000}"/>
    <cellStyle name="Normal 3 2 3 5 2 2 2" xfId="16133" xr:uid="{5428CE78-341F-468C-8C75-31DEAFB09068}"/>
    <cellStyle name="Normal 3 2 3 5 2 3" xfId="11915" xr:uid="{9D3900A5-F9C5-436B-9549-6EE11FB04547}"/>
    <cellStyle name="Normal 3 2 3 5 3" xfId="5538" xr:uid="{00000000-0005-0000-0000-0000C2110000}"/>
    <cellStyle name="Normal 3 2 3 5 3 2" xfId="13988" xr:uid="{115D2B73-E282-48CE-B1BA-1C46F940B92D}"/>
    <cellStyle name="Normal 3 2 3 5 4" xfId="9770" xr:uid="{43B8EF3B-94FC-490C-8D60-886AA7F56E50}"/>
    <cellStyle name="Normal 3 2 3 6" xfId="1644" xr:uid="{00000000-0005-0000-0000-0000C3110000}"/>
    <cellStyle name="Normal 3 2 3 6 2" xfId="3874" xr:uid="{00000000-0005-0000-0000-0000C4110000}"/>
    <cellStyle name="Normal 3 2 3 6 2 2" xfId="8096" xr:uid="{00000000-0005-0000-0000-0000C5110000}"/>
    <cellStyle name="Normal 3 2 3 6 2 2 2" xfId="16546" xr:uid="{884325B4-5E8E-4031-BBF1-16D0D3E0102D}"/>
    <cellStyle name="Normal 3 2 3 6 2 3" xfId="12328" xr:uid="{DE14953A-60A7-41B5-ABDB-2F77D61FCE2D}"/>
    <cellStyle name="Normal 3 2 3 6 3" xfId="5951" xr:uid="{00000000-0005-0000-0000-0000C6110000}"/>
    <cellStyle name="Normal 3 2 3 6 3 2" xfId="14401" xr:uid="{B1389A8D-102A-4191-AE50-77538064BCBC}"/>
    <cellStyle name="Normal 3 2 3 6 4" xfId="10183" xr:uid="{3DA9E8E8-C162-4B76-8D33-010EFDD19F75}"/>
    <cellStyle name="Normal 3 2 3 7" xfId="2058" xr:uid="{00000000-0005-0000-0000-0000C7110000}"/>
    <cellStyle name="Normal 3 2 3 7 2" xfId="4287" xr:uid="{00000000-0005-0000-0000-0000C8110000}"/>
    <cellStyle name="Normal 3 2 3 7 2 2" xfId="8509" xr:uid="{00000000-0005-0000-0000-0000C9110000}"/>
    <cellStyle name="Normal 3 2 3 7 2 2 2" xfId="16959" xr:uid="{11352912-44C0-410C-A933-558C4F271945}"/>
    <cellStyle name="Normal 3 2 3 7 2 3" xfId="12741" xr:uid="{BE1F31C6-C9D2-4A36-8129-A3971ABF1C79}"/>
    <cellStyle name="Normal 3 2 3 7 3" xfId="6364" xr:uid="{00000000-0005-0000-0000-0000CA110000}"/>
    <cellStyle name="Normal 3 2 3 7 3 2" xfId="14814" xr:uid="{A1D0CEF0-C58C-444A-AF9C-D88B6590B897}"/>
    <cellStyle name="Normal 3 2 3 7 4" xfId="10596" xr:uid="{56BBC877-B957-4D4B-A1B6-E39D92A470E0}"/>
    <cellStyle name="Normal 3 2 3 8" xfId="2494" xr:uid="{00000000-0005-0000-0000-0000CB110000}"/>
    <cellStyle name="Normal 3 2 3 8 2" xfId="6777" xr:uid="{00000000-0005-0000-0000-0000CC110000}"/>
    <cellStyle name="Normal 3 2 3 8 2 2" xfId="15227" xr:uid="{0B2FE6BA-A4DD-4D3A-B376-D7A8F18CAF99}"/>
    <cellStyle name="Normal 3 2 3 8 3" xfId="11009" xr:uid="{80ED9B00-DD13-4A8F-B189-9B698149BDBB}"/>
    <cellStyle name="Normal 3 2 3 9" xfId="4711" xr:uid="{00000000-0005-0000-0000-0000CD110000}"/>
    <cellStyle name="Normal 3 2 3 9 2" xfId="13161" xr:uid="{68A2E2B8-60CE-4913-83E3-D93C35F64CA3}"/>
    <cellStyle name="Normal 3 2 4" xfId="809" xr:uid="{00000000-0005-0000-0000-0000CE110000}"/>
    <cellStyle name="Normal 3 2 4 2" xfId="3047" xr:uid="{00000000-0005-0000-0000-0000CF110000}"/>
    <cellStyle name="Normal 3 2 4 2 2" xfId="7269" xr:uid="{00000000-0005-0000-0000-0000D0110000}"/>
    <cellStyle name="Normal 3 2 4 2 2 2" xfId="15719" xr:uid="{B0F176A0-5536-4D64-80A9-FF9CE59A7EA0}"/>
    <cellStyle name="Normal 3 2 4 2 3" xfId="11501" xr:uid="{C1AE93F9-10A4-4479-92BD-925A5D2F6B72}"/>
    <cellStyle name="Normal 3 2 4 3" xfId="5124" xr:uid="{00000000-0005-0000-0000-0000D1110000}"/>
    <cellStyle name="Normal 3 2 4 3 2" xfId="13574" xr:uid="{0BDB91D8-0CCD-46CF-857F-3BE3ED95A5DF}"/>
    <cellStyle name="Normal 3 2 4 4" xfId="9356" xr:uid="{F82B0E20-834A-4F63-A5FC-3A0E103B478B}"/>
    <cellStyle name="Normal 3 2 5" xfId="1230" xr:uid="{00000000-0005-0000-0000-0000D2110000}"/>
    <cellStyle name="Normal 3 2 5 2" xfId="3460" xr:uid="{00000000-0005-0000-0000-0000D3110000}"/>
    <cellStyle name="Normal 3 2 5 2 2" xfId="7682" xr:uid="{00000000-0005-0000-0000-0000D4110000}"/>
    <cellStyle name="Normal 3 2 5 2 2 2" xfId="16132" xr:uid="{CDC90814-4A57-428B-9370-9C964D3ADA4D}"/>
    <cellStyle name="Normal 3 2 5 2 3" xfId="11914" xr:uid="{95F90356-329F-4A9A-A5BB-2BF7E6CFABCA}"/>
    <cellStyle name="Normal 3 2 5 3" xfId="5537" xr:uid="{00000000-0005-0000-0000-0000D5110000}"/>
    <cellStyle name="Normal 3 2 5 3 2" xfId="13987" xr:uid="{AA9EAFE2-0F1B-4160-B995-BC43CACCB32E}"/>
    <cellStyle name="Normal 3 2 5 4" xfId="9769" xr:uid="{81758E2D-1F8C-4486-B959-AA3CFB05D162}"/>
    <cellStyle name="Normal 3 2 6" xfId="1643" xr:uid="{00000000-0005-0000-0000-0000D6110000}"/>
    <cellStyle name="Normal 3 2 6 2" xfId="3873" xr:uid="{00000000-0005-0000-0000-0000D7110000}"/>
    <cellStyle name="Normal 3 2 6 2 2" xfId="8095" xr:uid="{00000000-0005-0000-0000-0000D8110000}"/>
    <cellStyle name="Normal 3 2 6 2 2 2" xfId="16545" xr:uid="{A4A02AD2-EBBC-4BF3-8F1C-26595AE632C4}"/>
    <cellStyle name="Normal 3 2 6 2 3" xfId="12327" xr:uid="{AB3C29FE-1DE3-4F21-BDA4-EC0926ED714D}"/>
    <cellStyle name="Normal 3 2 6 3" xfId="5950" xr:uid="{00000000-0005-0000-0000-0000D9110000}"/>
    <cellStyle name="Normal 3 2 6 3 2" xfId="14400" xr:uid="{F154516A-22EF-4213-9695-3ECC04322FB4}"/>
    <cellStyle name="Normal 3 2 6 4" xfId="10182" xr:uid="{687ACB2F-85DC-4837-ADAE-5D3EE9D5268A}"/>
    <cellStyle name="Normal 3 2 7" xfId="2057" xr:uid="{00000000-0005-0000-0000-0000DA110000}"/>
    <cellStyle name="Normal 3 2 7 2" xfId="4286" xr:uid="{00000000-0005-0000-0000-0000DB110000}"/>
    <cellStyle name="Normal 3 2 7 2 2" xfId="8508" xr:uid="{00000000-0005-0000-0000-0000DC110000}"/>
    <cellStyle name="Normal 3 2 7 2 2 2" xfId="16958" xr:uid="{80F74CAA-3011-4940-8323-EABA25508495}"/>
    <cellStyle name="Normal 3 2 7 2 3" xfId="12740" xr:uid="{16EBF568-0CB0-4725-8F43-EBCAC4CEF499}"/>
    <cellStyle name="Normal 3 2 7 3" xfId="6363" xr:uid="{00000000-0005-0000-0000-0000DD110000}"/>
    <cellStyle name="Normal 3 2 7 3 2" xfId="14813" xr:uid="{EF702C61-8D69-44AC-8E34-2782001BAF32}"/>
    <cellStyle name="Normal 3 2 7 4" xfId="10595" xr:uid="{93477437-81F1-485B-9BBE-81F42CD516AD}"/>
    <cellStyle name="Normal 3 2 8" xfId="2493" xr:uid="{00000000-0005-0000-0000-0000DE110000}"/>
    <cellStyle name="Normal 3 2 8 2" xfId="6776" xr:uid="{00000000-0005-0000-0000-0000DF110000}"/>
    <cellStyle name="Normal 3 2 8 2 2" xfId="15226" xr:uid="{DB2FE55A-7CA4-47A0-A782-82C3373B36D7}"/>
    <cellStyle name="Normal 3 2 8 3" xfId="11008" xr:uid="{227B2427-4729-427A-912B-9FBDEEED3EEB}"/>
    <cellStyle name="Normal 3 2 9" xfId="4710" xr:uid="{00000000-0005-0000-0000-0000E0110000}"/>
    <cellStyle name="Normal 3 2 9 2" xfId="13160" xr:uid="{D7000455-D462-452D-A7FA-B1CC66DEF4DB}"/>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7" xr:uid="{E1902469-C20B-450D-8948-BC57BC5F3F35}"/>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6963" xr:uid="{EC50E7B5-9630-4D9C-AFBC-21378D904682}"/>
    <cellStyle name="Normal 4 2 2 10 2 3" xfId="12745" xr:uid="{82C1E398-C57B-4448-9F1D-861FBE6EEBC2}"/>
    <cellStyle name="Normal 4 2 2 10 3" xfId="6368" xr:uid="{00000000-0005-0000-0000-0000ED110000}"/>
    <cellStyle name="Normal 4 2 2 10 3 2" xfId="14818" xr:uid="{BB609781-D067-48A7-ABB8-B51A09E4F26F}"/>
    <cellStyle name="Normal 4 2 2 10 4" xfId="10600" xr:uid="{65F605F7-CEFA-407B-9241-FE74ED0E4833}"/>
    <cellStyle name="Normal 4 2 2 11" xfId="2498" xr:uid="{00000000-0005-0000-0000-0000EE110000}"/>
    <cellStyle name="Normal 4 2 2 11 2" xfId="6781" xr:uid="{00000000-0005-0000-0000-0000EF110000}"/>
    <cellStyle name="Normal 4 2 2 11 2 2" xfId="15231" xr:uid="{FE190404-B877-4332-9165-1770805D269C}"/>
    <cellStyle name="Normal 4 2 2 11 3" xfId="11013" xr:uid="{8E26A805-F5B8-4283-B419-012DF02F478D}"/>
    <cellStyle name="Normal 4 2 2 12" xfId="4716" xr:uid="{00000000-0005-0000-0000-0000F0110000}"/>
    <cellStyle name="Normal 4 2 2 12 2" xfId="13166" xr:uid="{437E3A18-1381-4DB3-8A54-5F3755197813}"/>
    <cellStyle name="Normal 4 2 2 13" xfId="8948" xr:uid="{CBA241F4-2A3C-4371-8D6E-70B1673D8E61}"/>
    <cellStyle name="Normal 4 2 2 2" xfId="338" xr:uid="{00000000-0005-0000-0000-0000F1110000}"/>
    <cellStyle name="Normal 4 2 2 3" xfId="339" xr:uid="{00000000-0005-0000-0000-0000F2110000}"/>
    <cellStyle name="Normal 4 2 2 3 10" xfId="4717" xr:uid="{00000000-0005-0000-0000-0000F3110000}"/>
    <cellStyle name="Normal 4 2 2 3 10 2" xfId="13167" xr:uid="{5F91DE12-D064-42B6-B50E-E48C8F962105}"/>
    <cellStyle name="Normal 4 2 2 3 11" xfId="8949" xr:uid="{7508A15C-E4DE-4121-B31D-DD50E877D4C7}"/>
    <cellStyle name="Normal 4 2 2 3 2" xfId="340" xr:uid="{00000000-0005-0000-0000-0000F4110000}"/>
    <cellStyle name="Normal 4 2 2 3 2 10" xfId="8950" xr:uid="{B960EAE0-F465-4BC7-ABA9-67E4F2D1651E}"/>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5728" xr:uid="{690394C7-0176-4238-8773-037FB4F09B01}"/>
    <cellStyle name="Normal 4 2 2 3 2 2 2 2 2 3" xfId="11510" xr:uid="{70871C3D-744E-4A1C-88AB-83A64C8C2413}"/>
    <cellStyle name="Normal 4 2 2 3 2 2 2 2 3" xfId="5133" xr:uid="{00000000-0005-0000-0000-0000FA110000}"/>
    <cellStyle name="Normal 4 2 2 3 2 2 2 2 3 2" xfId="13583" xr:uid="{B23C90A0-1137-474E-A4C3-2068EBA7EEFD}"/>
    <cellStyle name="Normal 4 2 2 3 2 2 2 2 4" xfId="9365" xr:uid="{2410DFC9-7318-4032-AE3E-BA16456F28C1}"/>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6141" xr:uid="{3325FBDD-C1EF-41AD-AA03-2A15177FCB35}"/>
    <cellStyle name="Normal 4 2 2 3 2 2 2 3 2 3" xfId="11923" xr:uid="{420098C5-6454-4FE5-BA4A-2C0E17EC38BF}"/>
    <cellStyle name="Normal 4 2 2 3 2 2 2 3 3" xfId="5546" xr:uid="{00000000-0005-0000-0000-0000FE110000}"/>
    <cellStyle name="Normal 4 2 2 3 2 2 2 3 3 2" xfId="13996" xr:uid="{87FC6522-EF59-48F4-9E4F-A5D6FD979250}"/>
    <cellStyle name="Normal 4 2 2 3 2 2 2 3 4" xfId="9778" xr:uid="{380FC082-7D4B-4F94-B605-C54EC5409ABC}"/>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6554" xr:uid="{DDC11B21-F30C-4E84-A7AC-27FF84C6C5DD}"/>
    <cellStyle name="Normal 4 2 2 3 2 2 2 4 2 3" xfId="12336" xr:uid="{C4CCA908-558D-4C60-A746-0551FAD5EF40}"/>
    <cellStyle name="Normal 4 2 2 3 2 2 2 4 3" xfId="5959" xr:uid="{00000000-0005-0000-0000-000002120000}"/>
    <cellStyle name="Normal 4 2 2 3 2 2 2 4 3 2" xfId="14409" xr:uid="{18D5FD92-C58F-464D-8DAC-D20FCD14F36B}"/>
    <cellStyle name="Normal 4 2 2 3 2 2 2 4 4" xfId="10191" xr:uid="{4E81564E-819A-4FBB-A702-E39B64E83824}"/>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6967" xr:uid="{7AE6350D-82A0-41EE-ADF3-4E1A5B558ADC}"/>
    <cellStyle name="Normal 4 2 2 3 2 2 2 5 2 3" xfId="12749" xr:uid="{92B62C84-2690-473B-A452-0542D7FED606}"/>
    <cellStyle name="Normal 4 2 2 3 2 2 2 5 3" xfId="6372" xr:uid="{00000000-0005-0000-0000-000006120000}"/>
    <cellStyle name="Normal 4 2 2 3 2 2 2 5 3 2" xfId="14822" xr:uid="{C3BAD771-05C7-408A-BF5E-8AE6A127087A}"/>
    <cellStyle name="Normal 4 2 2 3 2 2 2 5 4" xfId="10604" xr:uid="{207F1716-71C1-4CD1-9821-F272305643AD}"/>
    <cellStyle name="Normal 4 2 2 3 2 2 2 6" xfId="2502" xr:uid="{00000000-0005-0000-0000-000007120000}"/>
    <cellStyle name="Normal 4 2 2 3 2 2 2 6 2" xfId="6785" xr:uid="{00000000-0005-0000-0000-000008120000}"/>
    <cellStyle name="Normal 4 2 2 3 2 2 2 6 2 2" xfId="15235" xr:uid="{B59F38F3-5C46-4057-95AA-36CBEEFE448A}"/>
    <cellStyle name="Normal 4 2 2 3 2 2 2 6 3" xfId="11017" xr:uid="{57E5E24B-BFCF-4CFF-8E16-CDDB4AF1FD45}"/>
    <cellStyle name="Normal 4 2 2 3 2 2 2 7" xfId="4720" xr:uid="{00000000-0005-0000-0000-000009120000}"/>
    <cellStyle name="Normal 4 2 2 3 2 2 2 7 2" xfId="13170" xr:uid="{8E10AF1B-3795-4200-897D-D7F69765AAD9}"/>
    <cellStyle name="Normal 4 2 2 3 2 2 2 8" xfId="8952" xr:uid="{EC937AA4-61FC-427D-9B79-1E6C525B313F}"/>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5727" xr:uid="{3B69137A-97D5-44FE-B5A0-D2CCCCB50382}"/>
    <cellStyle name="Normal 4 2 2 3 2 2 3 2 3" xfId="11509" xr:uid="{F6805CBE-1D0C-4DB6-9892-571B1556E301}"/>
    <cellStyle name="Normal 4 2 2 3 2 2 3 3" xfId="5132" xr:uid="{00000000-0005-0000-0000-00000D120000}"/>
    <cellStyle name="Normal 4 2 2 3 2 2 3 3 2" xfId="13582" xr:uid="{BC44E4F4-3288-4D61-A9A1-6ADCCC2A0692}"/>
    <cellStyle name="Normal 4 2 2 3 2 2 3 4" xfId="9364" xr:uid="{5671685D-8A67-4745-9E89-0D857AC4660D}"/>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6140" xr:uid="{D913556E-3495-451B-A666-B474822DB87F}"/>
    <cellStyle name="Normal 4 2 2 3 2 2 4 2 3" xfId="11922" xr:uid="{B5B1D5C7-0F02-4883-8738-B913FB5511FA}"/>
    <cellStyle name="Normal 4 2 2 3 2 2 4 3" xfId="5545" xr:uid="{00000000-0005-0000-0000-000011120000}"/>
    <cellStyle name="Normal 4 2 2 3 2 2 4 3 2" xfId="13995" xr:uid="{7A972B00-E2D9-4918-BD29-81D7FACC02C7}"/>
    <cellStyle name="Normal 4 2 2 3 2 2 4 4" xfId="9777" xr:uid="{4661B2AA-3CA1-490D-8B5C-89D7DF9E6E4A}"/>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6553" xr:uid="{ECDD3DB4-6CCF-4202-B66F-5F272D3DA7A9}"/>
    <cellStyle name="Normal 4 2 2 3 2 2 5 2 3" xfId="12335" xr:uid="{01FC49E4-4436-44DA-A6D6-6575FF947BBA}"/>
    <cellStyle name="Normal 4 2 2 3 2 2 5 3" xfId="5958" xr:uid="{00000000-0005-0000-0000-000015120000}"/>
    <cellStyle name="Normal 4 2 2 3 2 2 5 3 2" xfId="14408" xr:uid="{1DDD1F0A-C3FF-4770-BC71-F27EE9429E95}"/>
    <cellStyle name="Normal 4 2 2 3 2 2 5 4" xfId="10190" xr:uid="{39117A28-8F87-47FD-B53A-CB0C4C256B3C}"/>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6966" xr:uid="{2427A530-84A6-418E-8169-2F9C51D4F0BC}"/>
    <cellStyle name="Normal 4 2 2 3 2 2 6 2 3" xfId="12748" xr:uid="{079433BC-3033-4DFC-A1CB-74D7A1CB905A}"/>
    <cellStyle name="Normal 4 2 2 3 2 2 6 3" xfId="6371" xr:uid="{00000000-0005-0000-0000-000019120000}"/>
    <cellStyle name="Normal 4 2 2 3 2 2 6 3 2" xfId="14821" xr:uid="{23D98008-EB88-4847-BF58-AF42824E713E}"/>
    <cellStyle name="Normal 4 2 2 3 2 2 6 4" xfId="10603" xr:uid="{0FB54D15-6992-47FE-B266-877E5073CCE3}"/>
    <cellStyle name="Normal 4 2 2 3 2 2 7" xfId="2501" xr:uid="{00000000-0005-0000-0000-00001A120000}"/>
    <cellStyle name="Normal 4 2 2 3 2 2 7 2" xfId="6784" xr:uid="{00000000-0005-0000-0000-00001B120000}"/>
    <cellStyle name="Normal 4 2 2 3 2 2 7 2 2" xfId="15234" xr:uid="{60979105-C6CF-4C9A-A753-80E45D0C709A}"/>
    <cellStyle name="Normal 4 2 2 3 2 2 7 3" xfId="11016" xr:uid="{D6CF8857-0CEF-4DDC-BD86-37A2E3AF6C7F}"/>
    <cellStyle name="Normal 4 2 2 3 2 2 8" xfId="4719" xr:uid="{00000000-0005-0000-0000-00001C120000}"/>
    <cellStyle name="Normal 4 2 2 3 2 2 8 2" xfId="13169" xr:uid="{B5560A70-1522-46AE-A065-5CFB4C569C63}"/>
    <cellStyle name="Normal 4 2 2 3 2 2 9" xfId="8951" xr:uid="{6863AFC5-0DF8-4AA6-9037-CD176DA406EF}"/>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5729" xr:uid="{242B730D-F6CD-4F51-BE68-6A88D39CDEBA}"/>
    <cellStyle name="Normal 4 2 2 3 2 3 2 2 3" xfId="11511" xr:uid="{4B4398A5-3D7A-49C3-B0BE-D7EE02F2FDA3}"/>
    <cellStyle name="Normal 4 2 2 3 2 3 2 3" xfId="5134" xr:uid="{00000000-0005-0000-0000-000021120000}"/>
    <cellStyle name="Normal 4 2 2 3 2 3 2 3 2" xfId="13584" xr:uid="{DCE70D66-3388-459B-A81A-1F19846D386D}"/>
    <cellStyle name="Normal 4 2 2 3 2 3 2 4" xfId="9366" xr:uid="{9CCBF612-F37C-4593-8B55-5F076E17C59E}"/>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6142" xr:uid="{7452D310-92C4-4D77-B29A-0792490E4098}"/>
    <cellStyle name="Normal 4 2 2 3 2 3 3 2 3" xfId="11924" xr:uid="{DE83EA3F-CFC0-45EC-8774-64E850F6884C}"/>
    <cellStyle name="Normal 4 2 2 3 2 3 3 3" xfId="5547" xr:uid="{00000000-0005-0000-0000-000025120000}"/>
    <cellStyle name="Normal 4 2 2 3 2 3 3 3 2" xfId="13997" xr:uid="{E5B21668-8DC9-454D-87EA-583AC07A1074}"/>
    <cellStyle name="Normal 4 2 2 3 2 3 3 4" xfId="9779" xr:uid="{5FFF691C-106A-4852-A2D9-767DBC17BB64}"/>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6555" xr:uid="{F3E76EBE-9235-4005-805D-4CDF60CE43E1}"/>
    <cellStyle name="Normal 4 2 2 3 2 3 4 2 3" xfId="12337" xr:uid="{941907D3-16EA-479E-BDF6-1FC6C52B03CB}"/>
    <cellStyle name="Normal 4 2 2 3 2 3 4 3" xfId="5960" xr:uid="{00000000-0005-0000-0000-000029120000}"/>
    <cellStyle name="Normal 4 2 2 3 2 3 4 3 2" xfId="14410" xr:uid="{D28A3BC1-A26F-4FE7-9CEA-6F6F10F55D45}"/>
    <cellStyle name="Normal 4 2 2 3 2 3 4 4" xfId="10192" xr:uid="{4DAFA339-C75D-44E4-86B9-98B8A28C5B0B}"/>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6968" xr:uid="{E044207A-DAB1-4DA7-A463-DDDE17A6A560}"/>
    <cellStyle name="Normal 4 2 2 3 2 3 5 2 3" xfId="12750" xr:uid="{31C1F4D5-A40E-4FED-A04D-0424C62BB942}"/>
    <cellStyle name="Normal 4 2 2 3 2 3 5 3" xfId="6373" xr:uid="{00000000-0005-0000-0000-00002D120000}"/>
    <cellStyle name="Normal 4 2 2 3 2 3 5 3 2" xfId="14823" xr:uid="{909441EA-82FD-4217-94CB-721431E604D9}"/>
    <cellStyle name="Normal 4 2 2 3 2 3 5 4" xfId="10605" xr:uid="{57026C36-940D-48BE-8DC2-3A1495BF03DA}"/>
    <cellStyle name="Normal 4 2 2 3 2 3 6" xfId="2503" xr:uid="{00000000-0005-0000-0000-00002E120000}"/>
    <cellStyle name="Normal 4 2 2 3 2 3 6 2" xfId="6786" xr:uid="{00000000-0005-0000-0000-00002F120000}"/>
    <cellStyle name="Normal 4 2 2 3 2 3 6 2 2" xfId="15236" xr:uid="{6B605D8A-D51F-4E72-87FE-C68630818D1F}"/>
    <cellStyle name="Normal 4 2 2 3 2 3 6 3" xfId="11018" xr:uid="{546978AB-D3C7-4233-A557-CE826B335111}"/>
    <cellStyle name="Normal 4 2 2 3 2 3 7" xfId="4721" xr:uid="{00000000-0005-0000-0000-000030120000}"/>
    <cellStyle name="Normal 4 2 2 3 2 3 7 2" xfId="13171" xr:uid="{58C9AD67-CEEA-4BE1-81B7-E6DFC0FB5029}"/>
    <cellStyle name="Normal 4 2 2 3 2 3 8" xfId="8953" xr:uid="{3862CAC1-29DC-4721-8E37-5FC331E6C269}"/>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5726" xr:uid="{54BDF05D-82B6-41BE-B4F9-ED102D18E070}"/>
    <cellStyle name="Normal 4 2 2 3 2 4 2 3" xfId="11508" xr:uid="{ECEDA952-B693-4811-BC20-D2CE44F84A64}"/>
    <cellStyle name="Normal 4 2 2 3 2 4 3" xfId="5131" xr:uid="{00000000-0005-0000-0000-000034120000}"/>
    <cellStyle name="Normal 4 2 2 3 2 4 3 2" xfId="13581" xr:uid="{29083860-3E5A-47A6-B0FF-040BD2D2CD6F}"/>
    <cellStyle name="Normal 4 2 2 3 2 4 4" xfId="9363" xr:uid="{81899C71-4A6C-42F6-9A2E-B1B517EA03BC}"/>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6139" xr:uid="{498B6292-BF00-4AAC-BEFE-E1D3E2644FC4}"/>
    <cellStyle name="Normal 4 2 2 3 2 5 2 3" xfId="11921" xr:uid="{DB0AE890-955C-49B0-9971-2D1E12265428}"/>
    <cellStyle name="Normal 4 2 2 3 2 5 3" xfId="5544" xr:uid="{00000000-0005-0000-0000-000038120000}"/>
    <cellStyle name="Normal 4 2 2 3 2 5 3 2" xfId="13994" xr:uid="{FB9D4332-0850-42E7-8355-DE172774127C}"/>
    <cellStyle name="Normal 4 2 2 3 2 5 4" xfId="9776" xr:uid="{70312426-7C96-4FD8-BA7A-F2C67AD649EA}"/>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6552" xr:uid="{A247F9FA-B156-418A-8298-EDF4D03706C8}"/>
    <cellStyle name="Normal 4 2 2 3 2 6 2 3" xfId="12334" xr:uid="{AA167C24-3F4A-4676-9CE4-77633C53C2BD}"/>
    <cellStyle name="Normal 4 2 2 3 2 6 3" xfId="5957" xr:uid="{00000000-0005-0000-0000-00003C120000}"/>
    <cellStyle name="Normal 4 2 2 3 2 6 3 2" xfId="14407" xr:uid="{A9C02D33-0535-4716-B7AF-30C77BCA637A}"/>
    <cellStyle name="Normal 4 2 2 3 2 6 4" xfId="10189" xr:uid="{21829A11-8F65-4C75-8504-ECF1FF4E9F42}"/>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6965" xr:uid="{508CDE27-8BF6-4EE7-A28A-A8A1CAA06AAA}"/>
    <cellStyle name="Normal 4 2 2 3 2 7 2 3" xfId="12747" xr:uid="{CC050072-6942-4F18-8B06-289251202EE2}"/>
    <cellStyle name="Normal 4 2 2 3 2 7 3" xfId="6370" xr:uid="{00000000-0005-0000-0000-000040120000}"/>
    <cellStyle name="Normal 4 2 2 3 2 7 3 2" xfId="14820" xr:uid="{8F528635-647A-41EB-A81E-2E7F9A51169E}"/>
    <cellStyle name="Normal 4 2 2 3 2 7 4" xfId="10602" xr:uid="{801ADDD6-874B-4737-AE14-99FFA9103218}"/>
    <cellStyle name="Normal 4 2 2 3 2 8" xfId="2500" xr:uid="{00000000-0005-0000-0000-000041120000}"/>
    <cellStyle name="Normal 4 2 2 3 2 8 2" xfId="6783" xr:uid="{00000000-0005-0000-0000-000042120000}"/>
    <cellStyle name="Normal 4 2 2 3 2 8 2 2" xfId="15233" xr:uid="{88E3FF7E-379B-4540-8514-632EE61BB218}"/>
    <cellStyle name="Normal 4 2 2 3 2 8 3" xfId="11015" xr:uid="{DE0DF120-8FA3-4648-B439-D3689DEC4AA5}"/>
    <cellStyle name="Normal 4 2 2 3 2 9" xfId="4718" xr:uid="{00000000-0005-0000-0000-000043120000}"/>
    <cellStyle name="Normal 4 2 2 3 2 9 2" xfId="13168" xr:uid="{323CADFC-334B-44FD-8676-D6528F8FB2B4}"/>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5731" xr:uid="{2A6A515F-A56F-425E-9511-7B585B312AB1}"/>
    <cellStyle name="Normal 4 2 2 3 3 2 2 2 3" xfId="11513" xr:uid="{696544F6-D323-4568-AC45-1F3041447B0B}"/>
    <cellStyle name="Normal 4 2 2 3 3 2 2 3" xfId="5136" xr:uid="{00000000-0005-0000-0000-000049120000}"/>
    <cellStyle name="Normal 4 2 2 3 3 2 2 3 2" xfId="13586" xr:uid="{90B91852-1DE4-4AA3-BA8C-E123DE57484A}"/>
    <cellStyle name="Normal 4 2 2 3 3 2 2 4" xfId="9368" xr:uid="{27AC73FD-8B64-4B0F-936A-F79DB1DCE7A5}"/>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6144" xr:uid="{2FDE6B73-CB8C-44FC-9827-552EF1733E90}"/>
    <cellStyle name="Normal 4 2 2 3 3 2 3 2 3" xfId="11926" xr:uid="{33DEED72-AEF4-47B2-8626-16BBBFBA9B90}"/>
    <cellStyle name="Normal 4 2 2 3 3 2 3 3" xfId="5549" xr:uid="{00000000-0005-0000-0000-00004D120000}"/>
    <cellStyle name="Normal 4 2 2 3 3 2 3 3 2" xfId="13999" xr:uid="{E34875CF-82D7-4237-B513-C087340100B4}"/>
    <cellStyle name="Normal 4 2 2 3 3 2 3 4" xfId="9781" xr:uid="{EC0DA621-A47A-4310-9933-0C55A7BD190C}"/>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6557" xr:uid="{47EC56E0-7C4A-475F-B0EA-49D17354C883}"/>
    <cellStyle name="Normal 4 2 2 3 3 2 4 2 3" xfId="12339" xr:uid="{3B3396CC-9DD2-42B9-A632-AEB7741B37F3}"/>
    <cellStyle name="Normal 4 2 2 3 3 2 4 3" xfId="5962" xr:uid="{00000000-0005-0000-0000-000051120000}"/>
    <cellStyle name="Normal 4 2 2 3 3 2 4 3 2" xfId="14412" xr:uid="{96CEA2B0-80C7-4BD8-8DAB-424AB123C75F}"/>
    <cellStyle name="Normal 4 2 2 3 3 2 4 4" xfId="10194" xr:uid="{BD2871A2-3EFA-4AFA-A559-519CA43A7EEC}"/>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6970" xr:uid="{0761620F-96A3-4950-A630-22D805595CD3}"/>
    <cellStyle name="Normal 4 2 2 3 3 2 5 2 3" xfId="12752" xr:uid="{1F575ACD-2A6E-4CAB-A42B-27EC29C1C0A6}"/>
    <cellStyle name="Normal 4 2 2 3 3 2 5 3" xfId="6375" xr:uid="{00000000-0005-0000-0000-000055120000}"/>
    <cellStyle name="Normal 4 2 2 3 3 2 5 3 2" xfId="14825" xr:uid="{453DD159-EA74-4714-A491-EAB380FB45E5}"/>
    <cellStyle name="Normal 4 2 2 3 3 2 5 4" xfId="10607" xr:uid="{43E16711-3CB1-484E-8494-1B0303B9B73B}"/>
    <cellStyle name="Normal 4 2 2 3 3 2 6" xfId="2505" xr:uid="{00000000-0005-0000-0000-000056120000}"/>
    <cellStyle name="Normal 4 2 2 3 3 2 6 2" xfId="6788" xr:uid="{00000000-0005-0000-0000-000057120000}"/>
    <cellStyle name="Normal 4 2 2 3 3 2 6 2 2" xfId="15238" xr:uid="{C9E5D39F-8BE7-4530-A0C8-A81CC1AB15C1}"/>
    <cellStyle name="Normal 4 2 2 3 3 2 6 3" xfId="11020" xr:uid="{21D09165-BF73-4FB0-A93E-F63559C60895}"/>
    <cellStyle name="Normal 4 2 2 3 3 2 7" xfId="4723" xr:uid="{00000000-0005-0000-0000-000058120000}"/>
    <cellStyle name="Normal 4 2 2 3 3 2 7 2" xfId="13173" xr:uid="{0EC74834-CDEE-406E-B33F-68A34BCD5883}"/>
    <cellStyle name="Normal 4 2 2 3 3 2 8" xfId="8955" xr:uid="{A8754DC8-67E1-4C6C-8236-08A1DD95915A}"/>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5730" xr:uid="{AA793DC1-9DE6-4276-80E4-3AB10B6E426B}"/>
    <cellStyle name="Normal 4 2 2 3 3 3 2 3" xfId="11512" xr:uid="{3C441BF6-94EA-447A-85B1-E4F1475CF604}"/>
    <cellStyle name="Normal 4 2 2 3 3 3 3" xfId="5135" xr:uid="{00000000-0005-0000-0000-00005C120000}"/>
    <cellStyle name="Normal 4 2 2 3 3 3 3 2" xfId="13585" xr:uid="{44EF2D94-7A8A-46AA-9D7D-82759F7FA1B9}"/>
    <cellStyle name="Normal 4 2 2 3 3 3 4" xfId="9367" xr:uid="{36674DEA-596B-4045-9C6D-3780479B54AB}"/>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6143" xr:uid="{AD1EB874-A990-4E81-8AAF-BAAB6CE2A0C9}"/>
    <cellStyle name="Normal 4 2 2 3 3 4 2 3" xfId="11925" xr:uid="{187CCE11-888B-43AE-ADAA-624E314D3F6C}"/>
    <cellStyle name="Normal 4 2 2 3 3 4 3" xfId="5548" xr:uid="{00000000-0005-0000-0000-000060120000}"/>
    <cellStyle name="Normal 4 2 2 3 3 4 3 2" xfId="13998" xr:uid="{2165A55E-4EC0-42EE-944C-F8E94D2FF938}"/>
    <cellStyle name="Normal 4 2 2 3 3 4 4" xfId="9780" xr:uid="{9A70A5F8-8098-4122-AFAC-703E7E116F35}"/>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6556" xr:uid="{823A41DF-D2D4-4F58-9D01-5F1D2B784CC3}"/>
    <cellStyle name="Normal 4 2 2 3 3 5 2 3" xfId="12338" xr:uid="{C4F1C421-CB67-4C87-9A95-492A3C7980A9}"/>
    <cellStyle name="Normal 4 2 2 3 3 5 3" xfId="5961" xr:uid="{00000000-0005-0000-0000-000064120000}"/>
    <cellStyle name="Normal 4 2 2 3 3 5 3 2" xfId="14411" xr:uid="{55CD6878-854F-47CE-8126-B832C9BD82E2}"/>
    <cellStyle name="Normal 4 2 2 3 3 5 4" xfId="10193" xr:uid="{5FA71079-E05E-4036-A216-FD7AB88FCB9D}"/>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6969" xr:uid="{3A72F4DD-35C4-431A-862A-F3E07901F6D1}"/>
    <cellStyle name="Normal 4 2 2 3 3 6 2 3" xfId="12751" xr:uid="{AE017858-EED7-4252-9DAD-58743062AB23}"/>
    <cellStyle name="Normal 4 2 2 3 3 6 3" xfId="6374" xr:uid="{00000000-0005-0000-0000-000068120000}"/>
    <cellStyle name="Normal 4 2 2 3 3 6 3 2" xfId="14824" xr:uid="{5BE7AE3C-C6D4-452B-B616-B3725787CB69}"/>
    <cellStyle name="Normal 4 2 2 3 3 6 4" xfId="10606" xr:uid="{BBF0DEDA-1B05-4A11-8696-96744022D3DA}"/>
    <cellStyle name="Normal 4 2 2 3 3 7" xfId="2504" xr:uid="{00000000-0005-0000-0000-000069120000}"/>
    <cellStyle name="Normal 4 2 2 3 3 7 2" xfId="6787" xr:uid="{00000000-0005-0000-0000-00006A120000}"/>
    <cellStyle name="Normal 4 2 2 3 3 7 2 2" xfId="15237" xr:uid="{7B9F28BA-8AE5-4DB3-A3A5-05474E963B3F}"/>
    <cellStyle name="Normal 4 2 2 3 3 7 3" xfId="11019" xr:uid="{7F22BD20-484E-4477-BE1C-8754CBCB2186}"/>
    <cellStyle name="Normal 4 2 2 3 3 8" xfId="4722" xr:uid="{00000000-0005-0000-0000-00006B120000}"/>
    <cellStyle name="Normal 4 2 2 3 3 8 2" xfId="13172" xr:uid="{9699E172-D876-482F-9209-0CC03055801A}"/>
    <cellStyle name="Normal 4 2 2 3 3 9" xfId="8954" xr:uid="{F87878FB-BE47-469B-B627-3AA255B78BE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5732" xr:uid="{B043F19A-BA4B-4A55-A264-BCAE463FCB24}"/>
    <cellStyle name="Normal 4 2 2 3 4 2 2 3" xfId="11514" xr:uid="{DC24A7E6-E499-4212-B03F-F2BFB567A740}"/>
    <cellStyle name="Normal 4 2 2 3 4 2 3" xfId="5137" xr:uid="{00000000-0005-0000-0000-000070120000}"/>
    <cellStyle name="Normal 4 2 2 3 4 2 3 2" xfId="13587" xr:uid="{F0D3118F-5176-4846-90BC-A5B12F7FCCE8}"/>
    <cellStyle name="Normal 4 2 2 3 4 2 4" xfId="9369" xr:uid="{FFD0FC1D-5AE3-4680-8FCE-F4611904CF29}"/>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6145" xr:uid="{7619A9AD-795B-40D6-A9AD-E4F5693AA9F3}"/>
    <cellStyle name="Normal 4 2 2 3 4 3 2 3" xfId="11927" xr:uid="{4135F995-558E-4031-894D-44A12D11C89E}"/>
    <cellStyle name="Normal 4 2 2 3 4 3 3" xfId="5550" xr:uid="{00000000-0005-0000-0000-000074120000}"/>
    <cellStyle name="Normal 4 2 2 3 4 3 3 2" xfId="14000" xr:uid="{8C3648FD-07C0-4731-B54E-9911FC5F3554}"/>
    <cellStyle name="Normal 4 2 2 3 4 3 4" xfId="9782" xr:uid="{501E58EE-6550-4DC4-ABFF-A0EBED942B3D}"/>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6558" xr:uid="{C88C36FC-0A11-4787-897F-64E8A0B71925}"/>
    <cellStyle name="Normal 4 2 2 3 4 4 2 3" xfId="12340" xr:uid="{B02AA3E3-B1D3-4DDB-ACD6-905BCDBA8741}"/>
    <cellStyle name="Normal 4 2 2 3 4 4 3" xfId="5963" xr:uid="{00000000-0005-0000-0000-000078120000}"/>
    <cellStyle name="Normal 4 2 2 3 4 4 3 2" xfId="14413" xr:uid="{9C85C62E-9519-4F07-B092-E9E0763611B0}"/>
    <cellStyle name="Normal 4 2 2 3 4 4 4" xfId="10195" xr:uid="{F4961BF2-4DBB-4971-BA8A-6ED19C20D7FD}"/>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6971" xr:uid="{6F838E05-1867-4266-B382-8048C10B11E0}"/>
    <cellStyle name="Normal 4 2 2 3 4 5 2 3" xfId="12753" xr:uid="{0EDD171E-2FF4-4ADA-A823-C9DD6ACDD375}"/>
    <cellStyle name="Normal 4 2 2 3 4 5 3" xfId="6376" xr:uid="{00000000-0005-0000-0000-00007C120000}"/>
    <cellStyle name="Normal 4 2 2 3 4 5 3 2" xfId="14826" xr:uid="{AA72FE87-44F2-4191-B3A7-EAD6F0C6EF5D}"/>
    <cellStyle name="Normal 4 2 2 3 4 5 4" xfId="10608" xr:uid="{A89389D5-E9EE-477E-8C5B-5C630FA046C0}"/>
    <cellStyle name="Normal 4 2 2 3 4 6" xfId="2506" xr:uid="{00000000-0005-0000-0000-00007D120000}"/>
    <cellStyle name="Normal 4 2 2 3 4 6 2" xfId="6789" xr:uid="{00000000-0005-0000-0000-00007E120000}"/>
    <cellStyle name="Normal 4 2 2 3 4 6 2 2" xfId="15239" xr:uid="{537D59DA-454D-4816-92AC-7A4FEC9B282C}"/>
    <cellStyle name="Normal 4 2 2 3 4 6 3" xfId="11021" xr:uid="{6DD9F28B-81AE-4FC7-9AD0-70311A62ED6D}"/>
    <cellStyle name="Normal 4 2 2 3 4 7" xfId="4724" xr:uid="{00000000-0005-0000-0000-00007F120000}"/>
    <cellStyle name="Normal 4 2 2 3 4 7 2" xfId="13174" xr:uid="{FCB0651B-7301-4074-B9D7-17ED23E086FD}"/>
    <cellStyle name="Normal 4 2 2 3 4 8" xfId="8956" xr:uid="{C180C767-C995-41E3-A2F4-ED448590714A}"/>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5725" xr:uid="{CA718E1B-6421-4DF4-8877-560DF60E5641}"/>
    <cellStyle name="Normal 4 2 2 3 5 2 3" xfId="11507" xr:uid="{81C30B69-DB1F-482E-9520-A350EA2AB265}"/>
    <cellStyle name="Normal 4 2 2 3 5 3" xfId="5130" xr:uid="{00000000-0005-0000-0000-000083120000}"/>
    <cellStyle name="Normal 4 2 2 3 5 3 2" xfId="13580" xr:uid="{D9DBAFE3-EECF-4367-91A8-0091155BD222}"/>
    <cellStyle name="Normal 4 2 2 3 5 4" xfId="9362" xr:uid="{CB6431B2-394D-429C-B9B1-1327CF84007C}"/>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6138" xr:uid="{0C2BC7E4-25E5-49DA-8A7A-14E927533929}"/>
    <cellStyle name="Normal 4 2 2 3 6 2 3" xfId="11920" xr:uid="{45CC8D0E-3DC0-4946-957D-EAE4DFEA5B7C}"/>
    <cellStyle name="Normal 4 2 2 3 6 3" xfId="5543" xr:uid="{00000000-0005-0000-0000-000087120000}"/>
    <cellStyle name="Normal 4 2 2 3 6 3 2" xfId="13993" xr:uid="{2E4E4039-022E-4845-9F51-72403603A4B4}"/>
    <cellStyle name="Normal 4 2 2 3 6 4" xfId="9775" xr:uid="{80927984-7A1E-4AB2-93B2-58ACE812406C}"/>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6551" xr:uid="{D8E7AE72-8573-4ADA-943C-4E00325DBE7D}"/>
    <cellStyle name="Normal 4 2 2 3 7 2 3" xfId="12333" xr:uid="{E8E503DA-E40C-4BA5-8990-416392F6EBA1}"/>
    <cellStyle name="Normal 4 2 2 3 7 3" xfId="5956" xr:uid="{00000000-0005-0000-0000-00008B120000}"/>
    <cellStyle name="Normal 4 2 2 3 7 3 2" xfId="14406" xr:uid="{D44CE472-A834-41E0-A32B-DE8334D51AC2}"/>
    <cellStyle name="Normal 4 2 2 3 7 4" xfId="10188" xr:uid="{76F29D21-C1D2-498D-B832-7CCC6E47113E}"/>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6964" xr:uid="{126DF1A0-B3C5-4A8F-8B5A-7673B89D703A}"/>
    <cellStyle name="Normal 4 2 2 3 8 2 3" xfId="12746" xr:uid="{072D328D-2579-48E6-90F9-D05208FE0269}"/>
    <cellStyle name="Normal 4 2 2 3 8 3" xfId="6369" xr:uid="{00000000-0005-0000-0000-00008F120000}"/>
    <cellStyle name="Normal 4 2 2 3 8 3 2" xfId="14819" xr:uid="{C7262187-E494-4572-9182-F68117676404}"/>
    <cellStyle name="Normal 4 2 2 3 8 4" xfId="10601" xr:uid="{9BA65BF5-C8A5-41DB-AE64-87051D14DF94}"/>
    <cellStyle name="Normal 4 2 2 3 9" xfId="2499" xr:uid="{00000000-0005-0000-0000-000090120000}"/>
    <cellStyle name="Normal 4 2 2 3 9 2" xfId="6782" xr:uid="{00000000-0005-0000-0000-000091120000}"/>
    <cellStyle name="Normal 4 2 2 3 9 2 2" xfId="15232" xr:uid="{3B2C9963-1FA8-4AA0-9888-1CC0214C427C}"/>
    <cellStyle name="Normal 4 2 2 3 9 3" xfId="11014" xr:uid="{E94864B1-748E-4DB7-A083-7D6B4D7869E2}"/>
    <cellStyle name="Normal 4 2 2 4" xfId="347" xr:uid="{00000000-0005-0000-0000-000092120000}"/>
    <cellStyle name="Normal 4 2 2 4 10" xfId="8957" xr:uid="{61C63C3F-8BFE-42A9-961C-60A52E8EE5F4}"/>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5735" xr:uid="{7D9834FE-3F7C-4306-8CC7-90C71551B70B}"/>
    <cellStyle name="Normal 4 2 2 4 2 2 2 2 3" xfId="11517" xr:uid="{784EB664-1E06-47B6-8AB7-C71D5EBD873A}"/>
    <cellStyle name="Normal 4 2 2 4 2 2 2 3" xfId="5140" xr:uid="{00000000-0005-0000-0000-000098120000}"/>
    <cellStyle name="Normal 4 2 2 4 2 2 2 3 2" xfId="13590" xr:uid="{EE0E99F7-91AD-4BB9-A36F-4CBBEEF15BE4}"/>
    <cellStyle name="Normal 4 2 2 4 2 2 2 4" xfId="9372" xr:uid="{791382A9-D9C6-4085-99FE-C279F159332F}"/>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6148" xr:uid="{D4F94EDD-1F71-4E46-B553-51845A3C7BC2}"/>
    <cellStyle name="Normal 4 2 2 4 2 2 3 2 3" xfId="11930" xr:uid="{7EC22C2D-96EE-4843-B76F-2F0F5E5D3FD4}"/>
    <cellStyle name="Normal 4 2 2 4 2 2 3 3" xfId="5553" xr:uid="{00000000-0005-0000-0000-00009C120000}"/>
    <cellStyle name="Normal 4 2 2 4 2 2 3 3 2" xfId="14003" xr:uid="{C11FADAE-7CC1-44F8-BF82-022F89CF37A5}"/>
    <cellStyle name="Normal 4 2 2 4 2 2 3 4" xfId="9785" xr:uid="{435BD92E-AAB6-4BAD-952B-7835F225B256}"/>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6561" xr:uid="{4BD8DA10-679D-470D-861F-C3C1DF29B7DE}"/>
    <cellStyle name="Normal 4 2 2 4 2 2 4 2 3" xfId="12343" xr:uid="{0142E60F-6425-47F8-B79B-4DAE6DDE0FDE}"/>
    <cellStyle name="Normal 4 2 2 4 2 2 4 3" xfId="5966" xr:uid="{00000000-0005-0000-0000-0000A0120000}"/>
    <cellStyle name="Normal 4 2 2 4 2 2 4 3 2" xfId="14416" xr:uid="{18C681D8-B35A-45AC-ACFA-9449C6059AA5}"/>
    <cellStyle name="Normal 4 2 2 4 2 2 4 4" xfId="10198" xr:uid="{C0FE6E0C-6F11-45AF-8587-32D1499E254F}"/>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6974" xr:uid="{73075E1C-CD48-4140-9BEC-038312B888B7}"/>
    <cellStyle name="Normal 4 2 2 4 2 2 5 2 3" xfId="12756" xr:uid="{0B0DD0C3-0D8A-4F57-8D72-9122EBE0838C}"/>
    <cellStyle name="Normal 4 2 2 4 2 2 5 3" xfId="6379" xr:uid="{00000000-0005-0000-0000-0000A4120000}"/>
    <cellStyle name="Normal 4 2 2 4 2 2 5 3 2" xfId="14829" xr:uid="{57DDE5DD-9A9C-4691-A393-41BFB529075E}"/>
    <cellStyle name="Normal 4 2 2 4 2 2 5 4" xfId="10611" xr:uid="{28420857-D3FC-4DA3-8C79-690815F93511}"/>
    <cellStyle name="Normal 4 2 2 4 2 2 6" xfId="2509" xr:uid="{00000000-0005-0000-0000-0000A5120000}"/>
    <cellStyle name="Normal 4 2 2 4 2 2 6 2" xfId="6792" xr:uid="{00000000-0005-0000-0000-0000A6120000}"/>
    <cellStyle name="Normal 4 2 2 4 2 2 6 2 2" xfId="15242" xr:uid="{772F4D60-6DF0-48EE-8A89-1FE3F5401282}"/>
    <cellStyle name="Normal 4 2 2 4 2 2 6 3" xfId="11024" xr:uid="{724782F7-5B37-4937-8D28-6225829842CD}"/>
    <cellStyle name="Normal 4 2 2 4 2 2 7" xfId="4727" xr:uid="{00000000-0005-0000-0000-0000A7120000}"/>
    <cellStyle name="Normal 4 2 2 4 2 2 7 2" xfId="13177" xr:uid="{5428DF1A-1B0F-4DEE-B93C-1CE2D0ADC921}"/>
    <cellStyle name="Normal 4 2 2 4 2 2 8" xfId="8959" xr:uid="{684A1E65-FF7A-4416-A515-86EA3C9C0D9C}"/>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5734" xr:uid="{2EF62B7F-0CF6-4492-85A6-12D5BD220818}"/>
    <cellStyle name="Normal 4 2 2 4 2 3 2 3" xfId="11516" xr:uid="{CCE1E58E-9078-4725-A3AC-488A91396869}"/>
    <cellStyle name="Normal 4 2 2 4 2 3 3" xfId="5139" xr:uid="{00000000-0005-0000-0000-0000AB120000}"/>
    <cellStyle name="Normal 4 2 2 4 2 3 3 2" xfId="13589" xr:uid="{7C188F55-B218-4AE8-8E45-E211985103FD}"/>
    <cellStyle name="Normal 4 2 2 4 2 3 4" xfId="9371" xr:uid="{0F42CA82-6C47-4764-A1FA-568416D59459}"/>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6147" xr:uid="{76100C36-9BA2-42BB-AD5A-811426E4C1DA}"/>
    <cellStyle name="Normal 4 2 2 4 2 4 2 3" xfId="11929" xr:uid="{531794FA-8085-4359-947D-8D117A67B706}"/>
    <cellStyle name="Normal 4 2 2 4 2 4 3" xfId="5552" xr:uid="{00000000-0005-0000-0000-0000AF120000}"/>
    <cellStyle name="Normal 4 2 2 4 2 4 3 2" xfId="14002" xr:uid="{CB0BCAF1-3737-46CF-B1FB-AB09CFA48EB9}"/>
    <cellStyle name="Normal 4 2 2 4 2 4 4" xfId="9784" xr:uid="{A811FD41-9DDE-4219-9777-8CE9A0BB16E2}"/>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6560" xr:uid="{E139AA0C-065D-4C93-996B-1F1876603497}"/>
    <cellStyle name="Normal 4 2 2 4 2 5 2 3" xfId="12342" xr:uid="{95E3E125-47F9-4C17-88A8-D4F77BBD7D04}"/>
    <cellStyle name="Normal 4 2 2 4 2 5 3" xfId="5965" xr:uid="{00000000-0005-0000-0000-0000B3120000}"/>
    <cellStyle name="Normal 4 2 2 4 2 5 3 2" xfId="14415" xr:uid="{59D10069-B1B9-4A4E-B18F-1485AD5CD008}"/>
    <cellStyle name="Normal 4 2 2 4 2 5 4" xfId="10197" xr:uid="{CF302790-4993-4590-AF6E-4E514BF11E75}"/>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6973" xr:uid="{24E1DE6E-5C85-4B58-A72D-8147CD963770}"/>
    <cellStyle name="Normal 4 2 2 4 2 6 2 3" xfId="12755" xr:uid="{2F7ADC5A-FE4D-42AF-AB20-856BA1562B61}"/>
    <cellStyle name="Normal 4 2 2 4 2 6 3" xfId="6378" xr:uid="{00000000-0005-0000-0000-0000B7120000}"/>
    <cellStyle name="Normal 4 2 2 4 2 6 3 2" xfId="14828" xr:uid="{76C87F0B-9B1B-46B2-847B-5537CAE2351B}"/>
    <cellStyle name="Normal 4 2 2 4 2 6 4" xfId="10610" xr:uid="{70DA7704-7F42-4149-8AE0-546B64D9EFE3}"/>
    <cellStyle name="Normal 4 2 2 4 2 7" xfId="2508" xr:uid="{00000000-0005-0000-0000-0000B8120000}"/>
    <cellStyle name="Normal 4 2 2 4 2 7 2" xfId="6791" xr:uid="{00000000-0005-0000-0000-0000B9120000}"/>
    <cellStyle name="Normal 4 2 2 4 2 7 2 2" xfId="15241" xr:uid="{EF263474-0A34-44A4-BB85-2352C2FBCDCF}"/>
    <cellStyle name="Normal 4 2 2 4 2 7 3" xfId="11023" xr:uid="{39435F83-4D2F-4A26-A359-5C727A57CE17}"/>
    <cellStyle name="Normal 4 2 2 4 2 8" xfId="4726" xr:uid="{00000000-0005-0000-0000-0000BA120000}"/>
    <cellStyle name="Normal 4 2 2 4 2 8 2" xfId="13176" xr:uid="{73273DF4-C72F-43A4-A32C-7CDA4B1F06DD}"/>
    <cellStyle name="Normal 4 2 2 4 2 9" xfId="8958" xr:uid="{86228332-7C2F-4042-AF33-6B177F6D1F52}"/>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5736" xr:uid="{7115C65D-2B8A-4B64-A85D-6732C50C2A9A}"/>
    <cellStyle name="Normal 4 2 2 4 3 2 2 3" xfId="11518" xr:uid="{07B42DE9-7746-4A6E-8E47-F81B47D02240}"/>
    <cellStyle name="Normal 4 2 2 4 3 2 3" xfId="5141" xr:uid="{00000000-0005-0000-0000-0000BF120000}"/>
    <cellStyle name="Normal 4 2 2 4 3 2 3 2" xfId="13591" xr:uid="{9025747A-794A-4E20-AA61-A7471A3EDDC1}"/>
    <cellStyle name="Normal 4 2 2 4 3 2 4" xfId="9373" xr:uid="{AC659F93-AFEC-4D5D-B51F-45F00A79611A}"/>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6149" xr:uid="{F93C8CF3-FEAB-46CD-BA95-5CC2DF3BAB0E}"/>
    <cellStyle name="Normal 4 2 2 4 3 3 2 3" xfId="11931" xr:uid="{1D1F42C8-3E83-4A72-B400-7544228C28B8}"/>
    <cellStyle name="Normal 4 2 2 4 3 3 3" xfId="5554" xr:uid="{00000000-0005-0000-0000-0000C3120000}"/>
    <cellStyle name="Normal 4 2 2 4 3 3 3 2" xfId="14004" xr:uid="{2C6D9B12-1DB0-4DBF-A6BD-E1AD6EFCF63D}"/>
    <cellStyle name="Normal 4 2 2 4 3 3 4" xfId="9786" xr:uid="{5390420B-D32C-4BCA-86E6-9143AC763401}"/>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6562" xr:uid="{377DC529-D53B-4F7F-8EE9-70077C1E935A}"/>
    <cellStyle name="Normal 4 2 2 4 3 4 2 3" xfId="12344" xr:uid="{91DC9DD5-5B96-4914-BB7E-BBBA4636CA1D}"/>
    <cellStyle name="Normal 4 2 2 4 3 4 3" xfId="5967" xr:uid="{00000000-0005-0000-0000-0000C7120000}"/>
    <cellStyle name="Normal 4 2 2 4 3 4 3 2" xfId="14417" xr:uid="{BBB87AB1-2DF1-45E0-A2E1-C17EDF1E0E35}"/>
    <cellStyle name="Normal 4 2 2 4 3 4 4" xfId="10199" xr:uid="{F7E0853A-2ED3-4635-ACB0-7786969BD95F}"/>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6975" xr:uid="{A8B5358C-03A6-4543-8EBB-08F7B8D8A038}"/>
    <cellStyle name="Normal 4 2 2 4 3 5 2 3" xfId="12757" xr:uid="{6DCCB7D4-55AB-41B0-ACD2-3772021B3985}"/>
    <cellStyle name="Normal 4 2 2 4 3 5 3" xfId="6380" xr:uid="{00000000-0005-0000-0000-0000CB120000}"/>
    <cellStyle name="Normal 4 2 2 4 3 5 3 2" xfId="14830" xr:uid="{A4F631B4-C94F-4257-A970-7F7881599AEE}"/>
    <cellStyle name="Normal 4 2 2 4 3 5 4" xfId="10612" xr:uid="{AC475BC6-0C8B-40CE-A188-E4B4AAB8B46A}"/>
    <cellStyle name="Normal 4 2 2 4 3 6" xfId="2510" xr:uid="{00000000-0005-0000-0000-0000CC120000}"/>
    <cellStyle name="Normal 4 2 2 4 3 6 2" xfId="6793" xr:uid="{00000000-0005-0000-0000-0000CD120000}"/>
    <cellStyle name="Normal 4 2 2 4 3 6 2 2" xfId="15243" xr:uid="{B7D9F402-9235-4825-9AB2-46A14500087D}"/>
    <cellStyle name="Normal 4 2 2 4 3 6 3" xfId="11025" xr:uid="{E34B1124-0BCB-4B97-9F6A-471E6357543A}"/>
    <cellStyle name="Normal 4 2 2 4 3 7" xfId="4728" xr:uid="{00000000-0005-0000-0000-0000CE120000}"/>
    <cellStyle name="Normal 4 2 2 4 3 7 2" xfId="13178" xr:uid="{AD0F7ACF-E476-4E6A-8A2A-0237119AD8C9}"/>
    <cellStyle name="Normal 4 2 2 4 3 8" xfId="8960" xr:uid="{6C387724-22C8-49C9-846A-17CC914482EB}"/>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5733" xr:uid="{47D462D8-9CB5-4986-BD92-95D809AD4635}"/>
    <cellStyle name="Normal 4 2 2 4 4 2 3" xfId="11515" xr:uid="{D99DC95A-6729-498E-81AC-759ADED77DEF}"/>
    <cellStyle name="Normal 4 2 2 4 4 3" xfId="5138" xr:uid="{00000000-0005-0000-0000-0000D2120000}"/>
    <cellStyle name="Normal 4 2 2 4 4 3 2" xfId="13588" xr:uid="{90BED021-23B4-4EE3-94E9-309C04A7FCFD}"/>
    <cellStyle name="Normal 4 2 2 4 4 4" xfId="9370" xr:uid="{638753FE-EBAB-4D4D-8A56-4106D03575C4}"/>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6146" xr:uid="{C058BC96-95A0-473A-9932-A7BA9D858EE5}"/>
    <cellStyle name="Normal 4 2 2 4 5 2 3" xfId="11928" xr:uid="{27065299-0BE4-400E-883A-C31442DCEDE4}"/>
    <cellStyle name="Normal 4 2 2 4 5 3" xfId="5551" xr:uid="{00000000-0005-0000-0000-0000D6120000}"/>
    <cellStyle name="Normal 4 2 2 4 5 3 2" xfId="14001" xr:uid="{C0F89A79-C506-41E5-8732-29CED5327E63}"/>
    <cellStyle name="Normal 4 2 2 4 5 4" xfId="9783" xr:uid="{7CAD4283-C149-4A29-ABB5-E42B95423B2D}"/>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6559" xr:uid="{6D113784-CE55-4C4C-891C-949B44A883A2}"/>
    <cellStyle name="Normal 4 2 2 4 6 2 3" xfId="12341" xr:uid="{A79916E4-E45D-48A7-ACDD-9755278C831E}"/>
    <cellStyle name="Normal 4 2 2 4 6 3" xfId="5964" xr:uid="{00000000-0005-0000-0000-0000DA120000}"/>
    <cellStyle name="Normal 4 2 2 4 6 3 2" xfId="14414" xr:uid="{F5B59AA9-E69E-47F6-A30E-925D626512E9}"/>
    <cellStyle name="Normal 4 2 2 4 6 4" xfId="10196" xr:uid="{240317EC-1541-448E-9EA3-FEED8C764961}"/>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6972" xr:uid="{BCD8C2A8-6715-4AB2-9ECB-B845D9D25295}"/>
    <cellStyle name="Normal 4 2 2 4 7 2 3" xfId="12754" xr:uid="{7ECF9CBA-9849-4C2F-B386-445F34D7B8AB}"/>
    <cellStyle name="Normal 4 2 2 4 7 3" xfId="6377" xr:uid="{00000000-0005-0000-0000-0000DE120000}"/>
    <cellStyle name="Normal 4 2 2 4 7 3 2" xfId="14827" xr:uid="{B5492F99-4D17-408D-8701-32AECFA6A7DC}"/>
    <cellStyle name="Normal 4 2 2 4 7 4" xfId="10609" xr:uid="{94C842BF-53EF-435B-B26C-C5503339B948}"/>
    <cellStyle name="Normal 4 2 2 4 8" xfId="2507" xr:uid="{00000000-0005-0000-0000-0000DF120000}"/>
    <cellStyle name="Normal 4 2 2 4 8 2" xfId="6790" xr:uid="{00000000-0005-0000-0000-0000E0120000}"/>
    <cellStyle name="Normal 4 2 2 4 8 2 2" xfId="15240" xr:uid="{3AA95600-DE15-4A2B-A2FE-7D5E2FE12E2D}"/>
    <cellStyle name="Normal 4 2 2 4 8 3" xfId="11022" xr:uid="{FB0F2709-EE5B-47AC-92E2-0A5A1B071310}"/>
    <cellStyle name="Normal 4 2 2 4 9" xfId="4725" xr:uid="{00000000-0005-0000-0000-0000E1120000}"/>
    <cellStyle name="Normal 4 2 2 4 9 2" xfId="13175" xr:uid="{F3E59B58-987E-403A-B3D8-EE8AFCC62671}"/>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5738" xr:uid="{2B55F44C-3689-4788-8328-975B3974891E}"/>
    <cellStyle name="Normal 4 2 2 5 2 2 2 3" xfId="11520" xr:uid="{04C79AAB-DE7C-43F3-B041-25EBA500F871}"/>
    <cellStyle name="Normal 4 2 2 5 2 2 3" xfId="5143" xr:uid="{00000000-0005-0000-0000-0000E7120000}"/>
    <cellStyle name="Normal 4 2 2 5 2 2 3 2" xfId="13593" xr:uid="{9E701D04-9995-42D0-9EA7-465DCA4077F3}"/>
    <cellStyle name="Normal 4 2 2 5 2 2 4" xfId="9375" xr:uid="{D75C7450-EC32-46AD-B3CA-91160880A945}"/>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6151" xr:uid="{809C9815-536B-42AA-9AD7-D3F7F60B0D8F}"/>
    <cellStyle name="Normal 4 2 2 5 2 3 2 3" xfId="11933" xr:uid="{93621BE6-4449-439D-8BCA-068A51EE7EA9}"/>
    <cellStyle name="Normal 4 2 2 5 2 3 3" xfId="5556" xr:uid="{00000000-0005-0000-0000-0000EB120000}"/>
    <cellStyle name="Normal 4 2 2 5 2 3 3 2" xfId="14006" xr:uid="{C69685AE-F437-4077-B714-CD0DC20DB491}"/>
    <cellStyle name="Normal 4 2 2 5 2 3 4" xfId="9788" xr:uid="{026F5239-BBB9-4AB5-8849-33FF7B918218}"/>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6564" xr:uid="{C71AA015-3DA5-4094-8976-CED2154994C5}"/>
    <cellStyle name="Normal 4 2 2 5 2 4 2 3" xfId="12346" xr:uid="{C7499D1A-24DC-47D2-84EF-D3AE1697089C}"/>
    <cellStyle name="Normal 4 2 2 5 2 4 3" xfId="5969" xr:uid="{00000000-0005-0000-0000-0000EF120000}"/>
    <cellStyle name="Normal 4 2 2 5 2 4 3 2" xfId="14419" xr:uid="{4EC09F44-94A5-4078-95F9-0CA0EBB7F06B}"/>
    <cellStyle name="Normal 4 2 2 5 2 4 4" xfId="10201" xr:uid="{505F7769-CDD6-481C-9D10-83C84A7A4138}"/>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6977" xr:uid="{2E513F48-08FC-46B4-8D62-7D4CF336B816}"/>
    <cellStyle name="Normal 4 2 2 5 2 5 2 3" xfId="12759" xr:uid="{1A61EED4-9347-4073-9759-AE8126EE5E1F}"/>
    <cellStyle name="Normal 4 2 2 5 2 5 3" xfId="6382" xr:uid="{00000000-0005-0000-0000-0000F3120000}"/>
    <cellStyle name="Normal 4 2 2 5 2 5 3 2" xfId="14832" xr:uid="{4FC838EA-B567-4FD5-A89C-0BDE45847E76}"/>
    <cellStyle name="Normal 4 2 2 5 2 5 4" xfId="10614" xr:uid="{E62FFBAC-3AB6-4FD3-8CB2-5FD203D9064D}"/>
    <cellStyle name="Normal 4 2 2 5 2 6" xfId="2512" xr:uid="{00000000-0005-0000-0000-0000F4120000}"/>
    <cellStyle name="Normal 4 2 2 5 2 6 2" xfId="6795" xr:uid="{00000000-0005-0000-0000-0000F5120000}"/>
    <cellStyle name="Normal 4 2 2 5 2 6 2 2" xfId="15245" xr:uid="{8AEA4C4C-F41D-414F-A32C-D07E7BBA929C}"/>
    <cellStyle name="Normal 4 2 2 5 2 6 3" xfId="11027" xr:uid="{1A8B15F5-2CA9-4576-AFDC-20731CC1D3C3}"/>
    <cellStyle name="Normal 4 2 2 5 2 7" xfId="4730" xr:uid="{00000000-0005-0000-0000-0000F6120000}"/>
    <cellStyle name="Normal 4 2 2 5 2 7 2" xfId="13180" xr:uid="{6F44FCA3-2C34-421D-9F5F-39A7E28E1EC5}"/>
    <cellStyle name="Normal 4 2 2 5 2 8" xfId="8962" xr:uid="{961890C2-12A6-4ECE-9020-78C9D5DA98A0}"/>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5737" xr:uid="{32D3B918-B505-49CB-BDBE-0E0D4CEB05CD}"/>
    <cellStyle name="Normal 4 2 2 5 3 2 3" xfId="11519" xr:uid="{04EF8F66-F5B8-4DC6-BB04-46377410D420}"/>
    <cellStyle name="Normal 4 2 2 5 3 3" xfId="5142" xr:uid="{00000000-0005-0000-0000-0000FA120000}"/>
    <cellStyle name="Normal 4 2 2 5 3 3 2" xfId="13592" xr:uid="{CB9C66F5-BB33-46A2-B02E-CC825336FBE8}"/>
    <cellStyle name="Normal 4 2 2 5 3 4" xfId="9374" xr:uid="{524B9315-7CF1-42F8-ACCE-CFC1C5C5DAD5}"/>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6150" xr:uid="{F82761B4-2020-4020-8D03-57C82DB3B9DE}"/>
    <cellStyle name="Normal 4 2 2 5 4 2 3" xfId="11932" xr:uid="{BBE04974-415B-4417-9A59-382BC80E18A4}"/>
    <cellStyle name="Normal 4 2 2 5 4 3" xfId="5555" xr:uid="{00000000-0005-0000-0000-0000FE120000}"/>
    <cellStyle name="Normal 4 2 2 5 4 3 2" xfId="14005" xr:uid="{10705226-9665-44E0-ACC6-5FB8589C1628}"/>
    <cellStyle name="Normal 4 2 2 5 4 4" xfId="9787" xr:uid="{C1768944-959C-48A6-AD7D-79E5C34742D4}"/>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6563" xr:uid="{4648CB91-04DC-4951-AC01-0C4A21597934}"/>
    <cellStyle name="Normal 4 2 2 5 5 2 3" xfId="12345" xr:uid="{AD62C4F2-E137-4E6C-AF05-A4FD9C75C991}"/>
    <cellStyle name="Normal 4 2 2 5 5 3" xfId="5968" xr:uid="{00000000-0005-0000-0000-000002130000}"/>
    <cellStyle name="Normal 4 2 2 5 5 3 2" xfId="14418" xr:uid="{62B453B3-2360-4DF3-985B-628993936FF4}"/>
    <cellStyle name="Normal 4 2 2 5 5 4" xfId="10200" xr:uid="{6C30455C-5AAD-46E0-B0BE-49226226EFE9}"/>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6976" xr:uid="{73D38BA6-8F6B-4AB2-BFD6-0F965667615B}"/>
    <cellStyle name="Normal 4 2 2 5 6 2 3" xfId="12758" xr:uid="{7C2606C6-E0F0-4AF8-AA49-75590C68CFBD}"/>
    <cellStyle name="Normal 4 2 2 5 6 3" xfId="6381" xr:uid="{00000000-0005-0000-0000-000006130000}"/>
    <cellStyle name="Normal 4 2 2 5 6 3 2" xfId="14831" xr:uid="{2151F3B9-4463-43EE-A124-68B97054C8A1}"/>
    <cellStyle name="Normal 4 2 2 5 6 4" xfId="10613" xr:uid="{9A961878-D3BF-42A6-A4B8-337264F2E313}"/>
    <cellStyle name="Normal 4 2 2 5 7" xfId="2511" xr:uid="{00000000-0005-0000-0000-000007130000}"/>
    <cellStyle name="Normal 4 2 2 5 7 2" xfId="6794" xr:uid="{00000000-0005-0000-0000-000008130000}"/>
    <cellStyle name="Normal 4 2 2 5 7 2 2" xfId="15244" xr:uid="{21BDA94F-D8DA-4516-B97F-EEBFCA7A8357}"/>
    <cellStyle name="Normal 4 2 2 5 7 3" xfId="11026" xr:uid="{32CB5024-7A20-4565-8039-FC1E3E3A3AF5}"/>
    <cellStyle name="Normal 4 2 2 5 8" xfId="4729" xr:uid="{00000000-0005-0000-0000-000009130000}"/>
    <cellStyle name="Normal 4 2 2 5 8 2" xfId="13179" xr:uid="{E43AEEB3-6755-4EE7-850A-9BDFB73F51F4}"/>
    <cellStyle name="Normal 4 2 2 5 9" xfId="8961" xr:uid="{3A963568-39F6-4BDC-9B25-B6FAB9CD8104}"/>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5739" xr:uid="{AC364B6D-96AA-4DFB-8DA6-39D54226DCBF}"/>
    <cellStyle name="Normal 4 2 2 6 2 2 3" xfId="11521" xr:uid="{9E933B38-41E4-4B2D-9087-D9FA7A56A97D}"/>
    <cellStyle name="Normal 4 2 2 6 2 3" xfId="5144" xr:uid="{00000000-0005-0000-0000-00000E130000}"/>
    <cellStyle name="Normal 4 2 2 6 2 3 2" xfId="13594" xr:uid="{8899883C-4D7F-4EB0-A560-D4DDA58DA001}"/>
    <cellStyle name="Normal 4 2 2 6 2 4" xfId="9376" xr:uid="{79E36B6D-2EF8-4289-B007-CB897E228176}"/>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6152" xr:uid="{65033FCC-6FFD-4279-B43E-B0BC0D32DF77}"/>
    <cellStyle name="Normal 4 2 2 6 3 2 3" xfId="11934" xr:uid="{3A858940-7D7F-47A5-B535-FEE9F7ADDEAA}"/>
    <cellStyle name="Normal 4 2 2 6 3 3" xfId="5557" xr:uid="{00000000-0005-0000-0000-000012130000}"/>
    <cellStyle name="Normal 4 2 2 6 3 3 2" xfId="14007" xr:uid="{28DE80FC-B0F5-4DA6-AC8A-23C232B16C79}"/>
    <cellStyle name="Normal 4 2 2 6 3 4" xfId="9789" xr:uid="{F329850A-2AB3-4AC5-8A70-915E0F92F79B}"/>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6565" xr:uid="{9EBDFEE8-7DC0-4983-818F-44691B9697FF}"/>
    <cellStyle name="Normal 4 2 2 6 4 2 3" xfId="12347" xr:uid="{FC1D3A9B-83FB-4727-9DC4-AC5BDAB18309}"/>
    <cellStyle name="Normal 4 2 2 6 4 3" xfId="5970" xr:uid="{00000000-0005-0000-0000-000016130000}"/>
    <cellStyle name="Normal 4 2 2 6 4 3 2" xfId="14420" xr:uid="{2E83D064-17A9-4951-AE93-D20D573F619A}"/>
    <cellStyle name="Normal 4 2 2 6 4 4" xfId="10202" xr:uid="{DA96D895-CF42-4E57-88D8-319A0E51C68A}"/>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6978" xr:uid="{DDC04BC9-9E55-4AD9-8AB0-AB6D8F7452E3}"/>
    <cellStyle name="Normal 4 2 2 6 5 2 3" xfId="12760" xr:uid="{BF81CBCA-5145-45E9-B7CC-AE8AA60EFE4A}"/>
    <cellStyle name="Normal 4 2 2 6 5 3" xfId="6383" xr:uid="{00000000-0005-0000-0000-00001A130000}"/>
    <cellStyle name="Normal 4 2 2 6 5 3 2" xfId="14833" xr:uid="{F036B790-4044-4FAC-9D45-2B918F6BC708}"/>
    <cellStyle name="Normal 4 2 2 6 5 4" xfId="10615" xr:uid="{BED20FA7-73A2-4550-A738-0BFE5FF69538}"/>
    <cellStyle name="Normal 4 2 2 6 6" xfId="2513" xr:uid="{00000000-0005-0000-0000-00001B130000}"/>
    <cellStyle name="Normal 4 2 2 6 6 2" xfId="6796" xr:uid="{00000000-0005-0000-0000-00001C130000}"/>
    <cellStyle name="Normal 4 2 2 6 6 2 2" xfId="15246" xr:uid="{CE505459-0929-495C-A940-573AD2AFFAB9}"/>
    <cellStyle name="Normal 4 2 2 6 6 3" xfId="11028" xr:uid="{7A87A582-B83B-4FB4-B003-EF3243B6406D}"/>
    <cellStyle name="Normal 4 2 2 6 7" xfId="4731" xr:uid="{00000000-0005-0000-0000-00001D130000}"/>
    <cellStyle name="Normal 4 2 2 6 7 2" xfId="13181" xr:uid="{F4CD94C3-6CCE-4152-92FE-516E2C7D0B2B}"/>
    <cellStyle name="Normal 4 2 2 6 8" xfId="8963" xr:uid="{1D468CEF-1B7E-4E23-B9B5-1C60D91F01E1}"/>
    <cellStyle name="Normal 4 2 2 7" xfId="815" xr:uid="{00000000-0005-0000-0000-00001E130000}"/>
    <cellStyle name="Normal 4 2 2 7 2" xfId="3052" xr:uid="{00000000-0005-0000-0000-00001F130000}"/>
    <cellStyle name="Normal 4 2 2 7 2 2" xfId="7274" xr:uid="{00000000-0005-0000-0000-000020130000}"/>
    <cellStyle name="Normal 4 2 2 7 2 2 2" xfId="15724" xr:uid="{E1C3BB6A-9457-40EB-947F-B1B04EDEF014}"/>
    <cellStyle name="Normal 4 2 2 7 2 3" xfId="11506" xr:uid="{33EDA7FB-6EA5-42BD-9F26-B0F32239F630}"/>
    <cellStyle name="Normal 4 2 2 7 3" xfId="5129" xr:uid="{00000000-0005-0000-0000-000021130000}"/>
    <cellStyle name="Normal 4 2 2 7 3 2" xfId="13579" xr:uid="{014746A6-7DAB-401B-A45E-7FF30C4372C6}"/>
    <cellStyle name="Normal 4 2 2 7 4" xfId="9361" xr:uid="{3DFC9480-C745-4251-AAF9-934AAC96BCA2}"/>
    <cellStyle name="Normal 4 2 2 8" xfId="1235" xr:uid="{00000000-0005-0000-0000-000022130000}"/>
    <cellStyle name="Normal 4 2 2 8 2" xfId="3465" xr:uid="{00000000-0005-0000-0000-000023130000}"/>
    <cellStyle name="Normal 4 2 2 8 2 2" xfId="7687" xr:uid="{00000000-0005-0000-0000-000024130000}"/>
    <cellStyle name="Normal 4 2 2 8 2 2 2" xfId="16137" xr:uid="{85736E4D-0E88-4953-BDFC-EB7BA2D561BE}"/>
    <cellStyle name="Normal 4 2 2 8 2 3" xfId="11919" xr:uid="{2D575B35-22B9-4458-8104-CAD1C00C6B06}"/>
    <cellStyle name="Normal 4 2 2 8 3" xfId="5542" xr:uid="{00000000-0005-0000-0000-000025130000}"/>
    <cellStyle name="Normal 4 2 2 8 3 2" xfId="13992" xr:uid="{5560A130-DF9C-46C3-9A1B-EC6307C20518}"/>
    <cellStyle name="Normal 4 2 2 8 4" xfId="9774" xr:uid="{1C50D6C1-EA6D-46BA-9718-9413AF731849}"/>
    <cellStyle name="Normal 4 2 2 9" xfId="1648" xr:uid="{00000000-0005-0000-0000-000026130000}"/>
    <cellStyle name="Normal 4 2 2 9 2" xfId="3878" xr:uid="{00000000-0005-0000-0000-000027130000}"/>
    <cellStyle name="Normal 4 2 2 9 2 2" xfId="8100" xr:uid="{00000000-0005-0000-0000-000028130000}"/>
    <cellStyle name="Normal 4 2 2 9 2 2 2" xfId="16550" xr:uid="{4D4F8D62-CB45-4243-A732-5B6302F9FABB}"/>
    <cellStyle name="Normal 4 2 2 9 2 3" xfId="12332" xr:uid="{ED5499D1-67C0-4982-A7A1-9EF576BAAB62}"/>
    <cellStyle name="Normal 4 2 2 9 3" xfId="5955" xr:uid="{00000000-0005-0000-0000-000029130000}"/>
    <cellStyle name="Normal 4 2 2 9 3 2" xfId="14405" xr:uid="{8BBA5BE8-D2AB-46E3-8197-F7A7A8FD49A9}"/>
    <cellStyle name="Normal 4 2 2 9 4" xfId="10187" xr:uid="{4D67FF87-B1B9-48FF-AC9A-4464D9E330A7}"/>
    <cellStyle name="Normal 4 2 3" xfId="354" xr:uid="{00000000-0005-0000-0000-00002A130000}"/>
    <cellStyle name="Normal 4 2 4" xfId="355" xr:uid="{00000000-0005-0000-0000-00002B130000}"/>
    <cellStyle name="Normal 4 2 4 10" xfId="4732" xr:uid="{00000000-0005-0000-0000-00002C130000}"/>
    <cellStyle name="Normal 4 2 4 10 2" xfId="13182" xr:uid="{79DD4618-14AB-464E-AA40-F34D09CD44E2}"/>
    <cellStyle name="Normal 4 2 4 11" xfId="8964" xr:uid="{13412FEE-F51F-45AF-9619-CA9A676EDBE6}"/>
    <cellStyle name="Normal 4 2 4 2" xfId="356" xr:uid="{00000000-0005-0000-0000-00002D130000}"/>
    <cellStyle name="Normal 4 2 4 2 10" xfId="8965" xr:uid="{3790FEA2-3C41-49FD-85B3-CA9D49B2002D}"/>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5743" xr:uid="{49B41C30-0A45-4430-B775-DEE98CF9FB5C}"/>
    <cellStyle name="Normal 4 2 4 2 2 2 2 2 3" xfId="11525" xr:uid="{BDA96DE4-BC15-4917-8724-E4D1E55D7726}"/>
    <cellStyle name="Normal 4 2 4 2 2 2 2 3" xfId="5148" xr:uid="{00000000-0005-0000-0000-000033130000}"/>
    <cellStyle name="Normal 4 2 4 2 2 2 2 3 2" xfId="13598" xr:uid="{20AAD5A1-8A70-45F6-9CE5-AD0152FDBD45}"/>
    <cellStyle name="Normal 4 2 4 2 2 2 2 4" xfId="9380" xr:uid="{695D3731-CECA-4155-ACBB-E221ABA302E9}"/>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6156" xr:uid="{8C8899E9-0B21-4A48-A001-C5584EA5F8D6}"/>
    <cellStyle name="Normal 4 2 4 2 2 2 3 2 3" xfId="11938" xr:uid="{39A099D9-1CCE-44B3-8284-4C95F071DDEE}"/>
    <cellStyle name="Normal 4 2 4 2 2 2 3 3" xfId="5561" xr:uid="{00000000-0005-0000-0000-000037130000}"/>
    <cellStyle name="Normal 4 2 4 2 2 2 3 3 2" xfId="14011" xr:uid="{A8CCDE1C-6C46-4385-AF1E-1864C43DCA81}"/>
    <cellStyle name="Normal 4 2 4 2 2 2 3 4" xfId="9793" xr:uid="{22EB3F2D-73EA-41E2-928E-58A1F010DEA6}"/>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6569" xr:uid="{689CFE84-ADA2-42BD-A5F4-DE965EF3B38F}"/>
    <cellStyle name="Normal 4 2 4 2 2 2 4 2 3" xfId="12351" xr:uid="{9471A094-F685-42D3-9739-5C269A5F6539}"/>
    <cellStyle name="Normal 4 2 4 2 2 2 4 3" xfId="5974" xr:uid="{00000000-0005-0000-0000-00003B130000}"/>
    <cellStyle name="Normal 4 2 4 2 2 2 4 3 2" xfId="14424" xr:uid="{E44B40FC-8E74-403E-A5F3-DCD82D47B701}"/>
    <cellStyle name="Normal 4 2 4 2 2 2 4 4" xfId="10206" xr:uid="{8AAA44F3-D1C1-4D8A-A470-F536B0DFC4A3}"/>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6982" xr:uid="{375657D8-86D9-4380-A2C6-E70CF139B4EB}"/>
    <cellStyle name="Normal 4 2 4 2 2 2 5 2 3" xfId="12764" xr:uid="{DF347638-73BB-48B3-B681-99F359C4E2B7}"/>
    <cellStyle name="Normal 4 2 4 2 2 2 5 3" xfId="6387" xr:uid="{00000000-0005-0000-0000-00003F130000}"/>
    <cellStyle name="Normal 4 2 4 2 2 2 5 3 2" xfId="14837" xr:uid="{2BFB1819-BD35-4A6D-B2E0-40A17AAC57D0}"/>
    <cellStyle name="Normal 4 2 4 2 2 2 5 4" xfId="10619" xr:uid="{60E6D537-16D2-4B42-9A53-148F5FBF6949}"/>
    <cellStyle name="Normal 4 2 4 2 2 2 6" xfId="2517" xr:uid="{00000000-0005-0000-0000-000040130000}"/>
    <cellStyle name="Normal 4 2 4 2 2 2 6 2" xfId="6800" xr:uid="{00000000-0005-0000-0000-000041130000}"/>
    <cellStyle name="Normal 4 2 4 2 2 2 6 2 2" xfId="15250" xr:uid="{8CB68ABA-DD77-4D37-99AA-59C4D3644084}"/>
    <cellStyle name="Normal 4 2 4 2 2 2 6 3" xfId="11032" xr:uid="{08F1236D-5963-4C51-B4E2-89D854433D65}"/>
    <cellStyle name="Normal 4 2 4 2 2 2 7" xfId="4735" xr:uid="{00000000-0005-0000-0000-000042130000}"/>
    <cellStyle name="Normal 4 2 4 2 2 2 7 2" xfId="13185" xr:uid="{9A9F9212-91E6-42B5-A5F0-0F967B06E72B}"/>
    <cellStyle name="Normal 4 2 4 2 2 2 8" xfId="8967" xr:uid="{39DAF29F-07CF-4801-A9A1-1A23C1A4F03F}"/>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5742" xr:uid="{6182BD82-337D-4E92-B652-5E0DDB3DB88F}"/>
    <cellStyle name="Normal 4 2 4 2 2 3 2 3" xfId="11524" xr:uid="{2957BE6F-CEB3-4C58-B6E0-97A4EAA8400D}"/>
    <cellStyle name="Normal 4 2 4 2 2 3 3" xfId="5147" xr:uid="{00000000-0005-0000-0000-000046130000}"/>
    <cellStyle name="Normal 4 2 4 2 2 3 3 2" xfId="13597" xr:uid="{F20379EB-BC4C-4552-B814-3EEF724664A2}"/>
    <cellStyle name="Normal 4 2 4 2 2 3 4" xfId="9379" xr:uid="{4B5B83BA-3507-4F3C-80E0-EC6612F84EC4}"/>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6155" xr:uid="{9AA70F25-8898-4F69-960D-77EEC780ADEF}"/>
    <cellStyle name="Normal 4 2 4 2 2 4 2 3" xfId="11937" xr:uid="{F69EED03-6BE9-4B36-872A-2B071A0A6CFD}"/>
    <cellStyle name="Normal 4 2 4 2 2 4 3" xfId="5560" xr:uid="{00000000-0005-0000-0000-00004A130000}"/>
    <cellStyle name="Normal 4 2 4 2 2 4 3 2" xfId="14010" xr:uid="{7C8A8A46-BB53-488E-BD42-2C2D601765EF}"/>
    <cellStyle name="Normal 4 2 4 2 2 4 4" xfId="9792" xr:uid="{EDF3A4E1-3CF2-4C08-8D17-C9B32D4E841B}"/>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6568" xr:uid="{D7F22493-5E12-4F4B-9C5B-F7D8944BA567}"/>
    <cellStyle name="Normal 4 2 4 2 2 5 2 3" xfId="12350" xr:uid="{512BFF65-C335-4DE2-92E7-C711415E9C52}"/>
    <cellStyle name="Normal 4 2 4 2 2 5 3" xfId="5973" xr:uid="{00000000-0005-0000-0000-00004E130000}"/>
    <cellStyle name="Normal 4 2 4 2 2 5 3 2" xfId="14423" xr:uid="{60F62548-D4D3-4626-A786-B80F8414B4EA}"/>
    <cellStyle name="Normal 4 2 4 2 2 5 4" xfId="10205" xr:uid="{0EBFA387-038F-456D-B887-6B23263561C3}"/>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6981" xr:uid="{5F45636B-F3CE-4CC6-AD89-DD1B61957931}"/>
    <cellStyle name="Normal 4 2 4 2 2 6 2 3" xfId="12763" xr:uid="{1F3064EA-0192-4B23-A35A-3A7340A706C3}"/>
    <cellStyle name="Normal 4 2 4 2 2 6 3" xfId="6386" xr:uid="{00000000-0005-0000-0000-000052130000}"/>
    <cellStyle name="Normal 4 2 4 2 2 6 3 2" xfId="14836" xr:uid="{B6DBEAD6-F267-4AD4-B208-9F83A01BA008}"/>
    <cellStyle name="Normal 4 2 4 2 2 6 4" xfId="10618" xr:uid="{C3F61C38-61D8-44C8-A567-16AA9A91F4B0}"/>
    <cellStyle name="Normal 4 2 4 2 2 7" xfId="2516" xr:uid="{00000000-0005-0000-0000-000053130000}"/>
    <cellStyle name="Normal 4 2 4 2 2 7 2" xfId="6799" xr:uid="{00000000-0005-0000-0000-000054130000}"/>
    <cellStyle name="Normal 4 2 4 2 2 7 2 2" xfId="15249" xr:uid="{C47A9E9E-5AF7-4A56-8C35-6DDCF8574156}"/>
    <cellStyle name="Normal 4 2 4 2 2 7 3" xfId="11031" xr:uid="{DE95BDDF-1FBB-4443-879A-3DD0D51832BA}"/>
    <cellStyle name="Normal 4 2 4 2 2 8" xfId="4734" xr:uid="{00000000-0005-0000-0000-000055130000}"/>
    <cellStyle name="Normal 4 2 4 2 2 8 2" xfId="13184" xr:uid="{FC15A794-A98C-4503-8297-29A4625B057E}"/>
    <cellStyle name="Normal 4 2 4 2 2 9" xfId="8966" xr:uid="{BDE38391-DB69-46BF-9B63-C2A1F5168E0E}"/>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5744" xr:uid="{5F92BC6A-3AFF-4B23-AC80-15BBDF0FC389}"/>
    <cellStyle name="Normal 4 2 4 2 3 2 2 3" xfId="11526" xr:uid="{C7A37595-4393-49A0-AFE6-6B1B3C0B0C95}"/>
    <cellStyle name="Normal 4 2 4 2 3 2 3" xfId="5149" xr:uid="{00000000-0005-0000-0000-00005A130000}"/>
    <cellStyle name="Normal 4 2 4 2 3 2 3 2" xfId="13599" xr:uid="{2D0F9A91-EFFA-40EB-A6E1-5A8286759423}"/>
    <cellStyle name="Normal 4 2 4 2 3 2 4" xfId="9381" xr:uid="{E71D2C84-19B6-48FD-AD93-F8966814C35F}"/>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6157" xr:uid="{427128B7-64AC-4F79-A2DA-8C01D8A19311}"/>
    <cellStyle name="Normal 4 2 4 2 3 3 2 3" xfId="11939" xr:uid="{BFE46B25-EF44-4FB4-AA64-22C2E19E3AC1}"/>
    <cellStyle name="Normal 4 2 4 2 3 3 3" xfId="5562" xr:uid="{00000000-0005-0000-0000-00005E130000}"/>
    <cellStyle name="Normal 4 2 4 2 3 3 3 2" xfId="14012" xr:uid="{81292D93-D500-4C7C-90D1-0A9803295FD7}"/>
    <cellStyle name="Normal 4 2 4 2 3 3 4" xfId="9794" xr:uid="{F4CE11D7-03DC-4D93-9FB3-7B14A0FDD9C1}"/>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6570" xr:uid="{1414AA89-9D94-4DAF-B6FD-24E3E61701F1}"/>
    <cellStyle name="Normal 4 2 4 2 3 4 2 3" xfId="12352" xr:uid="{3943E474-0337-4936-99C3-B34D6B77FA27}"/>
    <cellStyle name="Normal 4 2 4 2 3 4 3" xfId="5975" xr:uid="{00000000-0005-0000-0000-000062130000}"/>
    <cellStyle name="Normal 4 2 4 2 3 4 3 2" xfId="14425" xr:uid="{418575B4-5C94-4480-8152-A6A8A1E5B699}"/>
    <cellStyle name="Normal 4 2 4 2 3 4 4" xfId="10207" xr:uid="{6E50E0E4-1278-4933-8EFC-DB693490D4A7}"/>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6983" xr:uid="{6FFCDE99-E744-4A19-8138-7BCBE82E85B8}"/>
    <cellStyle name="Normal 4 2 4 2 3 5 2 3" xfId="12765" xr:uid="{310259CB-B3EC-4A13-B579-E08475B9A5C3}"/>
    <cellStyle name="Normal 4 2 4 2 3 5 3" xfId="6388" xr:uid="{00000000-0005-0000-0000-000066130000}"/>
    <cellStyle name="Normal 4 2 4 2 3 5 3 2" xfId="14838" xr:uid="{EA826D50-4F6F-458A-886A-F9DDD0DC90E1}"/>
    <cellStyle name="Normal 4 2 4 2 3 5 4" xfId="10620" xr:uid="{ADF18454-38F2-41D6-9A5B-CE6C4838CA6D}"/>
    <cellStyle name="Normal 4 2 4 2 3 6" xfId="2518" xr:uid="{00000000-0005-0000-0000-000067130000}"/>
    <cellStyle name="Normal 4 2 4 2 3 6 2" xfId="6801" xr:uid="{00000000-0005-0000-0000-000068130000}"/>
    <cellStyle name="Normal 4 2 4 2 3 6 2 2" xfId="15251" xr:uid="{965D91C5-E40D-4BBB-881E-0C7F42E63D0C}"/>
    <cellStyle name="Normal 4 2 4 2 3 6 3" xfId="11033" xr:uid="{A665625C-A681-4F17-B9B4-01603F355993}"/>
    <cellStyle name="Normal 4 2 4 2 3 7" xfId="4736" xr:uid="{00000000-0005-0000-0000-000069130000}"/>
    <cellStyle name="Normal 4 2 4 2 3 7 2" xfId="13186" xr:uid="{65E9127F-E3A7-4838-A4E4-1B61EF4B7555}"/>
    <cellStyle name="Normal 4 2 4 2 3 8" xfId="8968" xr:uid="{24711BC3-8A83-4602-B69E-A6A09BF876A7}"/>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5741" xr:uid="{DF994F12-9D60-4355-A969-882A1AB3844E}"/>
    <cellStyle name="Normal 4 2 4 2 4 2 3" xfId="11523" xr:uid="{4EE9CDDC-6765-4878-BA1A-A3017F948F2D}"/>
    <cellStyle name="Normal 4 2 4 2 4 3" xfId="5146" xr:uid="{00000000-0005-0000-0000-00006D130000}"/>
    <cellStyle name="Normal 4 2 4 2 4 3 2" xfId="13596" xr:uid="{ECBB3D6B-8DE2-47BF-A698-D7CC22C9ED88}"/>
    <cellStyle name="Normal 4 2 4 2 4 4" xfId="9378" xr:uid="{7A0AC88C-9165-424B-A0A3-229C52CE8369}"/>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6154" xr:uid="{8488262D-FA4C-428B-B43C-21AEBB457CB1}"/>
    <cellStyle name="Normal 4 2 4 2 5 2 3" xfId="11936" xr:uid="{237EDAD5-4FC4-4DF2-8636-324548F5D16F}"/>
    <cellStyle name="Normal 4 2 4 2 5 3" xfId="5559" xr:uid="{00000000-0005-0000-0000-000071130000}"/>
    <cellStyle name="Normal 4 2 4 2 5 3 2" xfId="14009" xr:uid="{CD96321E-418A-4CCC-BC7F-938DFA7EEC56}"/>
    <cellStyle name="Normal 4 2 4 2 5 4" xfId="9791" xr:uid="{4FFB0693-7906-4BCB-A29C-3F1ABCFF92A3}"/>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6567" xr:uid="{8F08EAB7-FE17-4BDF-BD96-1BE7C5ED7846}"/>
    <cellStyle name="Normal 4 2 4 2 6 2 3" xfId="12349" xr:uid="{610128DA-7C81-430F-933D-D8DDE74CFF61}"/>
    <cellStyle name="Normal 4 2 4 2 6 3" xfId="5972" xr:uid="{00000000-0005-0000-0000-000075130000}"/>
    <cellStyle name="Normal 4 2 4 2 6 3 2" xfId="14422" xr:uid="{9F47C4B7-F91F-441A-B138-02CDAB56CDF9}"/>
    <cellStyle name="Normal 4 2 4 2 6 4" xfId="10204" xr:uid="{BADFD68C-E91A-4E45-B89D-FB488B614682}"/>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6980" xr:uid="{DA3D518C-DE56-4811-BD9F-0A0D2ACB1FFD}"/>
    <cellStyle name="Normal 4 2 4 2 7 2 3" xfId="12762" xr:uid="{4EDB0E51-1DED-4B6F-8DB9-3E54F9282B59}"/>
    <cellStyle name="Normal 4 2 4 2 7 3" xfId="6385" xr:uid="{00000000-0005-0000-0000-000079130000}"/>
    <cellStyle name="Normal 4 2 4 2 7 3 2" xfId="14835" xr:uid="{F9CDADB6-747D-48EF-8081-EDA9D197E73D}"/>
    <cellStyle name="Normal 4 2 4 2 7 4" xfId="10617" xr:uid="{5C20A858-C5A4-4B5D-9E36-B19E1CF47CCE}"/>
    <cellStyle name="Normal 4 2 4 2 8" xfId="2515" xr:uid="{00000000-0005-0000-0000-00007A130000}"/>
    <cellStyle name="Normal 4 2 4 2 8 2" xfId="6798" xr:uid="{00000000-0005-0000-0000-00007B130000}"/>
    <cellStyle name="Normal 4 2 4 2 8 2 2" xfId="15248" xr:uid="{3D6E2D07-9FC0-4644-AE66-FB2972A27DDA}"/>
    <cellStyle name="Normal 4 2 4 2 8 3" xfId="11030" xr:uid="{71F9E249-2027-486B-B59A-95C0160AB5E3}"/>
    <cellStyle name="Normal 4 2 4 2 9" xfId="4733" xr:uid="{00000000-0005-0000-0000-00007C130000}"/>
    <cellStyle name="Normal 4 2 4 2 9 2" xfId="13183" xr:uid="{393B880D-4029-4CF1-B6E6-C8702F1809CA}"/>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5746" xr:uid="{05703BCC-E2E0-421D-8B73-B9C38EA2A182}"/>
    <cellStyle name="Normal 4 2 4 3 2 2 2 3" xfId="11528" xr:uid="{C533CBC7-3CEF-459F-A97D-3F7C50D5EBA9}"/>
    <cellStyle name="Normal 4 2 4 3 2 2 3" xfId="5151" xr:uid="{00000000-0005-0000-0000-000082130000}"/>
    <cellStyle name="Normal 4 2 4 3 2 2 3 2" xfId="13601" xr:uid="{7515B1A0-34C2-46C6-B90E-B0091246C518}"/>
    <cellStyle name="Normal 4 2 4 3 2 2 4" xfId="9383" xr:uid="{5A442077-C26B-459B-9649-95937DA6F3DE}"/>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6159" xr:uid="{6285F1A4-5B21-4D5D-BB66-C25463389B72}"/>
    <cellStyle name="Normal 4 2 4 3 2 3 2 3" xfId="11941" xr:uid="{2054BF77-68AE-49E6-84F6-096D06C2EE93}"/>
    <cellStyle name="Normal 4 2 4 3 2 3 3" xfId="5564" xr:uid="{00000000-0005-0000-0000-000086130000}"/>
    <cellStyle name="Normal 4 2 4 3 2 3 3 2" xfId="14014" xr:uid="{6EC78D8F-EE43-4926-A42F-6284F385BD3C}"/>
    <cellStyle name="Normal 4 2 4 3 2 3 4" xfId="9796" xr:uid="{67A0959D-2A70-4673-8573-96EB2091EE6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6572" xr:uid="{F78EA76A-F430-48D1-BCD3-0B3A05D299ED}"/>
    <cellStyle name="Normal 4 2 4 3 2 4 2 3" xfId="12354" xr:uid="{7B42F87E-0954-4B4B-BE41-9D693289BBE1}"/>
    <cellStyle name="Normal 4 2 4 3 2 4 3" xfId="5977" xr:uid="{00000000-0005-0000-0000-00008A130000}"/>
    <cellStyle name="Normal 4 2 4 3 2 4 3 2" xfId="14427" xr:uid="{0D12930D-0403-46C9-8251-C189883BA815}"/>
    <cellStyle name="Normal 4 2 4 3 2 4 4" xfId="10209" xr:uid="{31BF0FFE-035F-4522-92F8-F655E92E5F4B}"/>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6985" xr:uid="{980C3787-5F7A-4081-9E26-0BD74C1B4440}"/>
    <cellStyle name="Normal 4 2 4 3 2 5 2 3" xfId="12767" xr:uid="{B014D582-7A67-4BE6-B590-6BE2D648A067}"/>
    <cellStyle name="Normal 4 2 4 3 2 5 3" xfId="6390" xr:uid="{00000000-0005-0000-0000-00008E130000}"/>
    <cellStyle name="Normal 4 2 4 3 2 5 3 2" xfId="14840" xr:uid="{CAF7B137-4B93-4DBA-A035-FAC3BAD2F0FB}"/>
    <cellStyle name="Normal 4 2 4 3 2 5 4" xfId="10622" xr:uid="{20D01E1E-8897-46F3-B970-05ECBD490D01}"/>
    <cellStyle name="Normal 4 2 4 3 2 6" xfId="2520" xr:uid="{00000000-0005-0000-0000-00008F130000}"/>
    <cellStyle name="Normal 4 2 4 3 2 6 2" xfId="6803" xr:uid="{00000000-0005-0000-0000-000090130000}"/>
    <cellStyle name="Normal 4 2 4 3 2 6 2 2" xfId="15253" xr:uid="{E4E94301-8718-44C4-9E11-E272AB5CA616}"/>
    <cellStyle name="Normal 4 2 4 3 2 6 3" xfId="11035" xr:uid="{BCE8D98C-95E9-4208-8AAE-C670B85D63E4}"/>
    <cellStyle name="Normal 4 2 4 3 2 7" xfId="4738" xr:uid="{00000000-0005-0000-0000-000091130000}"/>
    <cellStyle name="Normal 4 2 4 3 2 7 2" xfId="13188" xr:uid="{75FB40E8-E43D-4571-874F-13FB4B9E9747}"/>
    <cellStyle name="Normal 4 2 4 3 2 8" xfId="8970" xr:uid="{7033BAE3-5E99-4917-B417-F220BFD19644}"/>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5745" xr:uid="{3EBC72C3-6D59-41AF-8BB5-BC210695543D}"/>
    <cellStyle name="Normal 4 2 4 3 3 2 3" xfId="11527" xr:uid="{7EABFAA5-7DD1-419D-AC88-75D46CE9F7FB}"/>
    <cellStyle name="Normal 4 2 4 3 3 3" xfId="5150" xr:uid="{00000000-0005-0000-0000-000095130000}"/>
    <cellStyle name="Normal 4 2 4 3 3 3 2" xfId="13600" xr:uid="{4EEA36CB-BD3B-47DE-AE87-DC3DF2D8E181}"/>
    <cellStyle name="Normal 4 2 4 3 3 4" xfId="9382" xr:uid="{F992CA9A-CFD7-4B1D-905D-0A137819E2C8}"/>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6158" xr:uid="{8022B32E-C779-4352-8F29-525A32A40DF3}"/>
    <cellStyle name="Normal 4 2 4 3 4 2 3" xfId="11940" xr:uid="{0469203B-F19F-4603-9ACE-C4711080A830}"/>
    <cellStyle name="Normal 4 2 4 3 4 3" xfId="5563" xr:uid="{00000000-0005-0000-0000-000099130000}"/>
    <cellStyle name="Normal 4 2 4 3 4 3 2" xfId="14013" xr:uid="{3CBE537B-99D4-4015-A766-C722D53425DD}"/>
    <cellStyle name="Normal 4 2 4 3 4 4" xfId="9795" xr:uid="{E9B8FE0B-137F-42DD-8EAF-731DDC05E7C4}"/>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6571" xr:uid="{E40DE022-E815-4886-A337-37BB16935754}"/>
    <cellStyle name="Normal 4 2 4 3 5 2 3" xfId="12353" xr:uid="{D070E065-6533-4206-B55A-22C5A69232B8}"/>
    <cellStyle name="Normal 4 2 4 3 5 3" xfId="5976" xr:uid="{00000000-0005-0000-0000-00009D130000}"/>
    <cellStyle name="Normal 4 2 4 3 5 3 2" xfId="14426" xr:uid="{1CF76EA0-CCA9-47D0-B778-50DB0B9FF9F9}"/>
    <cellStyle name="Normal 4 2 4 3 5 4" xfId="10208" xr:uid="{B7CE90CF-7DE7-4D14-ACD2-9B1BDE2C6353}"/>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6984" xr:uid="{2AB0F6F5-338C-42C4-8166-29328DC9E669}"/>
    <cellStyle name="Normal 4 2 4 3 6 2 3" xfId="12766" xr:uid="{114E3D57-2219-414E-8196-82587F6EFB1A}"/>
    <cellStyle name="Normal 4 2 4 3 6 3" xfId="6389" xr:uid="{00000000-0005-0000-0000-0000A1130000}"/>
    <cellStyle name="Normal 4 2 4 3 6 3 2" xfId="14839" xr:uid="{A0F4C7EC-CC39-49FD-B819-304E548529B2}"/>
    <cellStyle name="Normal 4 2 4 3 6 4" xfId="10621" xr:uid="{1B963716-D75A-4437-A4AF-A9A62634A2A3}"/>
    <cellStyle name="Normal 4 2 4 3 7" xfId="2519" xr:uid="{00000000-0005-0000-0000-0000A2130000}"/>
    <cellStyle name="Normal 4 2 4 3 7 2" xfId="6802" xr:uid="{00000000-0005-0000-0000-0000A3130000}"/>
    <cellStyle name="Normal 4 2 4 3 7 2 2" xfId="15252" xr:uid="{403C6FD7-99D0-47C5-ADFF-E3DDE0B158E7}"/>
    <cellStyle name="Normal 4 2 4 3 7 3" xfId="11034" xr:uid="{E480E819-5B77-4EC2-8465-9FC7428D50C9}"/>
    <cellStyle name="Normal 4 2 4 3 8" xfId="4737" xr:uid="{00000000-0005-0000-0000-0000A4130000}"/>
    <cellStyle name="Normal 4 2 4 3 8 2" xfId="13187" xr:uid="{355E3CE1-A589-4DF7-8FA5-D235C3BF60C4}"/>
    <cellStyle name="Normal 4 2 4 3 9" xfId="8969" xr:uid="{7F2963A1-0079-450D-B341-96DFEA74D4DE}"/>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5747" xr:uid="{C7317579-B4CC-4334-BA39-71DC6C96E377}"/>
    <cellStyle name="Normal 4 2 4 4 2 2 3" xfId="11529" xr:uid="{A814B455-D915-4E53-8321-55100935015B}"/>
    <cellStyle name="Normal 4 2 4 4 2 3" xfId="5152" xr:uid="{00000000-0005-0000-0000-0000A9130000}"/>
    <cellStyle name="Normal 4 2 4 4 2 3 2" xfId="13602" xr:uid="{BC41316D-C664-4D84-8E7A-719736624694}"/>
    <cellStyle name="Normal 4 2 4 4 2 4" xfId="9384" xr:uid="{ABC8C23C-0C96-4209-9828-E9778D644568}"/>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6160" xr:uid="{89173E2E-03A8-4EE2-8968-D2D55A3DEE3E}"/>
    <cellStyle name="Normal 4 2 4 4 3 2 3" xfId="11942" xr:uid="{9FF21B9E-D28E-449D-9B32-906CB6DB6010}"/>
    <cellStyle name="Normal 4 2 4 4 3 3" xfId="5565" xr:uid="{00000000-0005-0000-0000-0000AD130000}"/>
    <cellStyle name="Normal 4 2 4 4 3 3 2" xfId="14015" xr:uid="{EAF8ACED-E0E5-461A-BEE3-788E9F1A19AC}"/>
    <cellStyle name="Normal 4 2 4 4 3 4" xfId="9797" xr:uid="{61D84CC9-A0FD-46F9-9B56-E75F4C72D843}"/>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6573" xr:uid="{929CCFAE-4ABF-4193-B159-1E6D1B6DB9CE}"/>
    <cellStyle name="Normal 4 2 4 4 4 2 3" xfId="12355" xr:uid="{8F1E0314-9FD2-4C75-83F5-251F231053EC}"/>
    <cellStyle name="Normal 4 2 4 4 4 3" xfId="5978" xr:uid="{00000000-0005-0000-0000-0000B1130000}"/>
    <cellStyle name="Normal 4 2 4 4 4 3 2" xfId="14428" xr:uid="{FC6FCB0A-3A33-4C03-932A-2EABDA610702}"/>
    <cellStyle name="Normal 4 2 4 4 4 4" xfId="10210" xr:uid="{69E222B9-7D2F-423B-876B-409BEA8783C9}"/>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6986" xr:uid="{53FC3073-82AC-427B-BAD2-1B716C7F40C5}"/>
    <cellStyle name="Normal 4 2 4 4 5 2 3" xfId="12768" xr:uid="{29E86595-F1BB-4F6A-B475-F183BD062569}"/>
    <cellStyle name="Normal 4 2 4 4 5 3" xfId="6391" xr:uid="{00000000-0005-0000-0000-0000B5130000}"/>
    <cellStyle name="Normal 4 2 4 4 5 3 2" xfId="14841" xr:uid="{76E8AE9D-DF97-409E-ABB9-F28BB3D5FD2C}"/>
    <cellStyle name="Normal 4 2 4 4 5 4" xfId="10623" xr:uid="{4A610E0F-6A4D-4FEC-A3E2-76021A205308}"/>
    <cellStyle name="Normal 4 2 4 4 6" xfId="2521" xr:uid="{00000000-0005-0000-0000-0000B6130000}"/>
    <cellStyle name="Normal 4 2 4 4 6 2" xfId="6804" xr:uid="{00000000-0005-0000-0000-0000B7130000}"/>
    <cellStyle name="Normal 4 2 4 4 6 2 2" xfId="15254" xr:uid="{041CCB09-F1C3-4DF4-A3D8-16E80A6989A7}"/>
    <cellStyle name="Normal 4 2 4 4 6 3" xfId="11036" xr:uid="{D457114F-E211-494E-B604-7E9E459A9B83}"/>
    <cellStyle name="Normal 4 2 4 4 7" xfId="4739" xr:uid="{00000000-0005-0000-0000-0000B8130000}"/>
    <cellStyle name="Normal 4 2 4 4 7 2" xfId="13189" xr:uid="{1BF07680-47DE-423F-A89E-22B9ECFF9100}"/>
    <cellStyle name="Normal 4 2 4 4 8" xfId="8971" xr:uid="{549676FB-9BAB-4D9E-9C67-C9CEFE1730FF}"/>
    <cellStyle name="Normal 4 2 4 5" xfId="831" xr:uid="{00000000-0005-0000-0000-0000B9130000}"/>
    <cellStyle name="Normal 4 2 4 5 2" xfId="3068" xr:uid="{00000000-0005-0000-0000-0000BA130000}"/>
    <cellStyle name="Normal 4 2 4 5 2 2" xfId="7290" xr:uid="{00000000-0005-0000-0000-0000BB130000}"/>
    <cellStyle name="Normal 4 2 4 5 2 2 2" xfId="15740" xr:uid="{5D7A3554-42D9-4368-857B-CEF11C1B8679}"/>
    <cellStyle name="Normal 4 2 4 5 2 3" xfId="11522" xr:uid="{2A76AE80-0184-4F17-B2D8-B2ACDC6E3E9A}"/>
    <cellStyle name="Normal 4 2 4 5 3" xfId="5145" xr:uid="{00000000-0005-0000-0000-0000BC130000}"/>
    <cellStyle name="Normal 4 2 4 5 3 2" xfId="13595" xr:uid="{4E1DA6B2-45BA-4078-A7EC-99FFE31B20F5}"/>
    <cellStyle name="Normal 4 2 4 5 4" xfId="9377" xr:uid="{ABDAEFBD-6814-4C9D-AD66-7EE2C0B17E2D}"/>
    <cellStyle name="Normal 4 2 4 6" xfId="1251" xr:uid="{00000000-0005-0000-0000-0000BD130000}"/>
    <cellStyle name="Normal 4 2 4 6 2" xfId="3481" xr:uid="{00000000-0005-0000-0000-0000BE130000}"/>
    <cellStyle name="Normal 4 2 4 6 2 2" xfId="7703" xr:uid="{00000000-0005-0000-0000-0000BF130000}"/>
    <cellStyle name="Normal 4 2 4 6 2 2 2" xfId="16153" xr:uid="{82172CD6-32D6-4E90-9C80-EB1BDA3DBA9F}"/>
    <cellStyle name="Normal 4 2 4 6 2 3" xfId="11935" xr:uid="{6114988C-7428-4FD3-90F5-9381C1F69E98}"/>
    <cellStyle name="Normal 4 2 4 6 3" xfId="5558" xr:uid="{00000000-0005-0000-0000-0000C0130000}"/>
    <cellStyle name="Normal 4 2 4 6 3 2" xfId="14008" xr:uid="{B2255842-7737-4EEB-AD72-AFE910BA03C4}"/>
    <cellStyle name="Normal 4 2 4 6 4" xfId="9790" xr:uid="{DAB5D434-085E-4D8F-A14F-68DAACE73A2B}"/>
    <cellStyle name="Normal 4 2 4 7" xfId="1664" xr:uid="{00000000-0005-0000-0000-0000C1130000}"/>
    <cellStyle name="Normal 4 2 4 7 2" xfId="3894" xr:uid="{00000000-0005-0000-0000-0000C2130000}"/>
    <cellStyle name="Normal 4 2 4 7 2 2" xfId="8116" xr:uid="{00000000-0005-0000-0000-0000C3130000}"/>
    <cellStyle name="Normal 4 2 4 7 2 2 2" xfId="16566" xr:uid="{5B4F6D8A-9F71-4F23-AF70-6F3BDCF504AB}"/>
    <cellStyle name="Normal 4 2 4 7 2 3" xfId="12348" xr:uid="{859C979B-5B80-4228-8EC1-696EE26F5920}"/>
    <cellStyle name="Normal 4 2 4 7 3" xfId="5971" xr:uid="{00000000-0005-0000-0000-0000C4130000}"/>
    <cellStyle name="Normal 4 2 4 7 3 2" xfId="14421" xr:uid="{AFC88EA3-D285-4406-878A-0A3301A430FA}"/>
    <cellStyle name="Normal 4 2 4 7 4" xfId="10203" xr:uid="{16076082-DD6D-4994-87B1-BB87F01B607C}"/>
    <cellStyle name="Normal 4 2 4 8" xfId="2078" xr:uid="{00000000-0005-0000-0000-0000C5130000}"/>
    <cellStyle name="Normal 4 2 4 8 2" xfId="4307" xr:uid="{00000000-0005-0000-0000-0000C6130000}"/>
    <cellStyle name="Normal 4 2 4 8 2 2" xfId="8529" xr:uid="{00000000-0005-0000-0000-0000C7130000}"/>
    <cellStyle name="Normal 4 2 4 8 2 2 2" xfId="16979" xr:uid="{416DB416-2A98-4A71-85F8-09192E25113F}"/>
    <cellStyle name="Normal 4 2 4 8 2 3" xfId="12761" xr:uid="{95328782-C82C-42A3-92DF-C58659214786}"/>
    <cellStyle name="Normal 4 2 4 8 3" xfId="6384" xr:uid="{00000000-0005-0000-0000-0000C8130000}"/>
    <cellStyle name="Normal 4 2 4 8 3 2" xfId="14834" xr:uid="{C3E5AFA0-703E-46F3-BE68-F029749B7466}"/>
    <cellStyle name="Normal 4 2 4 8 4" xfId="10616" xr:uid="{E55ED518-CB2D-4E38-B1A6-761E67755F92}"/>
    <cellStyle name="Normal 4 2 4 9" xfId="2514" xr:uid="{00000000-0005-0000-0000-0000C9130000}"/>
    <cellStyle name="Normal 4 2 4 9 2" xfId="6797" xr:uid="{00000000-0005-0000-0000-0000CA130000}"/>
    <cellStyle name="Normal 4 2 4 9 2 2" xfId="15247" xr:uid="{F3F75D01-360C-41B2-8516-C4D740A517A3}"/>
    <cellStyle name="Normal 4 2 4 9 3" xfId="11029" xr:uid="{8A97C997-6166-4A6E-B103-D89647574655}"/>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5749" xr:uid="{F21FF989-9076-4408-815F-82C21F2A1B30}"/>
    <cellStyle name="Normal 4 2 5 2 2 2 3" xfId="11531" xr:uid="{C450BF07-8331-448B-9285-CEB135DCA0AC}"/>
    <cellStyle name="Normal 4 2 5 2 2 3" xfId="5154" xr:uid="{00000000-0005-0000-0000-0000D0130000}"/>
    <cellStyle name="Normal 4 2 5 2 2 3 2" xfId="13604" xr:uid="{2DE28F62-60C7-455D-B887-B1F2AFDC7670}"/>
    <cellStyle name="Normal 4 2 5 2 2 4" xfId="9386" xr:uid="{D8AD75EA-F57E-4EF2-A903-B7B95D8158C9}"/>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6162" xr:uid="{290600B4-AD21-4033-A500-BD675FCCF367}"/>
    <cellStyle name="Normal 4 2 5 2 3 2 3" xfId="11944" xr:uid="{CF49E35D-7245-4ECA-83E9-C2B506CD984A}"/>
    <cellStyle name="Normal 4 2 5 2 3 3" xfId="5567" xr:uid="{00000000-0005-0000-0000-0000D4130000}"/>
    <cellStyle name="Normal 4 2 5 2 3 3 2" xfId="14017" xr:uid="{1D4D3958-44E4-4B82-9E19-6CFD0F16662F}"/>
    <cellStyle name="Normal 4 2 5 2 3 4" xfId="9799" xr:uid="{30D5BED7-BF3D-4930-A711-BADC21E299EA}"/>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6575" xr:uid="{BB57185E-DB14-4988-B068-760136E1A096}"/>
    <cellStyle name="Normal 4 2 5 2 4 2 3" xfId="12357" xr:uid="{0E49931C-6960-4959-AD5A-349916E22154}"/>
    <cellStyle name="Normal 4 2 5 2 4 3" xfId="5980" xr:uid="{00000000-0005-0000-0000-0000D8130000}"/>
    <cellStyle name="Normal 4 2 5 2 4 3 2" xfId="14430" xr:uid="{5B3B94B6-74BD-4F0C-8305-54E7B6F3ACBA}"/>
    <cellStyle name="Normal 4 2 5 2 4 4" xfId="10212" xr:uid="{83F39B17-C534-422F-A848-5F48BD9899A8}"/>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6988" xr:uid="{C95F0558-F993-4500-8101-EE6AA7B42475}"/>
    <cellStyle name="Normal 4 2 5 2 5 2 3" xfId="12770" xr:uid="{7B6AEA32-EF9A-4D08-8A7A-07191612469E}"/>
    <cellStyle name="Normal 4 2 5 2 5 3" xfId="6393" xr:uid="{00000000-0005-0000-0000-0000DC130000}"/>
    <cellStyle name="Normal 4 2 5 2 5 3 2" xfId="14843" xr:uid="{0D8EAE28-1E04-4D50-8803-2632EA8B177A}"/>
    <cellStyle name="Normal 4 2 5 2 5 4" xfId="10625" xr:uid="{21B85EBE-F856-4A44-BE18-C83B5BE16D09}"/>
    <cellStyle name="Normal 4 2 5 2 6" xfId="2523" xr:uid="{00000000-0005-0000-0000-0000DD130000}"/>
    <cellStyle name="Normal 4 2 5 2 6 2" xfId="6806" xr:uid="{00000000-0005-0000-0000-0000DE130000}"/>
    <cellStyle name="Normal 4 2 5 2 6 2 2" xfId="15256" xr:uid="{243FB5F4-2AC5-4E59-A89F-C3349DFA0679}"/>
    <cellStyle name="Normal 4 2 5 2 6 3" xfId="11038" xr:uid="{21BAC11B-2087-4928-813F-7A0D1A969F4C}"/>
    <cellStyle name="Normal 4 2 5 2 7" xfId="4741" xr:uid="{00000000-0005-0000-0000-0000DF130000}"/>
    <cellStyle name="Normal 4 2 5 2 7 2" xfId="13191" xr:uid="{96E93AB2-DB81-45B2-991F-F50B8221BEBB}"/>
    <cellStyle name="Normal 4 2 5 2 8" xfId="8973" xr:uid="{1C72A160-EEA2-46D4-A3CD-EFE5DA5071D0}"/>
    <cellStyle name="Normal 4 2 5 3" xfId="839" xr:uid="{00000000-0005-0000-0000-0000E0130000}"/>
    <cellStyle name="Normal 4 2 5 3 2" xfId="3076" xr:uid="{00000000-0005-0000-0000-0000E1130000}"/>
    <cellStyle name="Normal 4 2 5 3 2 2" xfId="7298" xr:uid="{00000000-0005-0000-0000-0000E2130000}"/>
    <cellStyle name="Normal 4 2 5 3 2 2 2" xfId="15748" xr:uid="{241F7FC3-E9D9-45B3-8FCA-37B1B82D6957}"/>
    <cellStyle name="Normal 4 2 5 3 2 3" xfId="11530" xr:uid="{8C0C18F0-2907-4043-8B1F-4D4FFF12967E}"/>
    <cellStyle name="Normal 4 2 5 3 3" xfId="5153" xr:uid="{00000000-0005-0000-0000-0000E3130000}"/>
    <cellStyle name="Normal 4 2 5 3 3 2" xfId="13603" xr:uid="{BBB091D1-7D5E-4337-8D22-C86AA5BD90C6}"/>
    <cellStyle name="Normal 4 2 5 3 4" xfId="9385" xr:uid="{8FD4358C-6912-4FE2-9A75-38B1B71E88AC}"/>
    <cellStyle name="Normal 4 2 5 4" xfId="1259" xr:uid="{00000000-0005-0000-0000-0000E4130000}"/>
    <cellStyle name="Normal 4 2 5 4 2" xfId="3489" xr:uid="{00000000-0005-0000-0000-0000E5130000}"/>
    <cellStyle name="Normal 4 2 5 4 2 2" xfId="7711" xr:uid="{00000000-0005-0000-0000-0000E6130000}"/>
    <cellStyle name="Normal 4 2 5 4 2 2 2" xfId="16161" xr:uid="{0EC3FF46-37F1-446E-9FDD-8301EA86CE96}"/>
    <cellStyle name="Normal 4 2 5 4 2 3" xfId="11943" xr:uid="{8448B164-6868-49E2-87D2-35F290B423AE}"/>
    <cellStyle name="Normal 4 2 5 4 3" xfId="5566" xr:uid="{00000000-0005-0000-0000-0000E7130000}"/>
    <cellStyle name="Normal 4 2 5 4 3 2" xfId="14016" xr:uid="{49E0E5F5-0CBE-4D1B-A4FF-B200F8F9C1D4}"/>
    <cellStyle name="Normal 4 2 5 4 4" xfId="9798" xr:uid="{FEDD37A7-07E1-46DD-A41E-D6D8F2AA560B}"/>
    <cellStyle name="Normal 4 2 5 5" xfId="1672" xr:uid="{00000000-0005-0000-0000-0000E8130000}"/>
    <cellStyle name="Normal 4 2 5 5 2" xfId="3902" xr:uid="{00000000-0005-0000-0000-0000E9130000}"/>
    <cellStyle name="Normal 4 2 5 5 2 2" xfId="8124" xr:uid="{00000000-0005-0000-0000-0000EA130000}"/>
    <cellStyle name="Normal 4 2 5 5 2 2 2" xfId="16574" xr:uid="{53BE92E1-6F35-46B4-9073-08947869B6C5}"/>
    <cellStyle name="Normal 4 2 5 5 2 3" xfId="12356" xr:uid="{A8D62F4E-8713-4382-AC7C-12193771AE09}"/>
    <cellStyle name="Normal 4 2 5 5 3" xfId="5979" xr:uid="{00000000-0005-0000-0000-0000EB130000}"/>
    <cellStyle name="Normal 4 2 5 5 3 2" xfId="14429" xr:uid="{3AF71B57-BFC7-401E-B815-A9AA4E2A50D8}"/>
    <cellStyle name="Normal 4 2 5 5 4" xfId="10211" xr:uid="{9845ABC7-ED6F-4442-AAF9-20D87054BAE8}"/>
    <cellStyle name="Normal 4 2 5 6" xfId="2086" xr:uid="{00000000-0005-0000-0000-0000EC130000}"/>
    <cellStyle name="Normal 4 2 5 6 2" xfId="4315" xr:uid="{00000000-0005-0000-0000-0000ED130000}"/>
    <cellStyle name="Normal 4 2 5 6 2 2" xfId="8537" xr:uid="{00000000-0005-0000-0000-0000EE130000}"/>
    <cellStyle name="Normal 4 2 5 6 2 2 2" xfId="16987" xr:uid="{83E48F44-86EB-44EB-8A1E-2AEA34E6D969}"/>
    <cellStyle name="Normal 4 2 5 6 2 3" xfId="12769" xr:uid="{42A311D3-999F-41AB-9191-EC2AE69B379A}"/>
    <cellStyle name="Normal 4 2 5 6 3" xfId="6392" xr:uid="{00000000-0005-0000-0000-0000EF130000}"/>
    <cellStyle name="Normal 4 2 5 6 3 2" xfId="14842" xr:uid="{92708793-7EB0-4DA7-B7A1-12936B4899A3}"/>
    <cellStyle name="Normal 4 2 5 6 4" xfId="10624" xr:uid="{1C7D760E-5E82-4F1A-A664-0B8EA5862294}"/>
    <cellStyle name="Normal 4 2 5 7" xfId="2522" xr:uid="{00000000-0005-0000-0000-0000F0130000}"/>
    <cellStyle name="Normal 4 2 5 7 2" xfId="6805" xr:uid="{00000000-0005-0000-0000-0000F1130000}"/>
    <cellStyle name="Normal 4 2 5 7 2 2" xfId="15255" xr:uid="{7FF742A7-B5A5-4D63-9A4E-C93C9D5CF892}"/>
    <cellStyle name="Normal 4 2 5 7 3" xfId="11037" xr:uid="{9CD54A1D-E8E8-44E3-9BF0-10E7E065B620}"/>
    <cellStyle name="Normal 4 2 5 8" xfId="4740" xr:uid="{00000000-0005-0000-0000-0000F2130000}"/>
    <cellStyle name="Normal 4 2 5 8 2" xfId="13190" xr:uid="{8C771DD5-B276-434D-B67B-6449D6E859AE}"/>
    <cellStyle name="Normal 4 2 5 9" xfId="8972" xr:uid="{043CE85A-EB74-464F-8729-1FE6D15E7CB9}"/>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5750" xr:uid="{015E60AB-5B15-437C-A3D1-71E6C1130DC5}"/>
    <cellStyle name="Normal 4 2 6 2 2 3" xfId="11532" xr:uid="{FDDAE512-D58D-48B9-9E8A-7825E1583A19}"/>
    <cellStyle name="Normal 4 2 6 2 3" xfId="5155" xr:uid="{00000000-0005-0000-0000-0000F7130000}"/>
    <cellStyle name="Normal 4 2 6 2 3 2" xfId="13605" xr:uid="{866F89A9-00DC-4D16-A93F-723D55B9F08B}"/>
    <cellStyle name="Normal 4 2 6 2 4" xfId="9387" xr:uid="{6C7CBAD2-22B9-4836-978C-104DE3564D0D}"/>
    <cellStyle name="Normal 4 2 6 3" xfId="1261" xr:uid="{00000000-0005-0000-0000-0000F8130000}"/>
    <cellStyle name="Normal 4 2 6 3 2" xfId="3491" xr:uid="{00000000-0005-0000-0000-0000F9130000}"/>
    <cellStyle name="Normal 4 2 6 3 2 2" xfId="7713" xr:uid="{00000000-0005-0000-0000-0000FA130000}"/>
    <cellStyle name="Normal 4 2 6 3 2 2 2" xfId="16163" xr:uid="{C1C34472-39C7-4EFC-8CE3-2BCA77CED33A}"/>
    <cellStyle name="Normal 4 2 6 3 2 3" xfId="11945" xr:uid="{C80A9626-9615-418C-A4B9-848E383A0A63}"/>
    <cellStyle name="Normal 4 2 6 3 3" xfId="5568" xr:uid="{00000000-0005-0000-0000-0000FB130000}"/>
    <cellStyle name="Normal 4 2 6 3 3 2" xfId="14018" xr:uid="{D2AE64AA-4C7E-456A-9920-A05D5A50B307}"/>
    <cellStyle name="Normal 4 2 6 3 4" xfId="9800" xr:uid="{DA9D1F35-F969-421D-A5F8-63095CEE74C7}"/>
    <cellStyle name="Normal 4 2 6 4" xfId="1674" xr:uid="{00000000-0005-0000-0000-0000FC130000}"/>
    <cellStyle name="Normal 4 2 6 4 2" xfId="3904" xr:uid="{00000000-0005-0000-0000-0000FD130000}"/>
    <cellStyle name="Normal 4 2 6 4 2 2" xfId="8126" xr:uid="{00000000-0005-0000-0000-0000FE130000}"/>
    <cellStyle name="Normal 4 2 6 4 2 2 2" xfId="16576" xr:uid="{F2C931C3-A68E-44B4-ABC6-B159A17BAABE}"/>
    <cellStyle name="Normal 4 2 6 4 2 3" xfId="12358" xr:uid="{6D57FF06-87FE-4FDC-B02A-B7194C74ED5A}"/>
    <cellStyle name="Normal 4 2 6 4 3" xfId="5981" xr:uid="{00000000-0005-0000-0000-0000FF130000}"/>
    <cellStyle name="Normal 4 2 6 4 3 2" xfId="14431" xr:uid="{9616636D-5B96-4E74-A88D-C8533774CC52}"/>
    <cellStyle name="Normal 4 2 6 4 4" xfId="10213" xr:uid="{BABBAA02-65BA-4073-9675-DAF938715DB8}"/>
    <cellStyle name="Normal 4 2 6 5" xfId="2088" xr:uid="{00000000-0005-0000-0000-000000140000}"/>
    <cellStyle name="Normal 4 2 6 5 2" xfId="4317" xr:uid="{00000000-0005-0000-0000-000001140000}"/>
    <cellStyle name="Normal 4 2 6 5 2 2" xfId="8539" xr:uid="{00000000-0005-0000-0000-000002140000}"/>
    <cellStyle name="Normal 4 2 6 5 2 2 2" xfId="16989" xr:uid="{729C554F-44A5-44C8-8150-4D40801B436A}"/>
    <cellStyle name="Normal 4 2 6 5 2 3" xfId="12771" xr:uid="{3D4E1A93-6DD6-4075-9795-5817EEAC3BBD}"/>
    <cellStyle name="Normal 4 2 6 5 3" xfId="6394" xr:uid="{00000000-0005-0000-0000-000003140000}"/>
    <cellStyle name="Normal 4 2 6 5 3 2" xfId="14844" xr:uid="{A062225A-031F-4B5F-AD79-27DAC129883F}"/>
    <cellStyle name="Normal 4 2 6 5 4" xfId="10626" xr:uid="{35304D77-5B50-47DD-B6D9-DBAAD03494AD}"/>
    <cellStyle name="Normal 4 2 6 6" xfId="2524" xr:uid="{00000000-0005-0000-0000-000004140000}"/>
    <cellStyle name="Normal 4 2 6 6 2" xfId="6807" xr:uid="{00000000-0005-0000-0000-000005140000}"/>
    <cellStyle name="Normal 4 2 6 6 2 2" xfId="15257" xr:uid="{1308E3D0-D109-4147-9F78-CF98414CC0E6}"/>
    <cellStyle name="Normal 4 2 6 6 3" xfId="11039" xr:uid="{94E19166-2333-435E-A325-8997DAED2F56}"/>
    <cellStyle name="Normal 4 2 6 7" xfId="4742" xr:uid="{00000000-0005-0000-0000-000006140000}"/>
    <cellStyle name="Normal 4 2 6 7 2" xfId="13192" xr:uid="{AB2B9616-CEBB-4D21-9252-13C99FD7A0D4}"/>
    <cellStyle name="Normal 4 2 6 8" xfId="8974" xr:uid="{6DACCAA4-B5B6-40D2-9CBF-251F2A498292}"/>
    <cellStyle name="Normal 4 3" xfId="366" xr:uid="{00000000-0005-0000-0000-000007140000}"/>
    <cellStyle name="Normal 4 3 10" xfId="8975" xr:uid="{979A2B44-5CB1-4922-A5B0-0BCF16F3352E}"/>
    <cellStyle name="Normal 4 3 2" xfId="367" xr:uid="{00000000-0005-0000-0000-000008140000}"/>
    <cellStyle name="Normal 4 3 2 2" xfId="368" xr:uid="{00000000-0005-0000-0000-000009140000}"/>
    <cellStyle name="Normal 4 3 2 2 2" xfId="369" xr:uid="{00000000-0005-0000-0000-00000A140000}"/>
    <cellStyle name="Normal 4 3 2 2 2 10" xfId="8976" xr:uid="{26D55D20-331D-4872-9911-2FB998331025}"/>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5754" xr:uid="{346A79D6-844A-4F81-A1B5-3785A11F6232}"/>
    <cellStyle name="Normal 4 3 2 2 2 2 2 2 2 3" xfId="11536" xr:uid="{B259B278-CAE1-4F0B-9BF8-3BAFE0AD36C4}"/>
    <cellStyle name="Normal 4 3 2 2 2 2 2 2 3" xfId="5159" xr:uid="{00000000-0005-0000-0000-000010140000}"/>
    <cellStyle name="Normal 4 3 2 2 2 2 2 2 3 2" xfId="13609" xr:uid="{68B6F3B0-18A7-4C62-8C1A-C87FAE361CF0}"/>
    <cellStyle name="Normal 4 3 2 2 2 2 2 2 4" xfId="9391" xr:uid="{D84D795C-26CA-4D3F-956A-23E2717C5A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6167" xr:uid="{4507DD2C-9018-48C4-AF52-1B0004F98128}"/>
    <cellStyle name="Normal 4 3 2 2 2 2 2 3 2 3" xfId="11949" xr:uid="{C1A1F847-770A-4365-A8AC-79FB959D2283}"/>
    <cellStyle name="Normal 4 3 2 2 2 2 2 3 3" xfId="5572" xr:uid="{00000000-0005-0000-0000-000014140000}"/>
    <cellStyle name="Normal 4 3 2 2 2 2 2 3 3 2" xfId="14022" xr:uid="{8F7905EB-14F0-4E4D-A995-1129BB6CAF7C}"/>
    <cellStyle name="Normal 4 3 2 2 2 2 2 3 4" xfId="9804" xr:uid="{36B085D1-26CC-4428-ADEB-0EB10DAA1202}"/>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6580" xr:uid="{795DECF7-E55C-409B-9C34-3BD0C199C445}"/>
    <cellStyle name="Normal 4 3 2 2 2 2 2 4 2 3" xfId="12362" xr:uid="{52026EED-2818-45DB-A9C6-B3B5D5A648CE}"/>
    <cellStyle name="Normal 4 3 2 2 2 2 2 4 3" xfId="5985" xr:uid="{00000000-0005-0000-0000-000018140000}"/>
    <cellStyle name="Normal 4 3 2 2 2 2 2 4 3 2" xfId="14435" xr:uid="{2E8E5E8E-2E46-4C51-AC22-9C93BB62CE68}"/>
    <cellStyle name="Normal 4 3 2 2 2 2 2 4 4" xfId="10217" xr:uid="{3170F73B-588D-496E-AE19-DAAF617C5BB7}"/>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6993" xr:uid="{49F9A566-6EB7-4C88-A07B-7E617AAB1D91}"/>
    <cellStyle name="Normal 4 3 2 2 2 2 2 5 2 3" xfId="12775" xr:uid="{D643B6F2-CFFB-4CEA-A2C2-262CE371BCF3}"/>
    <cellStyle name="Normal 4 3 2 2 2 2 2 5 3" xfId="6398" xr:uid="{00000000-0005-0000-0000-00001C140000}"/>
    <cellStyle name="Normal 4 3 2 2 2 2 2 5 3 2" xfId="14848" xr:uid="{AC485614-5205-4701-9931-BCC2AD316B40}"/>
    <cellStyle name="Normal 4 3 2 2 2 2 2 5 4" xfId="10630" xr:uid="{16C3886C-E470-4F8A-A742-73EB54790825}"/>
    <cellStyle name="Normal 4 3 2 2 2 2 2 6" xfId="2528" xr:uid="{00000000-0005-0000-0000-00001D140000}"/>
    <cellStyle name="Normal 4 3 2 2 2 2 2 6 2" xfId="6811" xr:uid="{00000000-0005-0000-0000-00001E140000}"/>
    <cellStyle name="Normal 4 3 2 2 2 2 2 6 2 2" xfId="15261" xr:uid="{0F463D20-B08D-41A3-B9D5-31DD6C1B8C2F}"/>
    <cellStyle name="Normal 4 3 2 2 2 2 2 6 3" xfId="11043" xr:uid="{E881D4C8-96AA-4302-BBAB-073BB29676D3}"/>
    <cellStyle name="Normal 4 3 2 2 2 2 2 7" xfId="4746" xr:uid="{00000000-0005-0000-0000-00001F140000}"/>
    <cellStyle name="Normal 4 3 2 2 2 2 2 7 2" xfId="13196" xr:uid="{4BABBDD8-8ABF-474A-8E4E-26E6A22D58EC}"/>
    <cellStyle name="Normal 4 3 2 2 2 2 2 8" xfId="8978" xr:uid="{19DD4F65-3AA9-4467-BB23-201D2CD1DF3C}"/>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5753" xr:uid="{6DB0BD81-A9AD-4831-8C20-933A3A048B47}"/>
    <cellStyle name="Normal 4 3 2 2 2 2 3 2 3" xfId="11535" xr:uid="{F49833CF-3B0D-4827-BF1F-E7DA39D8E93C}"/>
    <cellStyle name="Normal 4 3 2 2 2 2 3 3" xfId="5158" xr:uid="{00000000-0005-0000-0000-000023140000}"/>
    <cellStyle name="Normal 4 3 2 2 2 2 3 3 2" xfId="13608" xr:uid="{1F92BB5B-A783-49B3-9075-85E6DBE0294A}"/>
    <cellStyle name="Normal 4 3 2 2 2 2 3 4" xfId="9390" xr:uid="{185049B5-E870-431E-9EA0-3361AD2E0C5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6166" xr:uid="{EEE71A73-4D32-45B1-92D3-5C27F593E03C}"/>
    <cellStyle name="Normal 4 3 2 2 2 2 4 2 3" xfId="11948" xr:uid="{8C7CC5C1-A73B-4DE6-A246-1F04EC6474EF}"/>
    <cellStyle name="Normal 4 3 2 2 2 2 4 3" xfId="5571" xr:uid="{00000000-0005-0000-0000-000027140000}"/>
    <cellStyle name="Normal 4 3 2 2 2 2 4 3 2" xfId="14021" xr:uid="{B03A26ED-FA28-4612-9896-421F27331132}"/>
    <cellStyle name="Normal 4 3 2 2 2 2 4 4" xfId="9803" xr:uid="{7331B5C8-A4A2-46F1-B9B1-623290548AFD}"/>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6579" xr:uid="{1F270067-AB67-430B-853F-C416A0ECB4D2}"/>
    <cellStyle name="Normal 4 3 2 2 2 2 5 2 3" xfId="12361" xr:uid="{D2EEC389-F4AF-423B-A116-3DA9C8C51A1D}"/>
    <cellStyle name="Normal 4 3 2 2 2 2 5 3" xfId="5984" xr:uid="{00000000-0005-0000-0000-00002B140000}"/>
    <cellStyle name="Normal 4 3 2 2 2 2 5 3 2" xfId="14434" xr:uid="{9EE95A23-EA7C-4548-A3E2-DB0037A98B53}"/>
    <cellStyle name="Normal 4 3 2 2 2 2 5 4" xfId="10216" xr:uid="{A2524B5D-58CA-4893-85F8-F3916AACAA8A}"/>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6992" xr:uid="{F80E7995-B053-4C00-A6AE-732F9E9F7AD4}"/>
    <cellStyle name="Normal 4 3 2 2 2 2 6 2 3" xfId="12774" xr:uid="{32F3B69C-436B-40E1-9029-96B127B3770E}"/>
    <cellStyle name="Normal 4 3 2 2 2 2 6 3" xfId="6397" xr:uid="{00000000-0005-0000-0000-00002F140000}"/>
    <cellStyle name="Normal 4 3 2 2 2 2 6 3 2" xfId="14847" xr:uid="{E742428C-83A6-4385-931A-51A02F8DF1E3}"/>
    <cellStyle name="Normal 4 3 2 2 2 2 6 4" xfId="10629" xr:uid="{1474545C-1429-4ED8-9679-DCDBC43A119F}"/>
    <cellStyle name="Normal 4 3 2 2 2 2 7" xfId="2527" xr:uid="{00000000-0005-0000-0000-000030140000}"/>
    <cellStyle name="Normal 4 3 2 2 2 2 7 2" xfId="6810" xr:uid="{00000000-0005-0000-0000-000031140000}"/>
    <cellStyle name="Normal 4 3 2 2 2 2 7 2 2" xfId="15260" xr:uid="{74809A73-42E0-4156-808C-B484DE125DF4}"/>
    <cellStyle name="Normal 4 3 2 2 2 2 7 3" xfId="11042" xr:uid="{C8865DDA-280B-4F4D-8B10-63BDA150A63D}"/>
    <cellStyle name="Normal 4 3 2 2 2 2 8" xfId="4745" xr:uid="{00000000-0005-0000-0000-000032140000}"/>
    <cellStyle name="Normal 4 3 2 2 2 2 8 2" xfId="13195" xr:uid="{DFA9B463-6D94-428F-A81E-C411520BA0C9}"/>
    <cellStyle name="Normal 4 3 2 2 2 2 9" xfId="8977" xr:uid="{A9B9B05A-D64F-47E9-A80E-71B4DFE5D30D}"/>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5755" xr:uid="{D35DECB2-5957-4717-A329-BD42B7691DC5}"/>
    <cellStyle name="Normal 4 3 2 2 2 3 2 2 3" xfId="11537" xr:uid="{D6FAA258-0B6A-4639-A9C3-62BB3CDB08C4}"/>
    <cellStyle name="Normal 4 3 2 2 2 3 2 3" xfId="5160" xr:uid="{00000000-0005-0000-0000-000037140000}"/>
    <cellStyle name="Normal 4 3 2 2 2 3 2 3 2" xfId="13610" xr:uid="{98EE891E-F945-47F6-9E9E-D5FF8E47C4AB}"/>
    <cellStyle name="Normal 4 3 2 2 2 3 2 4" xfId="9392" xr:uid="{EB67501E-DD91-4F6E-ABF2-F37E1BBE4AE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6168" xr:uid="{67071B83-4095-4F3C-8F49-8DB3994DBF5E}"/>
    <cellStyle name="Normal 4 3 2 2 2 3 3 2 3" xfId="11950" xr:uid="{B7207BFC-4DD7-4CF3-B1B4-77C79E528160}"/>
    <cellStyle name="Normal 4 3 2 2 2 3 3 3" xfId="5573" xr:uid="{00000000-0005-0000-0000-00003B140000}"/>
    <cellStyle name="Normal 4 3 2 2 2 3 3 3 2" xfId="14023" xr:uid="{297C7260-D330-4D06-9EA1-4B0BD0C5A303}"/>
    <cellStyle name="Normal 4 3 2 2 2 3 3 4" xfId="9805" xr:uid="{76661214-670C-46E4-A7CB-3133390C7E85}"/>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6581" xr:uid="{3CF8603C-B020-4CF0-BD9A-651998D46FA9}"/>
    <cellStyle name="Normal 4 3 2 2 2 3 4 2 3" xfId="12363" xr:uid="{CFC686AA-A88A-47AC-981B-095948AF88E5}"/>
    <cellStyle name="Normal 4 3 2 2 2 3 4 3" xfId="5986" xr:uid="{00000000-0005-0000-0000-00003F140000}"/>
    <cellStyle name="Normal 4 3 2 2 2 3 4 3 2" xfId="14436" xr:uid="{4CC0AE8B-4AC1-431A-BA25-443F4C209731}"/>
    <cellStyle name="Normal 4 3 2 2 2 3 4 4" xfId="10218" xr:uid="{92FFCDC6-71F0-42E4-9394-ED787CC1FB92}"/>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6994" xr:uid="{2C670EEE-5BDF-45D2-80D5-585CA30509BE}"/>
    <cellStyle name="Normal 4 3 2 2 2 3 5 2 3" xfId="12776" xr:uid="{68262114-D45F-473D-BD8E-2CF7841143B3}"/>
    <cellStyle name="Normal 4 3 2 2 2 3 5 3" xfId="6399" xr:uid="{00000000-0005-0000-0000-000043140000}"/>
    <cellStyle name="Normal 4 3 2 2 2 3 5 3 2" xfId="14849" xr:uid="{92B92227-A39D-4204-9C17-2928F8E10D91}"/>
    <cellStyle name="Normal 4 3 2 2 2 3 5 4" xfId="10631" xr:uid="{2F071DA9-2254-4568-A7F9-2DD666C93DAB}"/>
    <cellStyle name="Normal 4 3 2 2 2 3 6" xfId="2529" xr:uid="{00000000-0005-0000-0000-000044140000}"/>
    <cellStyle name="Normal 4 3 2 2 2 3 6 2" xfId="6812" xr:uid="{00000000-0005-0000-0000-000045140000}"/>
    <cellStyle name="Normal 4 3 2 2 2 3 6 2 2" xfId="15262" xr:uid="{8F50ACE9-6826-45C8-AE89-07898CD0E923}"/>
    <cellStyle name="Normal 4 3 2 2 2 3 6 3" xfId="11044" xr:uid="{F295F7A3-7FC8-463A-A4B7-DA63CFACBA68}"/>
    <cellStyle name="Normal 4 3 2 2 2 3 7" xfId="4747" xr:uid="{00000000-0005-0000-0000-000046140000}"/>
    <cellStyle name="Normal 4 3 2 2 2 3 7 2" xfId="13197" xr:uid="{FC3CCA59-8194-496B-9CA2-373E9486A9B0}"/>
    <cellStyle name="Normal 4 3 2 2 2 3 8" xfId="8979" xr:uid="{72DD3869-7469-4F91-B861-D545FFEBAEBF}"/>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5752" xr:uid="{A3C55017-84AF-4B4F-A80A-88DE491C3D39}"/>
    <cellStyle name="Normal 4 3 2 2 2 4 2 3" xfId="11534" xr:uid="{AE0C9D9C-6BB8-4FA8-BD50-636B4101AE45}"/>
    <cellStyle name="Normal 4 3 2 2 2 4 3" xfId="5157" xr:uid="{00000000-0005-0000-0000-00004A140000}"/>
    <cellStyle name="Normal 4 3 2 2 2 4 3 2" xfId="13607" xr:uid="{0E88F781-9C9D-4F73-A5EC-4686826A5E2B}"/>
    <cellStyle name="Normal 4 3 2 2 2 4 4" xfId="9389" xr:uid="{267BE29B-84DE-4322-9778-9DD7BECA0F42}"/>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6165" xr:uid="{07FFCB34-3045-4252-B401-B2614CE6FA1B}"/>
    <cellStyle name="Normal 4 3 2 2 2 5 2 3" xfId="11947" xr:uid="{818A8AED-C82D-400F-9DDF-E718570FF833}"/>
    <cellStyle name="Normal 4 3 2 2 2 5 3" xfId="5570" xr:uid="{00000000-0005-0000-0000-00004E140000}"/>
    <cellStyle name="Normal 4 3 2 2 2 5 3 2" xfId="14020" xr:uid="{8E490B36-4B66-4B19-B386-9F2ED3A836FE}"/>
    <cellStyle name="Normal 4 3 2 2 2 5 4" xfId="9802" xr:uid="{C0CFC230-3664-4C85-90E2-AEEF542B184D}"/>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6578" xr:uid="{FC3FC915-CA12-4630-8BF9-1376AD233772}"/>
    <cellStyle name="Normal 4 3 2 2 2 6 2 3" xfId="12360" xr:uid="{EF67E3F8-DE13-43AB-9674-CA0A0B4555D7}"/>
    <cellStyle name="Normal 4 3 2 2 2 6 3" xfId="5983" xr:uid="{00000000-0005-0000-0000-000052140000}"/>
    <cellStyle name="Normal 4 3 2 2 2 6 3 2" xfId="14433" xr:uid="{080C06A4-9A27-4C88-A6D0-22BF7167C7D1}"/>
    <cellStyle name="Normal 4 3 2 2 2 6 4" xfId="10215" xr:uid="{4FB48DEB-1184-489E-A5F1-0B8984086316}"/>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6991" xr:uid="{04D50295-913D-418B-8BF3-37263651DE4B}"/>
    <cellStyle name="Normal 4 3 2 2 2 7 2 3" xfId="12773" xr:uid="{BC5AD2C4-711D-44BD-8F33-1E7A954AA949}"/>
    <cellStyle name="Normal 4 3 2 2 2 7 3" xfId="6396" xr:uid="{00000000-0005-0000-0000-000056140000}"/>
    <cellStyle name="Normal 4 3 2 2 2 7 3 2" xfId="14846" xr:uid="{39835FDD-5A33-4D12-AD46-46EFC1A52E25}"/>
    <cellStyle name="Normal 4 3 2 2 2 7 4" xfId="10628" xr:uid="{B97F8F7D-7173-4CCC-9A19-64E918AA401B}"/>
    <cellStyle name="Normal 4 3 2 2 2 8" xfId="2526" xr:uid="{00000000-0005-0000-0000-000057140000}"/>
    <cellStyle name="Normal 4 3 2 2 2 8 2" xfId="6809" xr:uid="{00000000-0005-0000-0000-000058140000}"/>
    <cellStyle name="Normal 4 3 2 2 2 8 2 2" xfId="15259" xr:uid="{2074C315-9088-47B5-8F10-3D129CFEECFF}"/>
    <cellStyle name="Normal 4 3 2 2 2 8 3" xfId="11041" xr:uid="{D6CBB4C4-B8A9-48B0-80DE-FF0647F2A01F}"/>
    <cellStyle name="Normal 4 3 2 2 2 9" xfId="4744" xr:uid="{00000000-0005-0000-0000-000059140000}"/>
    <cellStyle name="Normal 4 3 2 2 2 9 2" xfId="13194" xr:uid="{21D0E18F-BA4E-47FF-88D7-EA0F5020F708}"/>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80" xr:uid="{1E908C9A-B3BF-46D5-A5E1-F52F4C090A9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5758" xr:uid="{2BA243E2-D5AA-4BA2-8F13-99EA9F4FE543}"/>
    <cellStyle name="Normal 4 3 3 2 2 2 2 3" xfId="11540" xr:uid="{C7BF8305-7585-449D-9B96-78EE9203EE8C}"/>
    <cellStyle name="Normal 4 3 3 2 2 2 3" xfId="5163" xr:uid="{00000000-0005-0000-0000-000063140000}"/>
    <cellStyle name="Normal 4 3 3 2 2 2 3 2" xfId="13613" xr:uid="{1AC2E8AE-3E90-4B7C-86A9-F91114760EE4}"/>
    <cellStyle name="Normal 4 3 3 2 2 2 4" xfId="9395" xr:uid="{F2ED2AEE-A1BE-42B0-AEE3-3D32C3D98267}"/>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6171" xr:uid="{168FC6F4-F7C9-4F7F-AA94-8DD668697642}"/>
    <cellStyle name="Normal 4 3 3 2 2 3 2 3" xfId="11953" xr:uid="{3963BD26-8D51-4898-BF73-2A5C59810372}"/>
    <cellStyle name="Normal 4 3 3 2 2 3 3" xfId="5576" xr:uid="{00000000-0005-0000-0000-000067140000}"/>
    <cellStyle name="Normal 4 3 3 2 2 3 3 2" xfId="14026" xr:uid="{B60D749E-94D3-4C68-93A8-0E92BE36F45C}"/>
    <cellStyle name="Normal 4 3 3 2 2 3 4" xfId="9808" xr:uid="{F9DCAB9C-1F01-4707-B040-D63828B905B6}"/>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6584" xr:uid="{961AF8BF-E94D-42B6-9CE9-5E6972DEED59}"/>
    <cellStyle name="Normal 4 3 3 2 2 4 2 3" xfId="12366" xr:uid="{41565711-DD8C-4E9A-99E0-B97F5731E22F}"/>
    <cellStyle name="Normal 4 3 3 2 2 4 3" xfId="5989" xr:uid="{00000000-0005-0000-0000-00006B140000}"/>
    <cellStyle name="Normal 4 3 3 2 2 4 3 2" xfId="14439" xr:uid="{B45990CC-A5A0-4FCC-9E49-EF1597640CFC}"/>
    <cellStyle name="Normal 4 3 3 2 2 4 4" xfId="10221" xr:uid="{FE325C28-F32E-4BAB-B93E-6C4A35E8CA32}"/>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6997" xr:uid="{A6582379-5F68-4409-B39D-6BA34FD5306C}"/>
    <cellStyle name="Normal 4 3 3 2 2 5 2 3" xfId="12779" xr:uid="{AAAB33CB-31AB-4CC1-980E-24CFD58CD3EA}"/>
    <cellStyle name="Normal 4 3 3 2 2 5 3" xfId="6402" xr:uid="{00000000-0005-0000-0000-00006F140000}"/>
    <cellStyle name="Normal 4 3 3 2 2 5 3 2" xfId="14852" xr:uid="{38820625-7DC7-4A71-8818-AE90B1958298}"/>
    <cellStyle name="Normal 4 3 3 2 2 5 4" xfId="10634" xr:uid="{052E82C3-16B4-494A-B983-4DE070734F57}"/>
    <cellStyle name="Normal 4 3 3 2 2 6" xfId="2532" xr:uid="{00000000-0005-0000-0000-000070140000}"/>
    <cellStyle name="Normal 4 3 3 2 2 6 2" xfId="6815" xr:uid="{00000000-0005-0000-0000-000071140000}"/>
    <cellStyle name="Normal 4 3 3 2 2 6 2 2" xfId="15265" xr:uid="{E0149643-9FDF-4F95-9538-035D9C10466E}"/>
    <cellStyle name="Normal 4 3 3 2 2 6 3" xfId="11047" xr:uid="{84151DAD-1D6A-48E7-8FCD-3CB35B1E0EAF}"/>
    <cellStyle name="Normal 4 3 3 2 2 7" xfId="4750" xr:uid="{00000000-0005-0000-0000-000072140000}"/>
    <cellStyle name="Normal 4 3 3 2 2 7 2" xfId="13200" xr:uid="{35D46791-B38F-462F-BE21-ABC9A209094F}"/>
    <cellStyle name="Normal 4 3 3 2 2 8" xfId="8982" xr:uid="{F05DA343-0949-48EB-A020-D00B140DF5DA}"/>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5757" xr:uid="{8F5A6B24-5547-44FB-8D16-C3CB561242B7}"/>
    <cellStyle name="Normal 4 3 3 2 3 2 3" xfId="11539" xr:uid="{69A374F5-FED5-485C-B36D-F618C1C31265}"/>
    <cellStyle name="Normal 4 3 3 2 3 3" xfId="5162" xr:uid="{00000000-0005-0000-0000-000076140000}"/>
    <cellStyle name="Normal 4 3 3 2 3 3 2" xfId="13612" xr:uid="{549B45F0-FDB8-452E-AA0B-41320CD9F311}"/>
    <cellStyle name="Normal 4 3 3 2 3 4" xfId="9394" xr:uid="{31043C4A-3D63-40F3-AC43-F5FF3FC14855}"/>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6170" xr:uid="{A1ADDC20-D0CC-4AF5-9191-A3F37F465FB3}"/>
    <cellStyle name="Normal 4 3 3 2 4 2 3" xfId="11952" xr:uid="{A16D6179-3FB6-44DC-A0F6-D28AC05E7BF7}"/>
    <cellStyle name="Normal 4 3 3 2 4 3" xfId="5575" xr:uid="{00000000-0005-0000-0000-00007A140000}"/>
    <cellStyle name="Normal 4 3 3 2 4 3 2" xfId="14025" xr:uid="{3369295D-C8A8-4E07-A0DB-A01E2A5CB184}"/>
    <cellStyle name="Normal 4 3 3 2 4 4" xfId="9807" xr:uid="{DDC2EE34-30A6-469F-8DCD-D62E42609A18}"/>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6583" xr:uid="{7F88CD0B-C1B6-43ED-952C-5B1AAF47AF52}"/>
    <cellStyle name="Normal 4 3 3 2 5 2 3" xfId="12365" xr:uid="{F20509EA-9C35-4505-802B-B99E387EFABC}"/>
    <cellStyle name="Normal 4 3 3 2 5 3" xfId="5988" xr:uid="{00000000-0005-0000-0000-00007E140000}"/>
    <cellStyle name="Normal 4 3 3 2 5 3 2" xfId="14438" xr:uid="{DD7C172B-554B-491C-992F-70DFB18CBBB9}"/>
    <cellStyle name="Normal 4 3 3 2 5 4" xfId="10220" xr:uid="{55D00C60-67E0-4976-9C07-B299B44F105B}"/>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6996" xr:uid="{DE037FD7-074D-4E41-A7EC-09B3024C1714}"/>
    <cellStyle name="Normal 4 3 3 2 6 2 3" xfId="12778" xr:uid="{F42156F9-1ED7-420E-8A23-88E4AC5B8C6F}"/>
    <cellStyle name="Normal 4 3 3 2 6 3" xfId="6401" xr:uid="{00000000-0005-0000-0000-000082140000}"/>
    <cellStyle name="Normal 4 3 3 2 6 3 2" xfId="14851" xr:uid="{F80D3F67-1C33-4C60-BE92-43F177125B52}"/>
    <cellStyle name="Normal 4 3 3 2 6 4" xfId="10633" xr:uid="{DAC7684E-46C6-45ED-9454-5B5E7ED1BCF5}"/>
    <cellStyle name="Normal 4 3 3 2 7" xfId="2531" xr:uid="{00000000-0005-0000-0000-000083140000}"/>
    <cellStyle name="Normal 4 3 3 2 7 2" xfId="6814" xr:uid="{00000000-0005-0000-0000-000084140000}"/>
    <cellStyle name="Normal 4 3 3 2 7 2 2" xfId="15264" xr:uid="{B9B030F9-51B2-4A54-B79B-1713D20A92F4}"/>
    <cellStyle name="Normal 4 3 3 2 7 3" xfId="11046" xr:uid="{45034062-70AE-4E8E-822E-CED62558ECF3}"/>
    <cellStyle name="Normal 4 3 3 2 8" xfId="4749" xr:uid="{00000000-0005-0000-0000-000085140000}"/>
    <cellStyle name="Normal 4 3 3 2 8 2" xfId="13199" xr:uid="{5016DC26-818E-4BAC-A1F1-430AC6F4BAB6}"/>
    <cellStyle name="Normal 4 3 3 2 9" xfId="8981" xr:uid="{99DFA423-9665-473A-8DF9-E232A5A02BC6}"/>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5759" xr:uid="{044367DF-8DF4-4E4D-B9B9-F87F20918937}"/>
    <cellStyle name="Normal 4 3 3 3 2 2 3" xfId="11541" xr:uid="{DB3E98AA-0501-4B90-A110-D7C2B46C7EA9}"/>
    <cellStyle name="Normal 4 3 3 3 2 3" xfId="5164" xr:uid="{00000000-0005-0000-0000-00008A140000}"/>
    <cellStyle name="Normal 4 3 3 3 2 3 2" xfId="13614" xr:uid="{78BCF375-AD76-4954-AF68-99E2ADDB1DAC}"/>
    <cellStyle name="Normal 4 3 3 3 2 4" xfId="9396" xr:uid="{A9140211-D29F-456A-A6C2-87187159D374}"/>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6172" xr:uid="{1FB580CE-E400-4EE1-9B32-473201E1EF1A}"/>
    <cellStyle name="Normal 4 3 3 3 3 2 3" xfId="11954" xr:uid="{E4D0A4C5-30FE-4774-8B31-8DE33B4C3039}"/>
    <cellStyle name="Normal 4 3 3 3 3 3" xfId="5577" xr:uid="{00000000-0005-0000-0000-00008E140000}"/>
    <cellStyle name="Normal 4 3 3 3 3 3 2" xfId="14027" xr:uid="{D2B9B899-A804-4284-A59F-5A3A106200AF}"/>
    <cellStyle name="Normal 4 3 3 3 3 4" xfId="9809" xr:uid="{620E9F57-BDF8-4B19-B8A1-BD33EDD610BC}"/>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6585" xr:uid="{5302F6DC-1C1B-4CDE-A67C-396E72B7BBD6}"/>
    <cellStyle name="Normal 4 3 3 3 4 2 3" xfId="12367" xr:uid="{82EC3108-3604-432F-B7A5-FFE4A3A9DE55}"/>
    <cellStyle name="Normal 4 3 3 3 4 3" xfId="5990" xr:uid="{00000000-0005-0000-0000-000092140000}"/>
    <cellStyle name="Normal 4 3 3 3 4 3 2" xfId="14440" xr:uid="{3A2D206B-393A-447A-BC33-100FFA9844AA}"/>
    <cellStyle name="Normal 4 3 3 3 4 4" xfId="10222" xr:uid="{1BF53822-400C-44DA-9EF1-AD6E14FEB8FF}"/>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6998" xr:uid="{567BB842-1ECE-4DF7-8659-E50663F6A929}"/>
    <cellStyle name="Normal 4 3 3 3 5 2 3" xfId="12780" xr:uid="{C3D9F798-597A-4B47-8759-AF54899D786E}"/>
    <cellStyle name="Normal 4 3 3 3 5 3" xfId="6403" xr:uid="{00000000-0005-0000-0000-000096140000}"/>
    <cellStyle name="Normal 4 3 3 3 5 3 2" xfId="14853" xr:uid="{50AC7C5A-8F94-4EBA-8B91-55BDE34EDF7D}"/>
    <cellStyle name="Normal 4 3 3 3 5 4" xfId="10635" xr:uid="{47257E06-BCC3-4E0A-8097-4B3D90A8E514}"/>
    <cellStyle name="Normal 4 3 3 3 6" xfId="2533" xr:uid="{00000000-0005-0000-0000-000097140000}"/>
    <cellStyle name="Normal 4 3 3 3 6 2" xfId="6816" xr:uid="{00000000-0005-0000-0000-000098140000}"/>
    <cellStyle name="Normal 4 3 3 3 6 2 2" xfId="15266" xr:uid="{866F58C6-899A-4460-BB67-CE105A6A4659}"/>
    <cellStyle name="Normal 4 3 3 3 6 3" xfId="11048" xr:uid="{5A00EC41-1FBE-4695-841B-4A02026F98B2}"/>
    <cellStyle name="Normal 4 3 3 3 7" xfId="4751" xr:uid="{00000000-0005-0000-0000-000099140000}"/>
    <cellStyle name="Normal 4 3 3 3 7 2" xfId="13201" xr:uid="{D5A1F919-CEE4-46B7-8CBA-BE77420EF787}"/>
    <cellStyle name="Normal 4 3 3 3 8" xfId="8983" xr:uid="{C3CA68AC-889C-408E-BEC1-919F94D4A7BE}"/>
    <cellStyle name="Normal 4 3 3 4" xfId="849" xr:uid="{00000000-0005-0000-0000-00009A140000}"/>
    <cellStyle name="Normal 4 3 3 4 2" xfId="3084" xr:uid="{00000000-0005-0000-0000-00009B140000}"/>
    <cellStyle name="Normal 4 3 3 4 2 2" xfId="7306" xr:uid="{00000000-0005-0000-0000-00009C140000}"/>
    <cellStyle name="Normal 4 3 3 4 2 2 2" xfId="15756" xr:uid="{04B24F94-9BD8-4D66-B85B-FB47CF65B679}"/>
    <cellStyle name="Normal 4 3 3 4 2 3" xfId="11538" xr:uid="{DB07A053-45E6-4EFE-BC51-11ACDA73C10F}"/>
    <cellStyle name="Normal 4 3 3 4 3" xfId="5161" xr:uid="{00000000-0005-0000-0000-00009D140000}"/>
    <cellStyle name="Normal 4 3 3 4 3 2" xfId="13611" xr:uid="{E122F628-DB15-4F44-B582-5C664D60A42A}"/>
    <cellStyle name="Normal 4 3 3 4 4" xfId="9393" xr:uid="{75BE58B8-F93F-4692-945F-EC3BD9FBA555}"/>
    <cellStyle name="Normal 4 3 3 5" xfId="1267" xr:uid="{00000000-0005-0000-0000-00009E140000}"/>
    <cellStyle name="Normal 4 3 3 5 2" xfId="3497" xr:uid="{00000000-0005-0000-0000-00009F140000}"/>
    <cellStyle name="Normal 4 3 3 5 2 2" xfId="7719" xr:uid="{00000000-0005-0000-0000-0000A0140000}"/>
    <cellStyle name="Normal 4 3 3 5 2 2 2" xfId="16169" xr:uid="{38FAB8DC-75CF-4D7A-9F36-7333C0DB3DD2}"/>
    <cellStyle name="Normal 4 3 3 5 2 3" xfId="11951" xr:uid="{EA84D86D-205C-4AFA-91D8-C3A72A96FB5F}"/>
    <cellStyle name="Normal 4 3 3 5 3" xfId="5574" xr:uid="{00000000-0005-0000-0000-0000A1140000}"/>
    <cellStyle name="Normal 4 3 3 5 3 2" xfId="14024" xr:uid="{B98769E5-C097-49A7-A9E4-9725F0D90B6F}"/>
    <cellStyle name="Normal 4 3 3 5 4" xfId="9806" xr:uid="{6B4BDA0D-2F10-4232-AD91-16706DCE8FCA}"/>
    <cellStyle name="Normal 4 3 3 6" xfId="1680" xr:uid="{00000000-0005-0000-0000-0000A2140000}"/>
    <cellStyle name="Normal 4 3 3 6 2" xfId="3910" xr:uid="{00000000-0005-0000-0000-0000A3140000}"/>
    <cellStyle name="Normal 4 3 3 6 2 2" xfId="8132" xr:uid="{00000000-0005-0000-0000-0000A4140000}"/>
    <cellStyle name="Normal 4 3 3 6 2 2 2" xfId="16582" xr:uid="{5842F4E9-321B-418E-A762-8EBBEE8446FD}"/>
    <cellStyle name="Normal 4 3 3 6 2 3" xfId="12364" xr:uid="{719C9600-78C3-400B-AF50-197694139257}"/>
    <cellStyle name="Normal 4 3 3 6 3" xfId="5987" xr:uid="{00000000-0005-0000-0000-0000A5140000}"/>
    <cellStyle name="Normal 4 3 3 6 3 2" xfId="14437" xr:uid="{800558AE-D061-4500-AB8A-E7F901BC4EE0}"/>
    <cellStyle name="Normal 4 3 3 6 4" xfId="10219" xr:uid="{2243B5E6-5BD6-442B-B397-A1C63A07138D}"/>
    <cellStyle name="Normal 4 3 3 7" xfId="2094" xr:uid="{00000000-0005-0000-0000-0000A6140000}"/>
    <cellStyle name="Normal 4 3 3 7 2" xfId="4323" xr:uid="{00000000-0005-0000-0000-0000A7140000}"/>
    <cellStyle name="Normal 4 3 3 7 2 2" xfId="8545" xr:uid="{00000000-0005-0000-0000-0000A8140000}"/>
    <cellStyle name="Normal 4 3 3 7 2 2 2" xfId="16995" xr:uid="{971879E8-F210-4F9E-B24B-980D97F0FE8B}"/>
    <cellStyle name="Normal 4 3 3 7 2 3" xfId="12777" xr:uid="{CBA805F5-1023-424C-A817-FCDACF7846D6}"/>
    <cellStyle name="Normal 4 3 3 7 3" xfId="6400" xr:uid="{00000000-0005-0000-0000-0000A9140000}"/>
    <cellStyle name="Normal 4 3 3 7 3 2" xfId="14850" xr:uid="{B12C7F72-E700-4410-AF74-18BA53AE058C}"/>
    <cellStyle name="Normal 4 3 3 7 4" xfId="10632" xr:uid="{35F42FC0-F43B-4B68-83B5-7F8C1456B25B}"/>
    <cellStyle name="Normal 4 3 3 8" xfId="2530" xr:uid="{00000000-0005-0000-0000-0000AA140000}"/>
    <cellStyle name="Normal 4 3 3 8 2" xfId="6813" xr:uid="{00000000-0005-0000-0000-0000AB140000}"/>
    <cellStyle name="Normal 4 3 3 8 2 2" xfId="15263" xr:uid="{6C8D7F91-A633-477C-A481-6D289FE58122}"/>
    <cellStyle name="Normal 4 3 3 8 3" xfId="11045" xr:uid="{BAB512BD-F20F-438F-8805-09B3DEE04CC8}"/>
    <cellStyle name="Normal 4 3 3 9" xfId="4748" xr:uid="{00000000-0005-0000-0000-0000AC140000}"/>
    <cellStyle name="Normal 4 3 3 9 2" xfId="13198" xr:uid="{89B2BADE-2B2F-4051-A924-A0CE778BF059}"/>
    <cellStyle name="Normal 4 3 4" xfId="842" xr:uid="{00000000-0005-0000-0000-0000AD140000}"/>
    <cellStyle name="Normal 4 3 4 2" xfId="3079" xr:uid="{00000000-0005-0000-0000-0000AE140000}"/>
    <cellStyle name="Normal 4 3 4 2 2" xfId="7301" xr:uid="{00000000-0005-0000-0000-0000AF140000}"/>
    <cellStyle name="Normal 4 3 4 2 2 2" xfId="15751" xr:uid="{5EF0FEDE-1594-429B-B3C4-3E469B3D5F45}"/>
    <cellStyle name="Normal 4 3 4 2 3" xfId="11533" xr:uid="{782C53C0-93AC-4295-AAC1-F4482ADC8BA6}"/>
    <cellStyle name="Normal 4 3 4 3" xfId="5156" xr:uid="{00000000-0005-0000-0000-0000B0140000}"/>
    <cellStyle name="Normal 4 3 4 3 2" xfId="13606" xr:uid="{AE81020A-5AE2-4AEB-A5B8-6EC971E9492D}"/>
    <cellStyle name="Normal 4 3 4 4" xfId="9388" xr:uid="{63A21982-BA3F-4B5F-8219-9B04C98A2521}"/>
    <cellStyle name="Normal 4 3 5" xfId="1262" xr:uid="{00000000-0005-0000-0000-0000B1140000}"/>
    <cellStyle name="Normal 4 3 5 2" xfId="3492" xr:uid="{00000000-0005-0000-0000-0000B2140000}"/>
    <cellStyle name="Normal 4 3 5 2 2" xfId="7714" xr:uid="{00000000-0005-0000-0000-0000B3140000}"/>
    <cellStyle name="Normal 4 3 5 2 2 2" xfId="16164" xr:uid="{22176E69-1377-4506-B8CA-67716B810D6F}"/>
    <cellStyle name="Normal 4 3 5 2 3" xfId="11946" xr:uid="{90EA1BFE-92B1-43FF-872B-BED64EB0D81C}"/>
    <cellStyle name="Normal 4 3 5 3" xfId="5569" xr:uid="{00000000-0005-0000-0000-0000B4140000}"/>
    <cellStyle name="Normal 4 3 5 3 2" xfId="14019" xr:uid="{867AC870-DF84-45A6-92A3-D4FA49F30D46}"/>
    <cellStyle name="Normal 4 3 5 4" xfId="9801" xr:uid="{DB82B3EE-AF64-4E1A-B2E1-176C43449213}"/>
    <cellStyle name="Normal 4 3 6" xfId="1675" xr:uid="{00000000-0005-0000-0000-0000B5140000}"/>
    <cellStyle name="Normal 4 3 6 2" xfId="3905" xr:uid="{00000000-0005-0000-0000-0000B6140000}"/>
    <cellStyle name="Normal 4 3 6 2 2" xfId="8127" xr:uid="{00000000-0005-0000-0000-0000B7140000}"/>
    <cellStyle name="Normal 4 3 6 2 2 2" xfId="16577" xr:uid="{C9A96D62-B867-407C-87F8-8058540B99D8}"/>
    <cellStyle name="Normal 4 3 6 2 3" xfId="12359" xr:uid="{59E8907D-9700-4832-B3F8-F60E18A6C943}"/>
    <cellStyle name="Normal 4 3 6 3" xfId="5982" xr:uid="{00000000-0005-0000-0000-0000B8140000}"/>
    <cellStyle name="Normal 4 3 6 3 2" xfId="14432" xr:uid="{3D65FE46-4719-48F2-B149-17F5F5D42CA5}"/>
    <cellStyle name="Normal 4 3 6 4" xfId="10214" xr:uid="{FC8BD19B-E4CF-4410-B2B6-ED4E0965C4A1}"/>
    <cellStyle name="Normal 4 3 7" xfId="2089" xr:uid="{00000000-0005-0000-0000-0000B9140000}"/>
    <cellStyle name="Normal 4 3 7 2" xfId="4318" xr:uid="{00000000-0005-0000-0000-0000BA140000}"/>
    <cellStyle name="Normal 4 3 7 2 2" xfId="8540" xr:uid="{00000000-0005-0000-0000-0000BB140000}"/>
    <cellStyle name="Normal 4 3 7 2 2 2" xfId="16990" xr:uid="{D5C357EC-EBD4-4138-B569-C161AE51FD47}"/>
    <cellStyle name="Normal 4 3 7 2 3" xfId="12772" xr:uid="{CCB7D92C-02EB-4C23-9A58-DF6685F23884}"/>
    <cellStyle name="Normal 4 3 7 3" xfId="6395" xr:uid="{00000000-0005-0000-0000-0000BC140000}"/>
    <cellStyle name="Normal 4 3 7 3 2" xfId="14845" xr:uid="{236113D1-1487-4027-8247-CAF79CD9E426}"/>
    <cellStyle name="Normal 4 3 7 4" xfId="10627" xr:uid="{2C400439-DD42-48E9-940C-5F865E729A0F}"/>
    <cellStyle name="Normal 4 3 8" xfId="2525" xr:uid="{00000000-0005-0000-0000-0000BD140000}"/>
    <cellStyle name="Normal 4 3 8 2" xfId="6808" xr:uid="{00000000-0005-0000-0000-0000BE140000}"/>
    <cellStyle name="Normal 4 3 8 2 2" xfId="15258" xr:uid="{CB84F48E-5B26-497B-A916-2393758835A3}"/>
    <cellStyle name="Normal 4 3 8 3" xfId="11040" xr:uid="{D1EAFB2B-DBC5-4A03-9D7B-34AD68D816A5}"/>
    <cellStyle name="Normal 4 3 9" xfId="4743" xr:uid="{00000000-0005-0000-0000-0000BF140000}"/>
    <cellStyle name="Normal 4 3 9 2" xfId="13193" xr:uid="{45D9BD7E-DF64-42F5-AAB9-6E978BBB91FC}"/>
    <cellStyle name="Normal 4 4" xfId="378" xr:uid="{00000000-0005-0000-0000-0000C0140000}"/>
    <cellStyle name="Normal 4 4 10" xfId="2534" xr:uid="{00000000-0005-0000-0000-0000C1140000}"/>
    <cellStyle name="Normal 4 4 10 2" xfId="6817" xr:uid="{00000000-0005-0000-0000-0000C2140000}"/>
    <cellStyle name="Normal 4 4 10 2 2" xfId="15267" xr:uid="{6BAA5102-531C-49C8-A38E-4665F211CBB2}"/>
    <cellStyle name="Normal 4 4 10 3" xfId="11049" xr:uid="{B39AB43D-BDE3-4836-A065-EB65520E9598}"/>
    <cellStyle name="Normal 4 4 11" xfId="4752" xr:uid="{00000000-0005-0000-0000-0000C3140000}"/>
    <cellStyle name="Normal 4 4 11 2" xfId="13202" xr:uid="{50A1663B-AE2F-43B7-B04E-1E062C457EC6}"/>
    <cellStyle name="Normal 4 4 12" xfId="8984" xr:uid="{24C88A41-01C7-4DCC-A0F6-4416DEA7B45F}"/>
    <cellStyle name="Normal 4 4 2" xfId="379" xr:uid="{00000000-0005-0000-0000-0000C4140000}"/>
    <cellStyle name="Normal 4 4 2 10" xfId="4753" xr:uid="{00000000-0005-0000-0000-0000C5140000}"/>
    <cellStyle name="Normal 4 4 2 10 2" xfId="13203" xr:uid="{F2849740-AF56-41D6-8952-D5F236AB8374}"/>
    <cellStyle name="Normal 4 4 2 11" xfId="8985" xr:uid="{ADA7BB71-FB75-4FFB-AFEE-5E5CAA3B1AC4}"/>
    <cellStyle name="Normal 4 4 2 2" xfId="380" xr:uid="{00000000-0005-0000-0000-0000C6140000}"/>
    <cellStyle name="Normal 4 4 2 2 10" xfId="8986" xr:uid="{0D598AE5-83C2-4E89-B739-9F9D4B49B97F}"/>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5764" xr:uid="{C3C859CA-C4AE-4460-B63C-6B1A3815CC03}"/>
    <cellStyle name="Normal 4 4 2 2 2 2 2 2 3" xfId="11546" xr:uid="{4582010B-CBBA-4BE2-81F4-3CA6F35659C8}"/>
    <cellStyle name="Normal 4 4 2 2 2 2 2 3" xfId="5169" xr:uid="{00000000-0005-0000-0000-0000CC140000}"/>
    <cellStyle name="Normal 4 4 2 2 2 2 2 3 2" xfId="13619" xr:uid="{DBA8C04B-FB4A-498C-95A6-D88904F399F8}"/>
    <cellStyle name="Normal 4 4 2 2 2 2 2 4" xfId="9401" xr:uid="{CD64BFB4-FE29-4C4B-96F8-45B037484C46}"/>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6177" xr:uid="{DAEAACE6-C0FA-463D-9BC6-867EFDA4B5DB}"/>
    <cellStyle name="Normal 4 4 2 2 2 2 3 2 3" xfId="11959" xr:uid="{6DCCC902-A672-4332-BE2F-762AABA41442}"/>
    <cellStyle name="Normal 4 4 2 2 2 2 3 3" xfId="5582" xr:uid="{00000000-0005-0000-0000-0000D0140000}"/>
    <cellStyle name="Normal 4 4 2 2 2 2 3 3 2" xfId="14032" xr:uid="{F28A7A72-FDE1-460F-8FA6-AFF0D20FA480}"/>
    <cellStyle name="Normal 4 4 2 2 2 2 3 4" xfId="9814" xr:uid="{C835917F-7DDE-48A6-B0F0-178B7AB968E7}"/>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6590" xr:uid="{AB4C8F5C-4869-4FFB-9C39-517E5093E183}"/>
    <cellStyle name="Normal 4 4 2 2 2 2 4 2 3" xfId="12372" xr:uid="{CF093BB5-6256-4DD0-A6D6-7B6E92809DEF}"/>
    <cellStyle name="Normal 4 4 2 2 2 2 4 3" xfId="5995" xr:uid="{00000000-0005-0000-0000-0000D4140000}"/>
    <cellStyle name="Normal 4 4 2 2 2 2 4 3 2" xfId="14445" xr:uid="{1D0C52C3-35A8-4DA9-B31F-847D68E44871}"/>
    <cellStyle name="Normal 4 4 2 2 2 2 4 4" xfId="10227" xr:uid="{E1E1E9B0-98B4-48C3-936C-7C0EF06983A3}"/>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003" xr:uid="{C9BD764E-C325-43FC-A994-C8B7502DB03E}"/>
    <cellStyle name="Normal 4 4 2 2 2 2 5 2 3" xfId="12785" xr:uid="{0041D065-CC5F-4064-84A4-52647A083CF4}"/>
    <cellStyle name="Normal 4 4 2 2 2 2 5 3" xfId="6408" xr:uid="{00000000-0005-0000-0000-0000D8140000}"/>
    <cellStyle name="Normal 4 4 2 2 2 2 5 3 2" xfId="14858" xr:uid="{25BCEB23-4FF2-4109-B563-29F8D09B590B}"/>
    <cellStyle name="Normal 4 4 2 2 2 2 5 4" xfId="10640" xr:uid="{FD582133-2ACB-450A-A00B-B7B831A493D7}"/>
    <cellStyle name="Normal 4 4 2 2 2 2 6" xfId="2538" xr:uid="{00000000-0005-0000-0000-0000D9140000}"/>
    <cellStyle name="Normal 4 4 2 2 2 2 6 2" xfId="6821" xr:uid="{00000000-0005-0000-0000-0000DA140000}"/>
    <cellStyle name="Normal 4 4 2 2 2 2 6 2 2" xfId="15271" xr:uid="{B2BEB622-24B2-488A-96C5-1D6920B79A5D}"/>
    <cellStyle name="Normal 4 4 2 2 2 2 6 3" xfId="11053" xr:uid="{C0E00703-A69F-4376-9268-09BA05D338AE}"/>
    <cellStyle name="Normal 4 4 2 2 2 2 7" xfId="4756" xr:uid="{00000000-0005-0000-0000-0000DB140000}"/>
    <cellStyle name="Normal 4 4 2 2 2 2 7 2" xfId="13206" xr:uid="{3F97031D-5823-4338-A231-B2758CDE654B}"/>
    <cellStyle name="Normal 4 4 2 2 2 2 8" xfId="8988" xr:uid="{EE323B6E-2A26-485A-94FD-9EA624A41186}"/>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5763" xr:uid="{659CB96E-7FCE-4D65-9770-3151A64ACAAA}"/>
    <cellStyle name="Normal 4 4 2 2 2 3 2 3" xfId="11545" xr:uid="{6E121D21-886B-4BCD-8562-F63CD50C8BF5}"/>
    <cellStyle name="Normal 4 4 2 2 2 3 3" xfId="5168" xr:uid="{00000000-0005-0000-0000-0000DF140000}"/>
    <cellStyle name="Normal 4 4 2 2 2 3 3 2" xfId="13618" xr:uid="{0D348421-38CF-4C0E-960A-3BE8EE928F93}"/>
    <cellStyle name="Normal 4 4 2 2 2 3 4" xfId="9400" xr:uid="{2C01259F-F2AE-4DF9-BFAB-C6413673DD65}"/>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6176" xr:uid="{CA3C7177-81F3-4061-95D7-9A3477C87D0E}"/>
    <cellStyle name="Normal 4 4 2 2 2 4 2 3" xfId="11958" xr:uid="{BE92A5BA-1DA7-47F3-A306-2B007324004C}"/>
    <cellStyle name="Normal 4 4 2 2 2 4 3" xfId="5581" xr:uid="{00000000-0005-0000-0000-0000E3140000}"/>
    <cellStyle name="Normal 4 4 2 2 2 4 3 2" xfId="14031" xr:uid="{2F50055F-720A-469A-B47B-1AD641A2C499}"/>
    <cellStyle name="Normal 4 4 2 2 2 4 4" xfId="9813" xr:uid="{864CA85A-EB32-498C-A93C-0006CE352BF8}"/>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6589" xr:uid="{4641DE5B-07F3-4927-A1F8-AA86F5E75BB1}"/>
    <cellStyle name="Normal 4 4 2 2 2 5 2 3" xfId="12371" xr:uid="{49284168-6CEC-4E99-B7C6-8855A57F8F23}"/>
    <cellStyle name="Normal 4 4 2 2 2 5 3" xfId="5994" xr:uid="{00000000-0005-0000-0000-0000E7140000}"/>
    <cellStyle name="Normal 4 4 2 2 2 5 3 2" xfId="14444" xr:uid="{583818AB-570C-4B05-8F0C-C0B949312384}"/>
    <cellStyle name="Normal 4 4 2 2 2 5 4" xfId="10226" xr:uid="{97E5A43D-6AE6-469D-91BD-AB6141053009}"/>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002" xr:uid="{869D8CA0-4125-4D3C-A690-29E5DBA03998}"/>
    <cellStyle name="Normal 4 4 2 2 2 6 2 3" xfId="12784" xr:uid="{3FA04B24-A81C-4EF1-8FAF-A2812A5201E2}"/>
    <cellStyle name="Normal 4 4 2 2 2 6 3" xfId="6407" xr:uid="{00000000-0005-0000-0000-0000EB140000}"/>
    <cellStyle name="Normal 4 4 2 2 2 6 3 2" xfId="14857" xr:uid="{09C57ADE-DFDC-4803-AB64-714753989357}"/>
    <cellStyle name="Normal 4 4 2 2 2 6 4" xfId="10639" xr:uid="{87A2B56D-DD83-4436-A63E-9925325AB857}"/>
    <cellStyle name="Normal 4 4 2 2 2 7" xfId="2537" xr:uid="{00000000-0005-0000-0000-0000EC140000}"/>
    <cellStyle name="Normal 4 4 2 2 2 7 2" xfId="6820" xr:uid="{00000000-0005-0000-0000-0000ED140000}"/>
    <cellStyle name="Normal 4 4 2 2 2 7 2 2" xfId="15270" xr:uid="{4E1204FE-510D-4A3E-B385-AF4CBB323EA4}"/>
    <cellStyle name="Normal 4 4 2 2 2 7 3" xfId="11052" xr:uid="{58E61AE3-5CAE-4457-9ADD-02ABE72FAFF4}"/>
    <cellStyle name="Normal 4 4 2 2 2 8" xfId="4755" xr:uid="{00000000-0005-0000-0000-0000EE140000}"/>
    <cellStyle name="Normal 4 4 2 2 2 8 2" xfId="13205" xr:uid="{09934BA7-BFCB-4706-A694-A161980447BE}"/>
    <cellStyle name="Normal 4 4 2 2 2 9" xfId="8987" xr:uid="{C94AB646-6E7B-4CDD-B415-879B193A5633}"/>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5765" xr:uid="{3EF29C51-4162-4A1D-A349-44B855498A72}"/>
    <cellStyle name="Normal 4 4 2 2 3 2 2 3" xfId="11547" xr:uid="{471B42B1-DB96-4CA1-9C15-E0C487620689}"/>
    <cellStyle name="Normal 4 4 2 2 3 2 3" xfId="5170" xr:uid="{00000000-0005-0000-0000-0000F3140000}"/>
    <cellStyle name="Normal 4 4 2 2 3 2 3 2" xfId="13620" xr:uid="{D91A9C9B-5DAF-4FB4-9D32-B3CE505ED729}"/>
    <cellStyle name="Normal 4 4 2 2 3 2 4" xfId="9402" xr:uid="{5E507833-5858-4803-9640-E37D28D12C3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6178" xr:uid="{311D1607-495D-4060-A647-5EC69B018AF3}"/>
    <cellStyle name="Normal 4 4 2 2 3 3 2 3" xfId="11960" xr:uid="{39EB9C73-154C-409F-B905-82A04B33C792}"/>
    <cellStyle name="Normal 4 4 2 2 3 3 3" xfId="5583" xr:uid="{00000000-0005-0000-0000-0000F7140000}"/>
    <cellStyle name="Normal 4 4 2 2 3 3 3 2" xfId="14033" xr:uid="{570C3B88-C5F0-48F3-966E-B4F35C3B09AB}"/>
    <cellStyle name="Normal 4 4 2 2 3 3 4" xfId="9815" xr:uid="{BDFA643D-B4A0-4F6E-BAD3-92587F4E163E}"/>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6591" xr:uid="{15680752-2C95-456B-B89D-08976CBAD66B}"/>
    <cellStyle name="Normal 4 4 2 2 3 4 2 3" xfId="12373" xr:uid="{B58CEC64-DA6C-41DB-92A1-7D8606DEC713}"/>
    <cellStyle name="Normal 4 4 2 2 3 4 3" xfId="5996" xr:uid="{00000000-0005-0000-0000-0000FB140000}"/>
    <cellStyle name="Normal 4 4 2 2 3 4 3 2" xfId="14446" xr:uid="{CF5235B8-5EF8-4826-A3D3-646264CF209F}"/>
    <cellStyle name="Normal 4 4 2 2 3 4 4" xfId="10228" xr:uid="{79D23054-C540-4C0B-ACB6-1E376B6D980C}"/>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004" xr:uid="{8694C34F-D870-414F-8E2F-93C4AEC211A0}"/>
    <cellStyle name="Normal 4 4 2 2 3 5 2 3" xfId="12786" xr:uid="{2F4C5752-F19F-4F40-90B1-176B62105984}"/>
    <cellStyle name="Normal 4 4 2 2 3 5 3" xfId="6409" xr:uid="{00000000-0005-0000-0000-0000FF140000}"/>
    <cellStyle name="Normal 4 4 2 2 3 5 3 2" xfId="14859" xr:uid="{DA310186-0090-45D2-B19E-EE679CCC1B08}"/>
    <cellStyle name="Normal 4 4 2 2 3 5 4" xfId="10641" xr:uid="{3A870602-EF44-4394-9836-AC717FA4C4C4}"/>
    <cellStyle name="Normal 4 4 2 2 3 6" xfId="2539" xr:uid="{00000000-0005-0000-0000-000000150000}"/>
    <cellStyle name="Normal 4 4 2 2 3 6 2" xfId="6822" xr:uid="{00000000-0005-0000-0000-000001150000}"/>
    <cellStyle name="Normal 4 4 2 2 3 6 2 2" xfId="15272" xr:uid="{911821EF-4DF5-45B7-96E7-C38E756122D6}"/>
    <cellStyle name="Normal 4 4 2 2 3 6 3" xfId="11054" xr:uid="{A2A176CD-7657-482E-A9EC-60FE6E42BF3A}"/>
    <cellStyle name="Normal 4 4 2 2 3 7" xfId="4757" xr:uid="{00000000-0005-0000-0000-000002150000}"/>
    <cellStyle name="Normal 4 4 2 2 3 7 2" xfId="13207" xr:uid="{F9C201D3-2D62-4990-94E6-8093B80A2596}"/>
    <cellStyle name="Normal 4 4 2 2 3 8" xfId="8989" xr:uid="{C96B439F-9CE7-41F9-8C5C-F4B21DBE19B1}"/>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5762" xr:uid="{F59482C0-5AD0-4DC6-B481-EC07CE6AAF17}"/>
    <cellStyle name="Normal 4 4 2 2 4 2 3" xfId="11544" xr:uid="{754B41DF-A522-4939-806C-9BEF0A9E91C2}"/>
    <cellStyle name="Normal 4 4 2 2 4 3" xfId="5167" xr:uid="{00000000-0005-0000-0000-000006150000}"/>
    <cellStyle name="Normal 4 4 2 2 4 3 2" xfId="13617" xr:uid="{629F39F5-E085-4D37-9BA9-BDF47AFA6276}"/>
    <cellStyle name="Normal 4 4 2 2 4 4" xfId="9399" xr:uid="{D007326A-FAE4-4077-8CC1-9057103A89A8}"/>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6175" xr:uid="{E28A2001-D7DB-45BB-87D7-A02AEC8C5F7D}"/>
    <cellStyle name="Normal 4 4 2 2 5 2 3" xfId="11957" xr:uid="{FBBFA39B-12BB-4F01-AFC3-0442C4E36BD5}"/>
    <cellStyle name="Normal 4 4 2 2 5 3" xfId="5580" xr:uid="{00000000-0005-0000-0000-00000A150000}"/>
    <cellStyle name="Normal 4 4 2 2 5 3 2" xfId="14030" xr:uid="{AD073109-FA5D-4FF5-AAB7-A54504AF41BB}"/>
    <cellStyle name="Normal 4 4 2 2 5 4" xfId="9812" xr:uid="{57F1624F-015A-4D70-9285-64218C02C808}"/>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6588" xr:uid="{7D205D94-1235-4153-877C-A981592199C9}"/>
    <cellStyle name="Normal 4 4 2 2 6 2 3" xfId="12370" xr:uid="{51F0F27A-2DB8-436D-B9E8-05F7271DB5F8}"/>
    <cellStyle name="Normal 4 4 2 2 6 3" xfId="5993" xr:uid="{00000000-0005-0000-0000-00000E150000}"/>
    <cellStyle name="Normal 4 4 2 2 6 3 2" xfId="14443" xr:uid="{41414CE7-07B0-4716-8F12-AE87BA06C264}"/>
    <cellStyle name="Normal 4 4 2 2 6 4" xfId="10225" xr:uid="{7874AFAD-D52C-4F3E-BF64-97D09750477B}"/>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001" xr:uid="{987226B9-7F69-4E19-845B-2AF7652BEE99}"/>
    <cellStyle name="Normal 4 4 2 2 7 2 3" xfId="12783" xr:uid="{A6EDBE2B-2796-4D90-8782-D8434F9D5ED4}"/>
    <cellStyle name="Normal 4 4 2 2 7 3" xfId="6406" xr:uid="{00000000-0005-0000-0000-000012150000}"/>
    <cellStyle name="Normal 4 4 2 2 7 3 2" xfId="14856" xr:uid="{EF652EDD-D995-4DAD-A235-CF5A7AE57617}"/>
    <cellStyle name="Normal 4 4 2 2 7 4" xfId="10638" xr:uid="{FB42C8E3-499B-4B5E-9585-0CBEE23155C6}"/>
    <cellStyle name="Normal 4 4 2 2 8" xfId="2536" xr:uid="{00000000-0005-0000-0000-000013150000}"/>
    <cellStyle name="Normal 4 4 2 2 8 2" xfId="6819" xr:uid="{00000000-0005-0000-0000-000014150000}"/>
    <cellStyle name="Normal 4 4 2 2 8 2 2" xfId="15269" xr:uid="{50C258DD-0014-4A79-9178-730357466BF6}"/>
    <cellStyle name="Normal 4 4 2 2 8 3" xfId="11051" xr:uid="{5F72A1D9-D199-4EB2-8D57-33076DDC282F}"/>
    <cellStyle name="Normal 4 4 2 2 9" xfId="4754" xr:uid="{00000000-0005-0000-0000-000015150000}"/>
    <cellStyle name="Normal 4 4 2 2 9 2" xfId="13204" xr:uid="{F799ACA9-1727-4824-AF3F-28A76DE9B8FF}"/>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5767" xr:uid="{F8F7B876-BF3A-4B39-AE9E-9BD2EF485365}"/>
    <cellStyle name="Normal 4 4 2 3 2 2 2 3" xfId="11549" xr:uid="{A5B9F54F-E750-4C58-AA17-4ED78FB75656}"/>
    <cellStyle name="Normal 4 4 2 3 2 2 3" xfId="5172" xr:uid="{00000000-0005-0000-0000-00001B150000}"/>
    <cellStyle name="Normal 4 4 2 3 2 2 3 2" xfId="13622" xr:uid="{E304A7A0-2190-495B-97C0-C0013D406C9C}"/>
    <cellStyle name="Normal 4 4 2 3 2 2 4" xfId="9404" xr:uid="{583DF187-0B0C-4C34-8703-04C255E0DA3C}"/>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6180" xr:uid="{BF0920D7-B81A-4C1D-9AC0-BAFFDBD3085B}"/>
    <cellStyle name="Normal 4 4 2 3 2 3 2 3" xfId="11962" xr:uid="{ADD0D1E8-B909-4C7E-BF42-3105EB2010E4}"/>
    <cellStyle name="Normal 4 4 2 3 2 3 3" xfId="5585" xr:uid="{00000000-0005-0000-0000-00001F150000}"/>
    <cellStyle name="Normal 4 4 2 3 2 3 3 2" xfId="14035" xr:uid="{42B7E5DA-2917-4671-AA77-5B03CAAD1F5E}"/>
    <cellStyle name="Normal 4 4 2 3 2 3 4" xfId="9817" xr:uid="{18A64540-48E0-43A5-BA2F-9F31D5FD1AEA}"/>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6593" xr:uid="{C3338E45-9B9D-4F3D-95B1-8C7CCFD127DA}"/>
    <cellStyle name="Normal 4 4 2 3 2 4 2 3" xfId="12375" xr:uid="{193B3EBC-B479-45D2-A96D-2C899B9E4622}"/>
    <cellStyle name="Normal 4 4 2 3 2 4 3" xfId="5998" xr:uid="{00000000-0005-0000-0000-000023150000}"/>
    <cellStyle name="Normal 4 4 2 3 2 4 3 2" xfId="14448" xr:uid="{09079C9A-02CC-43F5-918F-191F41788DE9}"/>
    <cellStyle name="Normal 4 4 2 3 2 4 4" xfId="10230" xr:uid="{84E90B24-2989-4236-B395-45DE6F1E05EC}"/>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006" xr:uid="{5F594E2E-2301-4CEE-8F8A-6E7891EE5B78}"/>
    <cellStyle name="Normal 4 4 2 3 2 5 2 3" xfId="12788" xr:uid="{F0F36C9F-FB67-4596-A27C-CCD5477A7A68}"/>
    <cellStyle name="Normal 4 4 2 3 2 5 3" xfId="6411" xr:uid="{00000000-0005-0000-0000-000027150000}"/>
    <cellStyle name="Normal 4 4 2 3 2 5 3 2" xfId="14861" xr:uid="{94E1291D-2E81-4621-9636-1D87B65BAAAE}"/>
    <cellStyle name="Normal 4 4 2 3 2 5 4" xfId="10643" xr:uid="{CB8D36E8-F06F-4A91-8F6D-4A2BF78B0AF7}"/>
    <cellStyle name="Normal 4 4 2 3 2 6" xfId="2541" xr:uid="{00000000-0005-0000-0000-000028150000}"/>
    <cellStyle name="Normal 4 4 2 3 2 6 2" xfId="6824" xr:uid="{00000000-0005-0000-0000-000029150000}"/>
    <cellStyle name="Normal 4 4 2 3 2 6 2 2" xfId="15274" xr:uid="{D77D0696-A396-45C3-8DFB-2AA1670F6601}"/>
    <cellStyle name="Normal 4 4 2 3 2 6 3" xfId="11056" xr:uid="{1DF21DB2-6A12-4D5C-ADAD-9EE92F22F63A}"/>
    <cellStyle name="Normal 4 4 2 3 2 7" xfId="4759" xr:uid="{00000000-0005-0000-0000-00002A150000}"/>
    <cellStyle name="Normal 4 4 2 3 2 7 2" xfId="13209" xr:uid="{EC9017CD-DBDE-402A-9D60-FD10C6DD8B6B}"/>
    <cellStyle name="Normal 4 4 2 3 2 8" xfId="8991" xr:uid="{D69B8E7F-B2BB-4C0C-893A-BE79F6523E56}"/>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5766" xr:uid="{1D14BDC9-D06D-44C3-B4B8-27EB5AD398FF}"/>
    <cellStyle name="Normal 4 4 2 3 3 2 3" xfId="11548" xr:uid="{52BD7F6D-7735-4F54-A127-4A57BCD770DB}"/>
    <cellStyle name="Normal 4 4 2 3 3 3" xfId="5171" xr:uid="{00000000-0005-0000-0000-00002E150000}"/>
    <cellStyle name="Normal 4 4 2 3 3 3 2" xfId="13621" xr:uid="{21F61A28-AE70-4996-B5D3-4CBA828C48B8}"/>
    <cellStyle name="Normal 4 4 2 3 3 4" xfId="9403" xr:uid="{4BCB788D-B6C4-43B5-A641-C337259062A0}"/>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6179" xr:uid="{5D74FC78-B8FE-4D68-B00B-8E37FDF7010B}"/>
    <cellStyle name="Normal 4 4 2 3 4 2 3" xfId="11961" xr:uid="{0FB45929-4364-4FE2-BFB6-FB3CC34531C5}"/>
    <cellStyle name="Normal 4 4 2 3 4 3" xfId="5584" xr:uid="{00000000-0005-0000-0000-000032150000}"/>
    <cellStyle name="Normal 4 4 2 3 4 3 2" xfId="14034" xr:uid="{8CA00485-348D-4FCD-88F9-713FFE2A4D7F}"/>
    <cellStyle name="Normal 4 4 2 3 4 4" xfId="9816" xr:uid="{41F42097-8717-4582-B776-B30BECE92829}"/>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6592" xr:uid="{65CA2DB8-049B-4E6E-A957-0A6D10071AE5}"/>
    <cellStyle name="Normal 4 4 2 3 5 2 3" xfId="12374" xr:uid="{9724B11E-E313-4D3B-8639-F0FA52A601E8}"/>
    <cellStyle name="Normal 4 4 2 3 5 3" xfId="5997" xr:uid="{00000000-0005-0000-0000-000036150000}"/>
    <cellStyle name="Normal 4 4 2 3 5 3 2" xfId="14447" xr:uid="{2F9620F2-DFFF-4A70-B88C-4F730964152E}"/>
    <cellStyle name="Normal 4 4 2 3 5 4" xfId="10229" xr:uid="{2B607AE0-E7CD-4748-93ED-6DA5649F8608}"/>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005" xr:uid="{39F6AE3D-7D6F-4EA1-9787-ECE91E79E966}"/>
    <cellStyle name="Normal 4 4 2 3 6 2 3" xfId="12787" xr:uid="{E05B95A5-6C9F-4A87-B2AE-ACF3852BF5CD}"/>
    <cellStyle name="Normal 4 4 2 3 6 3" xfId="6410" xr:uid="{00000000-0005-0000-0000-00003A150000}"/>
    <cellStyle name="Normal 4 4 2 3 6 3 2" xfId="14860" xr:uid="{18198D60-DC3F-4564-9FD7-1B01002CE5F6}"/>
    <cellStyle name="Normal 4 4 2 3 6 4" xfId="10642" xr:uid="{D792B7FD-A04B-44F3-9FCE-C1EEFAF43F1A}"/>
    <cellStyle name="Normal 4 4 2 3 7" xfId="2540" xr:uid="{00000000-0005-0000-0000-00003B150000}"/>
    <cellStyle name="Normal 4 4 2 3 7 2" xfId="6823" xr:uid="{00000000-0005-0000-0000-00003C150000}"/>
    <cellStyle name="Normal 4 4 2 3 7 2 2" xfId="15273" xr:uid="{90F1A774-EDE1-4335-9A55-509A9DC1ED52}"/>
    <cellStyle name="Normal 4 4 2 3 7 3" xfId="11055" xr:uid="{317ACB55-666D-43D0-9AB9-565607BD5784}"/>
    <cellStyle name="Normal 4 4 2 3 8" xfId="4758" xr:uid="{00000000-0005-0000-0000-00003D150000}"/>
    <cellStyle name="Normal 4 4 2 3 8 2" xfId="13208" xr:uid="{D82874B2-0355-47D4-AD77-93B41D595169}"/>
    <cellStyle name="Normal 4 4 2 3 9" xfId="8990" xr:uid="{7949ED79-1D54-444C-B705-1C419D8E1C91}"/>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5768" xr:uid="{3AEFFB6B-84FB-4921-A15F-FC1483BFC16C}"/>
    <cellStyle name="Normal 4 4 2 4 2 2 3" xfId="11550" xr:uid="{3C3BB82B-578E-459D-A403-13AAB606FADD}"/>
    <cellStyle name="Normal 4 4 2 4 2 3" xfId="5173" xr:uid="{00000000-0005-0000-0000-000042150000}"/>
    <cellStyle name="Normal 4 4 2 4 2 3 2" xfId="13623" xr:uid="{257DC8E7-FCF0-4203-8518-1CA04C4DDE2F}"/>
    <cellStyle name="Normal 4 4 2 4 2 4" xfId="9405" xr:uid="{07F538F6-C810-49BA-A379-3D2A302C792E}"/>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6181" xr:uid="{6C4515FF-3738-412B-85BD-A57816B62D08}"/>
    <cellStyle name="Normal 4 4 2 4 3 2 3" xfId="11963" xr:uid="{6B3625EA-F110-4E13-BBF1-8E0F22B31335}"/>
    <cellStyle name="Normal 4 4 2 4 3 3" xfId="5586" xr:uid="{00000000-0005-0000-0000-000046150000}"/>
    <cellStyle name="Normal 4 4 2 4 3 3 2" xfId="14036" xr:uid="{0C8B3959-0ECC-487D-BAD1-E4DA5AA875DB}"/>
    <cellStyle name="Normal 4 4 2 4 3 4" xfId="9818" xr:uid="{29A42169-47BB-437C-BA41-5F9B0D0E1CC3}"/>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6594" xr:uid="{9944B139-BAE6-41FA-8E38-B597E669F48F}"/>
    <cellStyle name="Normal 4 4 2 4 4 2 3" xfId="12376" xr:uid="{F6B5381A-2FF5-4C59-9626-EE8F3812B49A}"/>
    <cellStyle name="Normal 4 4 2 4 4 3" xfId="5999" xr:uid="{00000000-0005-0000-0000-00004A150000}"/>
    <cellStyle name="Normal 4 4 2 4 4 3 2" xfId="14449" xr:uid="{050BC971-2BC1-40D7-84F1-3A045D4321FA}"/>
    <cellStyle name="Normal 4 4 2 4 4 4" xfId="10231" xr:uid="{5F82BCEB-BC43-4459-B60E-EABA523A2271}"/>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007" xr:uid="{A1A4B557-98A2-458F-AD8E-A0F8E218902E}"/>
    <cellStyle name="Normal 4 4 2 4 5 2 3" xfId="12789" xr:uid="{CB96464C-EB4A-442F-80D0-D745E17B838D}"/>
    <cellStyle name="Normal 4 4 2 4 5 3" xfId="6412" xr:uid="{00000000-0005-0000-0000-00004E150000}"/>
    <cellStyle name="Normal 4 4 2 4 5 3 2" xfId="14862" xr:uid="{FE2428D8-90BA-4B70-BDB7-8709BC7C81D2}"/>
    <cellStyle name="Normal 4 4 2 4 5 4" xfId="10644" xr:uid="{404C7C05-233D-49C2-A050-CC78BF56D2D3}"/>
    <cellStyle name="Normal 4 4 2 4 6" xfId="2542" xr:uid="{00000000-0005-0000-0000-00004F150000}"/>
    <cellStyle name="Normal 4 4 2 4 6 2" xfId="6825" xr:uid="{00000000-0005-0000-0000-000050150000}"/>
    <cellStyle name="Normal 4 4 2 4 6 2 2" xfId="15275" xr:uid="{EE2F5850-E72C-48DE-B796-9F20DE8EC7CE}"/>
    <cellStyle name="Normal 4 4 2 4 6 3" xfId="11057" xr:uid="{C0F7BF6A-B779-49A2-A427-3DE9AB6E4688}"/>
    <cellStyle name="Normal 4 4 2 4 7" xfId="4760" xr:uid="{00000000-0005-0000-0000-000051150000}"/>
    <cellStyle name="Normal 4 4 2 4 7 2" xfId="13210" xr:uid="{BC935275-63BD-48FC-AAA5-F82B1BE21F5C}"/>
    <cellStyle name="Normal 4 4 2 4 8" xfId="8992" xr:uid="{8F850E9E-D0D4-43DC-ACE2-C36F2D1C5074}"/>
    <cellStyle name="Normal 4 4 2 5" xfId="854" xr:uid="{00000000-0005-0000-0000-000052150000}"/>
    <cellStyle name="Normal 4 4 2 5 2" xfId="3089" xr:uid="{00000000-0005-0000-0000-000053150000}"/>
    <cellStyle name="Normal 4 4 2 5 2 2" xfId="7311" xr:uid="{00000000-0005-0000-0000-000054150000}"/>
    <cellStyle name="Normal 4 4 2 5 2 2 2" xfId="15761" xr:uid="{B6C75E14-FA69-4F06-B3F1-D23F353AC35A}"/>
    <cellStyle name="Normal 4 4 2 5 2 3" xfId="11543" xr:uid="{305F38CA-1E70-4803-B373-DDFB5630BF74}"/>
    <cellStyle name="Normal 4 4 2 5 3" xfId="5166" xr:uid="{00000000-0005-0000-0000-000055150000}"/>
    <cellStyle name="Normal 4 4 2 5 3 2" xfId="13616" xr:uid="{793A66F3-9182-4EC8-A5AD-430E32C19F75}"/>
    <cellStyle name="Normal 4 4 2 5 4" xfId="9398" xr:uid="{D94BD1B8-76A8-4256-8325-C32A52E0F26E}"/>
    <cellStyle name="Normal 4 4 2 6" xfId="1272" xr:uid="{00000000-0005-0000-0000-000056150000}"/>
    <cellStyle name="Normal 4 4 2 6 2" xfId="3502" xr:uid="{00000000-0005-0000-0000-000057150000}"/>
    <cellStyle name="Normal 4 4 2 6 2 2" xfId="7724" xr:uid="{00000000-0005-0000-0000-000058150000}"/>
    <cellStyle name="Normal 4 4 2 6 2 2 2" xfId="16174" xr:uid="{1E27DB87-2D69-40FF-8859-348EF9A07DE2}"/>
    <cellStyle name="Normal 4 4 2 6 2 3" xfId="11956" xr:uid="{4DF56592-3771-49FE-A374-16505D656697}"/>
    <cellStyle name="Normal 4 4 2 6 3" xfId="5579" xr:uid="{00000000-0005-0000-0000-000059150000}"/>
    <cellStyle name="Normal 4 4 2 6 3 2" xfId="14029" xr:uid="{3CD1D85D-DB9C-4825-A8AE-18C6409B7A9C}"/>
    <cellStyle name="Normal 4 4 2 6 4" xfId="9811" xr:uid="{AAD66310-010C-4046-B073-BA2F4887F6E6}"/>
    <cellStyle name="Normal 4 4 2 7" xfId="1685" xr:uid="{00000000-0005-0000-0000-00005A150000}"/>
    <cellStyle name="Normal 4 4 2 7 2" xfId="3915" xr:uid="{00000000-0005-0000-0000-00005B150000}"/>
    <cellStyle name="Normal 4 4 2 7 2 2" xfId="8137" xr:uid="{00000000-0005-0000-0000-00005C150000}"/>
    <cellStyle name="Normal 4 4 2 7 2 2 2" xfId="16587" xr:uid="{7293EEE8-34EA-4365-87B0-C494ED8E7B20}"/>
    <cellStyle name="Normal 4 4 2 7 2 3" xfId="12369" xr:uid="{7B8639A7-F3E3-4795-8F5B-492883AFB57E}"/>
    <cellStyle name="Normal 4 4 2 7 3" xfId="5992" xr:uid="{00000000-0005-0000-0000-00005D150000}"/>
    <cellStyle name="Normal 4 4 2 7 3 2" xfId="14442" xr:uid="{6AB12F03-CFA4-40DC-AFC9-AB5098963821}"/>
    <cellStyle name="Normal 4 4 2 7 4" xfId="10224" xr:uid="{1EBA1E87-F44C-4E5D-B254-836A15F079C1}"/>
    <cellStyle name="Normal 4 4 2 8" xfId="2099" xr:uid="{00000000-0005-0000-0000-00005E150000}"/>
    <cellStyle name="Normal 4 4 2 8 2" xfId="4328" xr:uid="{00000000-0005-0000-0000-00005F150000}"/>
    <cellStyle name="Normal 4 4 2 8 2 2" xfId="8550" xr:uid="{00000000-0005-0000-0000-000060150000}"/>
    <cellStyle name="Normal 4 4 2 8 2 2 2" xfId="17000" xr:uid="{10085E25-BB6A-4B31-96A2-9806E9BAE035}"/>
    <cellStyle name="Normal 4 4 2 8 2 3" xfId="12782" xr:uid="{9EAF4C7E-B643-442B-8D72-18300EAA40A1}"/>
    <cellStyle name="Normal 4 4 2 8 3" xfId="6405" xr:uid="{00000000-0005-0000-0000-000061150000}"/>
    <cellStyle name="Normal 4 4 2 8 3 2" xfId="14855" xr:uid="{951AB386-97EF-411B-B21B-12A430A654DE}"/>
    <cellStyle name="Normal 4 4 2 8 4" xfId="10637" xr:uid="{90E0468F-A462-4413-98ED-400DEA8664D3}"/>
    <cellStyle name="Normal 4 4 2 9" xfId="2535" xr:uid="{00000000-0005-0000-0000-000062150000}"/>
    <cellStyle name="Normal 4 4 2 9 2" xfId="6818" xr:uid="{00000000-0005-0000-0000-000063150000}"/>
    <cellStyle name="Normal 4 4 2 9 2 2" xfId="15268" xr:uid="{F708BC02-C924-4B76-AFEC-E3CFABB6BAF3}"/>
    <cellStyle name="Normal 4 4 2 9 3" xfId="11050" xr:uid="{0BA8F2C1-6128-4976-BBD3-5C83BD85D08A}"/>
    <cellStyle name="Normal 4 4 3" xfId="387" xr:uid="{00000000-0005-0000-0000-000064150000}"/>
    <cellStyle name="Normal 4 4 3 10" xfId="8993" xr:uid="{41C4DE48-C81D-4566-ADB8-F410CB7E501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5771" xr:uid="{7EDA4D1D-CAEB-4D61-A32E-CAB8DF5F9E28}"/>
    <cellStyle name="Normal 4 4 3 2 2 2 2 3" xfId="11553" xr:uid="{A725473D-63A1-4D05-8CB9-7E39CCF3EBCD}"/>
    <cellStyle name="Normal 4 4 3 2 2 2 3" xfId="5176" xr:uid="{00000000-0005-0000-0000-00006A150000}"/>
    <cellStyle name="Normal 4 4 3 2 2 2 3 2" xfId="13626" xr:uid="{6422D46F-70F8-4BD2-8C78-048AA7F0003F}"/>
    <cellStyle name="Normal 4 4 3 2 2 2 4" xfId="9408" xr:uid="{13BF898A-CA6B-4350-9476-E4A57B46C1CD}"/>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6184" xr:uid="{E5045918-3E8C-49C8-91B6-8CA363CDE78C}"/>
    <cellStyle name="Normal 4 4 3 2 2 3 2 3" xfId="11966" xr:uid="{2E32B313-55D1-4909-95D0-FEBA65ECB7F4}"/>
    <cellStyle name="Normal 4 4 3 2 2 3 3" xfId="5589" xr:uid="{00000000-0005-0000-0000-00006E150000}"/>
    <cellStyle name="Normal 4 4 3 2 2 3 3 2" xfId="14039" xr:uid="{B2CCFFC9-5804-40E2-B5C5-99AB0BE3A8D4}"/>
    <cellStyle name="Normal 4 4 3 2 2 3 4" xfId="9821" xr:uid="{8E48857D-6E70-4531-AA38-8CA35C0C07EF}"/>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6597" xr:uid="{E97E8DE6-3BB6-48AA-935B-549D68528972}"/>
    <cellStyle name="Normal 4 4 3 2 2 4 2 3" xfId="12379" xr:uid="{01598620-BB4F-4F42-ADFC-F0E5A34E447B}"/>
    <cellStyle name="Normal 4 4 3 2 2 4 3" xfId="6002" xr:uid="{00000000-0005-0000-0000-000072150000}"/>
    <cellStyle name="Normal 4 4 3 2 2 4 3 2" xfId="14452" xr:uid="{674BC701-651F-43EE-B805-059CB544343A}"/>
    <cellStyle name="Normal 4 4 3 2 2 4 4" xfId="10234" xr:uid="{DB07D74D-05B6-4DD0-81DD-F32140352A28}"/>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010" xr:uid="{09F0DAF4-D199-42F5-A553-EA1F4CB117AD}"/>
    <cellStyle name="Normal 4 4 3 2 2 5 2 3" xfId="12792" xr:uid="{7F1C04CC-D5F2-467B-8922-DD0C36A7539F}"/>
    <cellStyle name="Normal 4 4 3 2 2 5 3" xfId="6415" xr:uid="{00000000-0005-0000-0000-000076150000}"/>
    <cellStyle name="Normal 4 4 3 2 2 5 3 2" xfId="14865" xr:uid="{2F2436A6-A89D-4DAE-8357-91C6DA0BBA50}"/>
    <cellStyle name="Normal 4 4 3 2 2 5 4" xfId="10647" xr:uid="{BB51B327-A151-4818-9343-2A5DF8B0B605}"/>
    <cellStyle name="Normal 4 4 3 2 2 6" xfId="2545" xr:uid="{00000000-0005-0000-0000-000077150000}"/>
    <cellStyle name="Normal 4 4 3 2 2 6 2" xfId="6828" xr:uid="{00000000-0005-0000-0000-000078150000}"/>
    <cellStyle name="Normal 4 4 3 2 2 6 2 2" xfId="15278" xr:uid="{64D57711-3DEF-4B58-BBB8-3D79E7303BC8}"/>
    <cellStyle name="Normal 4 4 3 2 2 6 3" xfId="11060" xr:uid="{1D77D988-28C3-42DA-9679-B6A70C248E5D}"/>
    <cellStyle name="Normal 4 4 3 2 2 7" xfId="4763" xr:uid="{00000000-0005-0000-0000-000079150000}"/>
    <cellStyle name="Normal 4 4 3 2 2 7 2" xfId="13213" xr:uid="{B3E33486-FBCA-460C-96D9-35F917C5125E}"/>
    <cellStyle name="Normal 4 4 3 2 2 8" xfId="8995" xr:uid="{33DABA7E-DE90-4A22-87BA-D9C093B4B59C}"/>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5770" xr:uid="{390CA7E8-9F7C-47B4-8546-822BE7907850}"/>
    <cellStyle name="Normal 4 4 3 2 3 2 3" xfId="11552" xr:uid="{B077F0AD-4BA8-42A7-9EBA-95F5B1C9C6BC}"/>
    <cellStyle name="Normal 4 4 3 2 3 3" xfId="5175" xr:uid="{00000000-0005-0000-0000-00007D150000}"/>
    <cellStyle name="Normal 4 4 3 2 3 3 2" xfId="13625" xr:uid="{8715DC7D-151D-436F-8992-811892FB6072}"/>
    <cellStyle name="Normal 4 4 3 2 3 4" xfId="9407" xr:uid="{D57B3F81-F3DF-46CB-AEDE-4176D794EE09}"/>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6183" xr:uid="{FCC732E6-0FA4-42FD-B8FB-2FA2A25E7472}"/>
    <cellStyle name="Normal 4 4 3 2 4 2 3" xfId="11965" xr:uid="{E55A715D-276B-4DAF-AC7B-357D92A55F56}"/>
    <cellStyle name="Normal 4 4 3 2 4 3" xfId="5588" xr:uid="{00000000-0005-0000-0000-000081150000}"/>
    <cellStyle name="Normal 4 4 3 2 4 3 2" xfId="14038" xr:uid="{B3D1F294-4CA1-4D11-A03F-F64A101687E0}"/>
    <cellStyle name="Normal 4 4 3 2 4 4" xfId="9820" xr:uid="{94B1F7FF-3676-409E-BF5F-888BD581B2D6}"/>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6596" xr:uid="{D84FA698-19B7-44BA-9A9D-52CD4B4957B1}"/>
    <cellStyle name="Normal 4 4 3 2 5 2 3" xfId="12378" xr:uid="{0A40E5C3-20C6-4AA4-8385-580B61AD90B0}"/>
    <cellStyle name="Normal 4 4 3 2 5 3" xfId="6001" xr:uid="{00000000-0005-0000-0000-000085150000}"/>
    <cellStyle name="Normal 4 4 3 2 5 3 2" xfId="14451" xr:uid="{80F17BA4-3659-489C-B32F-2693D198D4BC}"/>
    <cellStyle name="Normal 4 4 3 2 5 4" xfId="10233" xr:uid="{E4F36C5F-3D77-447E-9C5E-DAB156B76961}"/>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009" xr:uid="{4D5BF9B8-BE88-47A7-92D1-204661AFD5EC}"/>
    <cellStyle name="Normal 4 4 3 2 6 2 3" xfId="12791" xr:uid="{7BC1A4AE-665C-4FB3-BD63-35990964C649}"/>
    <cellStyle name="Normal 4 4 3 2 6 3" xfId="6414" xr:uid="{00000000-0005-0000-0000-000089150000}"/>
    <cellStyle name="Normal 4 4 3 2 6 3 2" xfId="14864" xr:uid="{BF3BB078-2BC0-4C67-808E-A420BB5400F1}"/>
    <cellStyle name="Normal 4 4 3 2 6 4" xfId="10646" xr:uid="{08F50D56-8421-456B-B0B6-E2F54421766F}"/>
    <cellStyle name="Normal 4 4 3 2 7" xfId="2544" xr:uid="{00000000-0005-0000-0000-00008A150000}"/>
    <cellStyle name="Normal 4 4 3 2 7 2" xfId="6827" xr:uid="{00000000-0005-0000-0000-00008B150000}"/>
    <cellStyle name="Normal 4 4 3 2 7 2 2" xfId="15277" xr:uid="{A55E52CF-F260-4D26-8D45-7918B7479CA8}"/>
    <cellStyle name="Normal 4 4 3 2 7 3" xfId="11059" xr:uid="{D3D125DF-C9FD-4EA7-BB04-C2EE2EE6EDEF}"/>
    <cellStyle name="Normal 4 4 3 2 8" xfId="4762" xr:uid="{00000000-0005-0000-0000-00008C150000}"/>
    <cellStyle name="Normal 4 4 3 2 8 2" xfId="13212" xr:uid="{D3071793-0455-4F1C-BC30-6D196885EDE9}"/>
    <cellStyle name="Normal 4 4 3 2 9" xfId="8994" xr:uid="{BF0E82DF-E5E3-41CF-A7B5-1840C990298F}"/>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5772" xr:uid="{1AA7D6DF-490A-44E5-B187-B55D4B805E84}"/>
    <cellStyle name="Normal 4 4 3 3 2 2 3" xfId="11554" xr:uid="{D4D6D4D0-B10B-4C31-84DE-B5D3109C75B2}"/>
    <cellStyle name="Normal 4 4 3 3 2 3" xfId="5177" xr:uid="{00000000-0005-0000-0000-000091150000}"/>
    <cellStyle name="Normal 4 4 3 3 2 3 2" xfId="13627" xr:uid="{4441A9C3-050A-4CEE-B77F-6DD944ADBD08}"/>
    <cellStyle name="Normal 4 4 3 3 2 4" xfId="9409" xr:uid="{4707F1F3-5A1C-45D5-8E8E-42EA35FA36C2}"/>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6185" xr:uid="{BEAC9D12-E60F-49A6-A785-B717FE4DDFE9}"/>
    <cellStyle name="Normal 4 4 3 3 3 2 3" xfId="11967" xr:uid="{4463CEB3-2756-42B4-8E44-5B353887A7C2}"/>
    <cellStyle name="Normal 4 4 3 3 3 3" xfId="5590" xr:uid="{00000000-0005-0000-0000-000095150000}"/>
    <cellStyle name="Normal 4 4 3 3 3 3 2" xfId="14040" xr:uid="{03F7203D-B811-4278-8734-90D066AC6C80}"/>
    <cellStyle name="Normal 4 4 3 3 3 4" xfId="9822" xr:uid="{2F331B08-D81B-4FA3-9F72-1BF9F4967359}"/>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6598" xr:uid="{8939F0B8-41B8-4F9F-A8F8-A847E7A529A7}"/>
    <cellStyle name="Normal 4 4 3 3 4 2 3" xfId="12380" xr:uid="{D83FC9F8-0DE7-4F7D-A2D8-63039BF37B15}"/>
    <cellStyle name="Normal 4 4 3 3 4 3" xfId="6003" xr:uid="{00000000-0005-0000-0000-000099150000}"/>
    <cellStyle name="Normal 4 4 3 3 4 3 2" xfId="14453" xr:uid="{92F0BBAE-3998-4E82-A216-3FAE6E07B7A8}"/>
    <cellStyle name="Normal 4 4 3 3 4 4" xfId="10235" xr:uid="{750C859D-846F-4851-83EC-CD3AD43BA496}"/>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011" xr:uid="{755B3BD4-8892-4B2E-AD8A-F65144CFEAFD}"/>
    <cellStyle name="Normal 4 4 3 3 5 2 3" xfId="12793" xr:uid="{C7D4ADE4-4E63-42AC-A3AF-B6E5C85C3AB1}"/>
    <cellStyle name="Normal 4 4 3 3 5 3" xfId="6416" xr:uid="{00000000-0005-0000-0000-00009D150000}"/>
    <cellStyle name="Normal 4 4 3 3 5 3 2" xfId="14866" xr:uid="{520BF7D1-72BD-48F0-A2BA-2089D444A4C2}"/>
    <cellStyle name="Normal 4 4 3 3 5 4" xfId="10648" xr:uid="{E2258220-9481-44A2-A908-9FAC651FA540}"/>
    <cellStyle name="Normal 4 4 3 3 6" xfId="2546" xr:uid="{00000000-0005-0000-0000-00009E150000}"/>
    <cellStyle name="Normal 4 4 3 3 6 2" xfId="6829" xr:uid="{00000000-0005-0000-0000-00009F150000}"/>
    <cellStyle name="Normal 4 4 3 3 6 2 2" xfId="15279" xr:uid="{126E2535-06E4-403B-B863-2CDF40A8F25E}"/>
    <cellStyle name="Normal 4 4 3 3 6 3" xfId="11061" xr:uid="{A125B711-C020-4A57-9C1C-E0529AE50D49}"/>
    <cellStyle name="Normal 4 4 3 3 7" xfId="4764" xr:uid="{00000000-0005-0000-0000-0000A0150000}"/>
    <cellStyle name="Normal 4 4 3 3 7 2" xfId="13214" xr:uid="{197C6021-A870-4BF4-91F7-647DD113A389}"/>
    <cellStyle name="Normal 4 4 3 3 8" xfId="8996" xr:uid="{B8BDD6FD-171C-45C1-AA52-2CF9FC2CC485}"/>
    <cellStyle name="Normal 4 4 3 4" xfId="862" xr:uid="{00000000-0005-0000-0000-0000A1150000}"/>
    <cellStyle name="Normal 4 4 3 4 2" xfId="3097" xr:uid="{00000000-0005-0000-0000-0000A2150000}"/>
    <cellStyle name="Normal 4 4 3 4 2 2" xfId="7319" xr:uid="{00000000-0005-0000-0000-0000A3150000}"/>
    <cellStyle name="Normal 4 4 3 4 2 2 2" xfId="15769" xr:uid="{7CDEA6DB-0ECD-484F-A695-73009C64B155}"/>
    <cellStyle name="Normal 4 4 3 4 2 3" xfId="11551" xr:uid="{29453094-8126-4B8B-B33B-3D43C195AD7E}"/>
    <cellStyle name="Normal 4 4 3 4 3" xfId="5174" xr:uid="{00000000-0005-0000-0000-0000A4150000}"/>
    <cellStyle name="Normal 4 4 3 4 3 2" xfId="13624" xr:uid="{123E49F7-5F52-4DB2-949D-BF65046836F7}"/>
    <cellStyle name="Normal 4 4 3 4 4" xfId="9406" xr:uid="{8E3CD48E-14CD-465C-ACD9-73C804B01CFE}"/>
    <cellStyle name="Normal 4 4 3 5" xfId="1280" xr:uid="{00000000-0005-0000-0000-0000A5150000}"/>
    <cellStyle name="Normal 4 4 3 5 2" xfId="3510" xr:uid="{00000000-0005-0000-0000-0000A6150000}"/>
    <cellStyle name="Normal 4 4 3 5 2 2" xfId="7732" xr:uid="{00000000-0005-0000-0000-0000A7150000}"/>
    <cellStyle name="Normal 4 4 3 5 2 2 2" xfId="16182" xr:uid="{3D391E04-2266-4BC1-8A23-1A3F8588B6B5}"/>
    <cellStyle name="Normal 4 4 3 5 2 3" xfId="11964" xr:uid="{D6B9B5E3-6F42-4EBF-B81C-A86A7BBF33B2}"/>
    <cellStyle name="Normal 4 4 3 5 3" xfId="5587" xr:uid="{00000000-0005-0000-0000-0000A8150000}"/>
    <cellStyle name="Normal 4 4 3 5 3 2" xfId="14037" xr:uid="{73C8C51A-D1B4-4C8C-9B1E-ACA7C7A84630}"/>
    <cellStyle name="Normal 4 4 3 5 4" xfId="9819" xr:uid="{A95FD6CC-F950-4415-914A-843B23047D6D}"/>
    <cellStyle name="Normal 4 4 3 6" xfId="1693" xr:uid="{00000000-0005-0000-0000-0000A9150000}"/>
    <cellStyle name="Normal 4 4 3 6 2" xfId="3923" xr:uid="{00000000-0005-0000-0000-0000AA150000}"/>
    <cellStyle name="Normal 4 4 3 6 2 2" xfId="8145" xr:uid="{00000000-0005-0000-0000-0000AB150000}"/>
    <cellStyle name="Normal 4 4 3 6 2 2 2" xfId="16595" xr:uid="{4D3C712A-A3D6-4DF3-A864-23FF45A9AE35}"/>
    <cellStyle name="Normal 4 4 3 6 2 3" xfId="12377" xr:uid="{B9662BB7-D323-4379-9899-FDA966D02E4C}"/>
    <cellStyle name="Normal 4 4 3 6 3" xfId="6000" xr:uid="{00000000-0005-0000-0000-0000AC150000}"/>
    <cellStyle name="Normal 4 4 3 6 3 2" xfId="14450" xr:uid="{7A0C2268-E12F-4472-8EED-3286ECF464A8}"/>
    <cellStyle name="Normal 4 4 3 6 4" xfId="10232" xr:uid="{9BBAB4A1-1BE4-4E9F-9255-618A2614169D}"/>
    <cellStyle name="Normal 4 4 3 7" xfId="2107" xr:uid="{00000000-0005-0000-0000-0000AD150000}"/>
    <cellStyle name="Normal 4 4 3 7 2" xfId="4336" xr:uid="{00000000-0005-0000-0000-0000AE150000}"/>
    <cellStyle name="Normal 4 4 3 7 2 2" xfId="8558" xr:uid="{00000000-0005-0000-0000-0000AF150000}"/>
    <cellStyle name="Normal 4 4 3 7 2 2 2" xfId="17008" xr:uid="{E3F037F6-DBEB-4F0F-A29C-CCF4F3077711}"/>
    <cellStyle name="Normal 4 4 3 7 2 3" xfId="12790" xr:uid="{50C36B3D-518D-4B1F-B722-562E17E23416}"/>
    <cellStyle name="Normal 4 4 3 7 3" xfId="6413" xr:uid="{00000000-0005-0000-0000-0000B0150000}"/>
    <cellStyle name="Normal 4 4 3 7 3 2" xfId="14863" xr:uid="{993C71F1-9A43-40F5-9489-78850B0A73E4}"/>
    <cellStyle name="Normal 4 4 3 7 4" xfId="10645" xr:uid="{A467A973-13D4-4979-8D1C-A56BCC08082F}"/>
    <cellStyle name="Normal 4 4 3 8" xfId="2543" xr:uid="{00000000-0005-0000-0000-0000B1150000}"/>
    <cellStyle name="Normal 4 4 3 8 2" xfId="6826" xr:uid="{00000000-0005-0000-0000-0000B2150000}"/>
    <cellStyle name="Normal 4 4 3 8 2 2" xfId="15276" xr:uid="{4375F779-6C56-46E5-A6E8-0D35EB632E75}"/>
    <cellStyle name="Normal 4 4 3 8 3" xfId="11058" xr:uid="{36C138DD-69CB-479C-98E4-2F38C35E5A2A}"/>
    <cellStyle name="Normal 4 4 3 9" xfId="4761" xr:uid="{00000000-0005-0000-0000-0000B3150000}"/>
    <cellStyle name="Normal 4 4 3 9 2" xfId="13211" xr:uid="{10BAE7EC-9EF5-4AFC-B3E7-2E85AF77D4BC}"/>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5774" xr:uid="{E329A8A4-EA72-4E43-93F9-8A5A993EDD1D}"/>
    <cellStyle name="Normal 4 4 4 2 2 2 3" xfId="11556" xr:uid="{4E7C366D-2F12-4865-9119-DD729991BA39}"/>
    <cellStyle name="Normal 4 4 4 2 2 3" xfId="5179" xr:uid="{00000000-0005-0000-0000-0000B9150000}"/>
    <cellStyle name="Normal 4 4 4 2 2 3 2" xfId="13629" xr:uid="{9FA8B765-5BB6-4802-86F9-AB27305B6458}"/>
    <cellStyle name="Normal 4 4 4 2 2 4" xfId="9411" xr:uid="{66E45224-B069-47B3-87E9-8B8A36FC85C0}"/>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6187" xr:uid="{7684542A-69F9-4F38-973B-6CF2E29EC932}"/>
    <cellStyle name="Normal 4 4 4 2 3 2 3" xfId="11969" xr:uid="{74A092D0-9DD3-4EF0-9319-73069D84F237}"/>
    <cellStyle name="Normal 4 4 4 2 3 3" xfId="5592" xr:uid="{00000000-0005-0000-0000-0000BD150000}"/>
    <cellStyle name="Normal 4 4 4 2 3 3 2" xfId="14042" xr:uid="{7BCB6CC0-8586-4E98-9DE3-8C473F610905}"/>
    <cellStyle name="Normal 4 4 4 2 3 4" xfId="9824" xr:uid="{04B9C8C3-D991-4922-AC56-B64379823DE4}"/>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6600" xr:uid="{0A8F5473-F972-4FE8-A9F5-E2FE93882B98}"/>
    <cellStyle name="Normal 4 4 4 2 4 2 3" xfId="12382" xr:uid="{64785E60-A1E2-4305-8E40-11013303A3A8}"/>
    <cellStyle name="Normal 4 4 4 2 4 3" xfId="6005" xr:uid="{00000000-0005-0000-0000-0000C1150000}"/>
    <cellStyle name="Normal 4 4 4 2 4 3 2" xfId="14455" xr:uid="{EBDD0006-C1F0-44EA-873E-2240140C1A90}"/>
    <cellStyle name="Normal 4 4 4 2 4 4" xfId="10237" xr:uid="{EF103C04-7596-4043-8E35-4A0919E8D9AE}"/>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013" xr:uid="{547EE009-A405-46F6-AA37-812547693ED9}"/>
    <cellStyle name="Normal 4 4 4 2 5 2 3" xfId="12795" xr:uid="{5761C07E-7D51-4E2B-9A81-B8A49DC5B9B9}"/>
    <cellStyle name="Normal 4 4 4 2 5 3" xfId="6418" xr:uid="{00000000-0005-0000-0000-0000C5150000}"/>
    <cellStyle name="Normal 4 4 4 2 5 3 2" xfId="14868" xr:uid="{900D36D7-7653-467B-8197-2DEDE78F9F4A}"/>
    <cellStyle name="Normal 4 4 4 2 5 4" xfId="10650" xr:uid="{961598BA-6A94-4FB1-9C7D-4CBAF6C0942C}"/>
    <cellStyle name="Normal 4 4 4 2 6" xfId="2548" xr:uid="{00000000-0005-0000-0000-0000C6150000}"/>
    <cellStyle name="Normal 4 4 4 2 6 2" xfId="6831" xr:uid="{00000000-0005-0000-0000-0000C7150000}"/>
    <cellStyle name="Normal 4 4 4 2 6 2 2" xfId="15281" xr:uid="{31F485A6-D475-4577-8668-2B953D3071F9}"/>
    <cellStyle name="Normal 4 4 4 2 6 3" xfId="11063" xr:uid="{F788F9DE-F9B2-452B-8291-210CF8CDB61D}"/>
    <cellStyle name="Normal 4 4 4 2 7" xfId="4766" xr:uid="{00000000-0005-0000-0000-0000C8150000}"/>
    <cellStyle name="Normal 4 4 4 2 7 2" xfId="13216" xr:uid="{83883E58-EF57-4643-9826-AD82BF9F5A2B}"/>
    <cellStyle name="Normal 4 4 4 2 8" xfId="8998" xr:uid="{5C86799E-E4B1-49BB-8736-1D8DB5EEF901}"/>
    <cellStyle name="Normal 4 4 4 3" xfId="866" xr:uid="{00000000-0005-0000-0000-0000C9150000}"/>
    <cellStyle name="Normal 4 4 4 3 2" xfId="3101" xr:uid="{00000000-0005-0000-0000-0000CA150000}"/>
    <cellStyle name="Normal 4 4 4 3 2 2" xfId="7323" xr:uid="{00000000-0005-0000-0000-0000CB150000}"/>
    <cellStyle name="Normal 4 4 4 3 2 2 2" xfId="15773" xr:uid="{B5F1D90F-C52D-449A-9D24-8F42C46FE795}"/>
    <cellStyle name="Normal 4 4 4 3 2 3" xfId="11555" xr:uid="{84712006-825B-430C-99E7-932A135800C5}"/>
    <cellStyle name="Normal 4 4 4 3 3" xfId="5178" xr:uid="{00000000-0005-0000-0000-0000CC150000}"/>
    <cellStyle name="Normal 4 4 4 3 3 2" xfId="13628" xr:uid="{75076701-330E-43C4-992F-FE5BDE8F74AD}"/>
    <cellStyle name="Normal 4 4 4 3 4" xfId="9410" xr:uid="{4C1376D9-5898-42FE-92DF-3BBC4B424CF9}"/>
    <cellStyle name="Normal 4 4 4 4" xfId="1284" xr:uid="{00000000-0005-0000-0000-0000CD150000}"/>
    <cellStyle name="Normal 4 4 4 4 2" xfId="3514" xr:uid="{00000000-0005-0000-0000-0000CE150000}"/>
    <cellStyle name="Normal 4 4 4 4 2 2" xfId="7736" xr:uid="{00000000-0005-0000-0000-0000CF150000}"/>
    <cellStyle name="Normal 4 4 4 4 2 2 2" xfId="16186" xr:uid="{888DE582-752A-46CD-8DEC-7AB39FCF1DA1}"/>
    <cellStyle name="Normal 4 4 4 4 2 3" xfId="11968" xr:uid="{DB8049F5-D695-42E2-B364-E36CA8C910CB}"/>
    <cellStyle name="Normal 4 4 4 4 3" xfId="5591" xr:uid="{00000000-0005-0000-0000-0000D0150000}"/>
    <cellStyle name="Normal 4 4 4 4 3 2" xfId="14041" xr:uid="{0C109C64-57B2-429B-BAFA-9A3BE12B96E8}"/>
    <cellStyle name="Normal 4 4 4 4 4" xfId="9823" xr:uid="{003D6AEF-E8F8-487C-9942-176685DFDA92}"/>
    <cellStyle name="Normal 4 4 4 5" xfId="1697" xr:uid="{00000000-0005-0000-0000-0000D1150000}"/>
    <cellStyle name="Normal 4 4 4 5 2" xfId="3927" xr:uid="{00000000-0005-0000-0000-0000D2150000}"/>
    <cellStyle name="Normal 4 4 4 5 2 2" xfId="8149" xr:uid="{00000000-0005-0000-0000-0000D3150000}"/>
    <cellStyle name="Normal 4 4 4 5 2 2 2" xfId="16599" xr:uid="{1A7C1AB1-FBA3-4794-AAD0-7EF58D7C9282}"/>
    <cellStyle name="Normal 4 4 4 5 2 3" xfId="12381" xr:uid="{2201D2BD-C3C6-4BB9-83F6-8601724A7742}"/>
    <cellStyle name="Normal 4 4 4 5 3" xfId="6004" xr:uid="{00000000-0005-0000-0000-0000D4150000}"/>
    <cellStyle name="Normal 4 4 4 5 3 2" xfId="14454" xr:uid="{BF6407E7-D9F0-4F94-A3DD-AD56050FBD90}"/>
    <cellStyle name="Normal 4 4 4 5 4" xfId="10236" xr:uid="{E3DC3E3E-968A-45E6-9257-19A3995CBA11}"/>
    <cellStyle name="Normal 4 4 4 6" xfId="2111" xr:uid="{00000000-0005-0000-0000-0000D5150000}"/>
    <cellStyle name="Normal 4 4 4 6 2" xfId="4340" xr:uid="{00000000-0005-0000-0000-0000D6150000}"/>
    <cellStyle name="Normal 4 4 4 6 2 2" xfId="8562" xr:uid="{00000000-0005-0000-0000-0000D7150000}"/>
    <cellStyle name="Normal 4 4 4 6 2 2 2" xfId="17012" xr:uid="{D449A8A6-51A0-420D-974C-1D41BD94F872}"/>
    <cellStyle name="Normal 4 4 4 6 2 3" xfId="12794" xr:uid="{4D80579A-6FFE-44D4-BEB7-88F387D4394A}"/>
    <cellStyle name="Normal 4 4 4 6 3" xfId="6417" xr:uid="{00000000-0005-0000-0000-0000D8150000}"/>
    <cellStyle name="Normal 4 4 4 6 3 2" xfId="14867" xr:uid="{3F76190A-27E2-48CF-8D18-C8AE46EF7B23}"/>
    <cellStyle name="Normal 4 4 4 6 4" xfId="10649" xr:uid="{32C7E746-9D14-47EE-973F-517B69B68DB8}"/>
    <cellStyle name="Normal 4 4 4 7" xfId="2547" xr:uid="{00000000-0005-0000-0000-0000D9150000}"/>
    <cellStyle name="Normal 4 4 4 7 2" xfId="6830" xr:uid="{00000000-0005-0000-0000-0000DA150000}"/>
    <cellStyle name="Normal 4 4 4 7 2 2" xfId="15280" xr:uid="{BC6763E8-6C85-447F-A1B1-96109432849D}"/>
    <cellStyle name="Normal 4 4 4 7 3" xfId="11062" xr:uid="{222BBE09-44B8-48BE-BFC5-3FB3AEB46B0C}"/>
    <cellStyle name="Normal 4 4 4 8" xfId="4765" xr:uid="{00000000-0005-0000-0000-0000DB150000}"/>
    <cellStyle name="Normal 4 4 4 8 2" xfId="13215" xr:uid="{5ADD1BE7-F192-4247-9295-8058D678907C}"/>
    <cellStyle name="Normal 4 4 4 9" xfId="8997" xr:uid="{D2CDDB25-F945-48C1-9BA0-E23FCF0E5C7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5775" xr:uid="{C6961CC8-7006-48C2-BA54-1FBF4B46267C}"/>
    <cellStyle name="Normal 4 4 5 2 2 3" xfId="11557" xr:uid="{A1EA8793-BFA1-40F6-B30F-610513800C4F}"/>
    <cellStyle name="Normal 4 4 5 2 3" xfId="5180" xr:uid="{00000000-0005-0000-0000-0000E0150000}"/>
    <cellStyle name="Normal 4 4 5 2 3 2" xfId="13630" xr:uid="{00B3D4EA-5737-4AE6-ABEE-26325D6A87AC}"/>
    <cellStyle name="Normal 4 4 5 2 4" xfId="9412" xr:uid="{E39FC11B-8821-4A67-8E9F-D4B0D14FB3D5}"/>
    <cellStyle name="Normal 4 4 5 3" xfId="1286" xr:uid="{00000000-0005-0000-0000-0000E1150000}"/>
    <cellStyle name="Normal 4 4 5 3 2" xfId="3516" xr:uid="{00000000-0005-0000-0000-0000E2150000}"/>
    <cellStyle name="Normal 4 4 5 3 2 2" xfId="7738" xr:uid="{00000000-0005-0000-0000-0000E3150000}"/>
    <cellStyle name="Normal 4 4 5 3 2 2 2" xfId="16188" xr:uid="{FB6F77B3-EBE3-4426-93DA-75767F81BC07}"/>
    <cellStyle name="Normal 4 4 5 3 2 3" xfId="11970" xr:uid="{521D34EC-2F68-4C39-96CE-B81D8454556A}"/>
    <cellStyle name="Normal 4 4 5 3 3" xfId="5593" xr:uid="{00000000-0005-0000-0000-0000E4150000}"/>
    <cellStyle name="Normal 4 4 5 3 3 2" xfId="14043" xr:uid="{2F3CB07C-3080-48A2-BDB1-28C11E35F217}"/>
    <cellStyle name="Normal 4 4 5 3 4" xfId="9825" xr:uid="{A80BAD80-9580-43F3-9F1A-8F0F2D487AC9}"/>
    <cellStyle name="Normal 4 4 5 4" xfId="1699" xr:uid="{00000000-0005-0000-0000-0000E5150000}"/>
    <cellStyle name="Normal 4 4 5 4 2" xfId="3929" xr:uid="{00000000-0005-0000-0000-0000E6150000}"/>
    <cellStyle name="Normal 4 4 5 4 2 2" xfId="8151" xr:uid="{00000000-0005-0000-0000-0000E7150000}"/>
    <cellStyle name="Normal 4 4 5 4 2 2 2" xfId="16601" xr:uid="{DC30EBF0-6302-4D80-9D8F-0B0AA66B3AD2}"/>
    <cellStyle name="Normal 4 4 5 4 2 3" xfId="12383" xr:uid="{E3C6D108-518B-49F8-8C5C-B012E2818E01}"/>
    <cellStyle name="Normal 4 4 5 4 3" xfId="6006" xr:uid="{00000000-0005-0000-0000-0000E8150000}"/>
    <cellStyle name="Normal 4 4 5 4 3 2" xfId="14456" xr:uid="{558B2F83-C1DB-4FC5-94EA-E165B97B9595}"/>
    <cellStyle name="Normal 4 4 5 4 4" xfId="10238" xr:uid="{CF53A0E0-C489-4969-95D3-3CA1D8724128}"/>
    <cellStyle name="Normal 4 4 5 5" xfId="2113" xr:uid="{00000000-0005-0000-0000-0000E9150000}"/>
    <cellStyle name="Normal 4 4 5 5 2" xfId="4342" xr:uid="{00000000-0005-0000-0000-0000EA150000}"/>
    <cellStyle name="Normal 4 4 5 5 2 2" xfId="8564" xr:uid="{00000000-0005-0000-0000-0000EB150000}"/>
    <cellStyle name="Normal 4 4 5 5 2 2 2" xfId="17014" xr:uid="{23F47465-5674-4B34-81FF-C1CBCF9BB4A8}"/>
    <cellStyle name="Normal 4 4 5 5 2 3" xfId="12796" xr:uid="{0B18BCCC-CA14-4321-90C3-D4F60553D8D9}"/>
    <cellStyle name="Normal 4 4 5 5 3" xfId="6419" xr:uid="{00000000-0005-0000-0000-0000EC150000}"/>
    <cellStyle name="Normal 4 4 5 5 3 2" xfId="14869" xr:uid="{C1BCC9A4-689D-48A0-8D6D-A546AA855F29}"/>
    <cellStyle name="Normal 4 4 5 5 4" xfId="10651" xr:uid="{B6334467-1DFA-4FDD-95E2-50BB7002A4B1}"/>
    <cellStyle name="Normal 4 4 5 6" xfId="2549" xr:uid="{00000000-0005-0000-0000-0000ED150000}"/>
    <cellStyle name="Normal 4 4 5 6 2" xfId="6832" xr:uid="{00000000-0005-0000-0000-0000EE150000}"/>
    <cellStyle name="Normal 4 4 5 6 2 2" xfId="15282" xr:uid="{D43DE316-EA3A-4903-AC69-3C2504595849}"/>
    <cellStyle name="Normal 4 4 5 6 3" xfId="11064" xr:uid="{EF3A814E-8334-476E-8B46-1F49A751A06B}"/>
    <cellStyle name="Normal 4 4 5 7" xfId="4767" xr:uid="{00000000-0005-0000-0000-0000EF150000}"/>
    <cellStyle name="Normal 4 4 5 7 2" xfId="13217" xr:uid="{01D75680-847F-4943-AF80-B20BC71B03E2}"/>
    <cellStyle name="Normal 4 4 5 8" xfId="8999" xr:uid="{71E7F301-E03E-4B9C-B869-487572BAF600}"/>
    <cellStyle name="Normal 4 4 6" xfId="853" xr:uid="{00000000-0005-0000-0000-0000F0150000}"/>
    <cellStyle name="Normal 4 4 6 2" xfId="3088" xr:uid="{00000000-0005-0000-0000-0000F1150000}"/>
    <cellStyle name="Normal 4 4 6 2 2" xfId="7310" xr:uid="{00000000-0005-0000-0000-0000F2150000}"/>
    <cellStyle name="Normal 4 4 6 2 2 2" xfId="15760" xr:uid="{33B21719-1B66-40AE-A79E-76C3BB9ED683}"/>
    <cellStyle name="Normal 4 4 6 2 3" xfId="11542" xr:uid="{78BFB0EC-F553-4A91-A367-1D90717673EA}"/>
    <cellStyle name="Normal 4 4 6 3" xfId="5165" xr:uid="{00000000-0005-0000-0000-0000F3150000}"/>
    <cellStyle name="Normal 4 4 6 3 2" xfId="13615" xr:uid="{1468ACB7-6B3F-4982-8CD6-77A23DD450E2}"/>
    <cellStyle name="Normal 4 4 6 4" xfId="9397" xr:uid="{1CC42EEF-AF89-467D-A5BC-FE13314B3A7D}"/>
    <cellStyle name="Normal 4 4 7" xfId="1271" xr:uid="{00000000-0005-0000-0000-0000F4150000}"/>
    <cellStyle name="Normal 4 4 7 2" xfId="3501" xr:uid="{00000000-0005-0000-0000-0000F5150000}"/>
    <cellStyle name="Normal 4 4 7 2 2" xfId="7723" xr:uid="{00000000-0005-0000-0000-0000F6150000}"/>
    <cellStyle name="Normal 4 4 7 2 2 2" xfId="16173" xr:uid="{AA052035-862D-4BC5-AF81-6D72DE7394BA}"/>
    <cellStyle name="Normal 4 4 7 2 3" xfId="11955" xr:uid="{E3F69EA2-C033-4883-A8F1-334568596A62}"/>
    <cellStyle name="Normal 4 4 7 3" xfId="5578" xr:uid="{00000000-0005-0000-0000-0000F7150000}"/>
    <cellStyle name="Normal 4 4 7 3 2" xfId="14028" xr:uid="{70AF381D-F552-426C-BAA8-2767D139FC6B}"/>
    <cellStyle name="Normal 4 4 7 4" xfId="9810" xr:uid="{1189D62B-0F83-49E4-A5A4-E0B252EE18FB}"/>
    <cellStyle name="Normal 4 4 8" xfId="1684" xr:uid="{00000000-0005-0000-0000-0000F8150000}"/>
    <cellStyle name="Normal 4 4 8 2" xfId="3914" xr:uid="{00000000-0005-0000-0000-0000F9150000}"/>
    <cellStyle name="Normal 4 4 8 2 2" xfId="8136" xr:uid="{00000000-0005-0000-0000-0000FA150000}"/>
    <cellStyle name="Normal 4 4 8 2 2 2" xfId="16586" xr:uid="{A7B13C34-8E79-491E-9D59-38CE1DE83E6D}"/>
    <cellStyle name="Normal 4 4 8 2 3" xfId="12368" xr:uid="{2FAC800B-D44F-4487-8788-D6455EBFCFB9}"/>
    <cellStyle name="Normal 4 4 8 3" xfId="5991" xr:uid="{00000000-0005-0000-0000-0000FB150000}"/>
    <cellStyle name="Normal 4 4 8 3 2" xfId="14441" xr:uid="{CEB2B999-323D-4057-9F55-37DCAC18B7D1}"/>
    <cellStyle name="Normal 4 4 8 4" xfId="10223" xr:uid="{E71BD5A9-9FA1-4723-8779-919B4EB32166}"/>
    <cellStyle name="Normal 4 4 9" xfId="2098" xr:uid="{00000000-0005-0000-0000-0000FC150000}"/>
    <cellStyle name="Normal 4 4 9 2" xfId="4327" xr:uid="{00000000-0005-0000-0000-0000FD150000}"/>
    <cellStyle name="Normal 4 4 9 2 2" xfId="8549" xr:uid="{00000000-0005-0000-0000-0000FE150000}"/>
    <cellStyle name="Normal 4 4 9 2 2 2" xfId="16999" xr:uid="{9C1E9E46-1B23-4218-8AEC-71F7172881FD}"/>
    <cellStyle name="Normal 4 4 9 2 3" xfId="12781" xr:uid="{E97FDE1D-1496-46D3-9817-AB284B8C3CE3}"/>
    <cellStyle name="Normal 4 4 9 3" xfId="6404" xr:uid="{00000000-0005-0000-0000-0000FF150000}"/>
    <cellStyle name="Normal 4 4 9 3 2" xfId="14854" xr:uid="{24689972-9E78-4265-9651-46C8FF982EE0}"/>
    <cellStyle name="Normal 4 4 9 4" xfId="10636" xr:uid="{3482D804-5834-43D3-9CD8-EC4E3BC86EDA}"/>
    <cellStyle name="Normal 4 5" xfId="394" xr:uid="{00000000-0005-0000-0000-000000160000}"/>
    <cellStyle name="Normal 4 6" xfId="395" xr:uid="{00000000-0005-0000-0000-000001160000}"/>
    <cellStyle name="Normal 4 6 10" xfId="4768" xr:uid="{00000000-0005-0000-0000-000002160000}"/>
    <cellStyle name="Normal 4 6 10 2" xfId="13218" xr:uid="{594987BB-9EEE-42E9-9758-C6D53C811EE6}"/>
    <cellStyle name="Normal 4 6 11" xfId="9000" xr:uid="{5C9532E9-1CCD-4AB2-A8DD-42F5E9EA4E78}"/>
    <cellStyle name="Normal 4 6 2" xfId="396" xr:uid="{00000000-0005-0000-0000-000003160000}"/>
    <cellStyle name="Normal 4 6 2 10" xfId="9001" xr:uid="{3274BF51-E935-462D-9F47-4B4B7022772F}"/>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5779" xr:uid="{F02F951E-56EE-47BA-B825-9FEC70D0AD94}"/>
    <cellStyle name="Normal 4 6 2 2 2 2 2 3" xfId="11561" xr:uid="{2C22DB34-4869-481D-99A8-2E1E7B6DEE71}"/>
    <cellStyle name="Normal 4 6 2 2 2 2 3" xfId="5184" xr:uid="{00000000-0005-0000-0000-000009160000}"/>
    <cellStyle name="Normal 4 6 2 2 2 2 3 2" xfId="13634" xr:uid="{0C677D2A-12E7-4BA9-B04D-3D8B666BC181}"/>
    <cellStyle name="Normal 4 6 2 2 2 2 4" xfId="9416" xr:uid="{062195BC-F92C-4697-ABF4-3D0C6D411B13}"/>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6192" xr:uid="{DFA70B04-EA7E-4176-9867-53CCF8AA4009}"/>
    <cellStyle name="Normal 4 6 2 2 2 3 2 3" xfId="11974" xr:uid="{D1CDDAF1-3528-4316-A8D4-8941020404A8}"/>
    <cellStyle name="Normal 4 6 2 2 2 3 3" xfId="5597" xr:uid="{00000000-0005-0000-0000-00000D160000}"/>
    <cellStyle name="Normal 4 6 2 2 2 3 3 2" xfId="14047" xr:uid="{59FBB4D4-638C-4505-A51B-E4E16672AADC}"/>
    <cellStyle name="Normal 4 6 2 2 2 3 4" xfId="9829" xr:uid="{E612F447-3720-47A3-8D19-B7989C1615C6}"/>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6605" xr:uid="{378E07C2-6486-46CA-AB2A-673D4E4BD631}"/>
    <cellStyle name="Normal 4 6 2 2 2 4 2 3" xfId="12387" xr:uid="{87761663-BB40-4F99-B38C-B6CB17287CBF}"/>
    <cellStyle name="Normal 4 6 2 2 2 4 3" xfId="6010" xr:uid="{00000000-0005-0000-0000-000011160000}"/>
    <cellStyle name="Normal 4 6 2 2 2 4 3 2" xfId="14460" xr:uid="{E138B5AC-48AA-4E6D-B693-5BA2A9B9F7D1}"/>
    <cellStyle name="Normal 4 6 2 2 2 4 4" xfId="10242" xr:uid="{E88F73E5-E7E1-4ADA-A694-C28AB082CBC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018" xr:uid="{BD33ED4C-FF57-4995-988E-B0891DD3B5F4}"/>
    <cellStyle name="Normal 4 6 2 2 2 5 2 3" xfId="12800" xr:uid="{246FD78A-CB3E-4710-848C-491A08CCCCDD}"/>
    <cellStyle name="Normal 4 6 2 2 2 5 3" xfId="6423" xr:uid="{00000000-0005-0000-0000-000015160000}"/>
    <cellStyle name="Normal 4 6 2 2 2 5 3 2" xfId="14873" xr:uid="{3AE2D631-365D-4DA1-B2C6-EE195FF21916}"/>
    <cellStyle name="Normal 4 6 2 2 2 5 4" xfId="10655" xr:uid="{2ADE0037-700C-4A4D-B820-029580F44979}"/>
    <cellStyle name="Normal 4 6 2 2 2 6" xfId="2553" xr:uid="{00000000-0005-0000-0000-000016160000}"/>
    <cellStyle name="Normal 4 6 2 2 2 6 2" xfId="6836" xr:uid="{00000000-0005-0000-0000-000017160000}"/>
    <cellStyle name="Normal 4 6 2 2 2 6 2 2" xfId="15286" xr:uid="{502A4D5F-C312-4386-8B3D-65CBB3A41ADC}"/>
    <cellStyle name="Normal 4 6 2 2 2 6 3" xfId="11068" xr:uid="{01F6ADCA-85A6-4C05-9FFB-5240CD9F4B9E}"/>
    <cellStyle name="Normal 4 6 2 2 2 7" xfId="4771" xr:uid="{00000000-0005-0000-0000-000018160000}"/>
    <cellStyle name="Normal 4 6 2 2 2 7 2" xfId="13221" xr:uid="{9E3EF6CC-B5B4-475D-9145-16C967F40E32}"/>
    <cellStyle name="Normal 4 6 2 2 2 8" xfId="9003" xr:uid="{8AD09D45-AEB0-48F8-8E26-6725B90C3664}"/>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5778" xr:uid="{771054E1-F2A0-47E8-BBC5-AED7FB99D17D}"/>
    <cellStyle name="Normal 4 6 2 2 3 2 3" xfId="11560" xr:uid="{A061DD67-9EDA-4E6A-9979-00CFF6635459}"/>
    <cellStyle name="Normal 4 6 2 2 3 3" xfId="5183" xr:uid="{00000000-0005-0000-0000-00001C160000}"/>
    <cellStyle name="Normal 4 6 2 2 3 3 2" xfId="13633" xr:uid="{FF4DBDEE-13BF-4AD7-83A3-21246641EF34}"/>
    <cellStyle name="Normal 4 6 2 2 3 4" xfId="9415" xr:uid="{358F37FE-5938-46B2-86D8-46739F201151}"/>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6191" xr:uid="{B0E733B4-3EB8-4C2B-A0FC-CD428D87A278}"/>
    <cellStyle name="Normal 4 6 2 2 4 2 3" xfId="11973" xr:uid="{038FA8FD-9096-4037-A01C-72749643CDB3}"/>
    <cellStyle name="Normal 4 6 2 2 4 3" xfId="5596" xr:uid="{00000000-0005-0000-0000-000020160000}"/>
    <cellStyle name="Normal 4 6 2 2 4 3 2" xfId="14046" xr:uid="{1A99E4C4-2AA8-475F-BB7F-46B3143F1914}"/>
    <cellStyle name="Normal 4 6 2 2 4 4" xfId="9828" xr:uid="{02DB6DBD-4F9E-4984-B70F-C90AE472122E}"/>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6604" xr:uid="{0B68CEDD-7B34-4539-9BC0-BEA593C60DD4}"/>
    <cellStyle name="Normal 4 6 2 2 5 2 3" xfId="12386" xr:uid="{C337C0A6-24A5-4906-A8FF-2400F110B391}"/>
    <cellStyle name="Normal 4 6 2 2 5 3" xfId="6009" xr:uid="{00000000-0005-0000-0000-000024160000}"/>
    <cellStyle name="Normal 4 6 2 2 5 3 2" xfId="14459" xr:uid="{5607A4F8-54BD-4B90-A8C0-C9EF794FBFDA}"/>
    <cellStyle name="Normal 4 6 2 2 5 4" xfId="10241" xr:uid="{85829252-4026-4E55-A03B-A66FD8EB7A3A}"/>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017" xr:uid="{BC73F143-B9E2-47BD-8682-DBC5B53AC140}"/>
    <cellStyle name="Normal 4 6 2 2 6 2 3" xfId="12799" xr:uid="{FFDC45DA-FFFF-4118-9B0F-34ACF7512176}"/>
    <cellStyle name="Normal 4 6 2 2 6 3" xfId="6422" xr:uid="{00000000-0005-0000-0000-000028160000}"/>
    <cellStyle name="Normal 4 6 2 2 6 3 2" xfId="14872" xr:uid="{054E2E6C-2AC4-4354-935E-946547B243FE}"/>
    <cellStyle name="Normal 4 6 2 2 6 4" xfId="10654" xr:uid="{15B86F19-4417-42E4-B6C4-2E77CA1EC051}"/>
    <cellStyle name="Normal 4 6 2 2 7" xfId="2552" xr:uid="{00000000-0005-0000-0000-000029160000}"/>
    <cellStyle name="Normal 4 6 2 2 7 2" xfId="6835" xr:uid="{00000000-0005-0000-0000-00002A160000}"/>
    <cellStyle name="Normal 4 6 2 2 7 2 2" xfId="15285" xr:uid="{6F272D31-F2BB-477B-B0E4-9EE8FFCEF0BC}"/>
    <cellStyle name="Normal 4 6 2 2 7 3" xfId="11067" xr:uid="{67903CAE-A5D5-42B0-9E51-333970839A22}"/>
    <cellStyle name="Normal 4 6 2 2 8" xfId="4770" xr:uid="{00000000-0005-0000-0000-00002B160000}"/>
    <cellStyle name="Normal 4 6 2 2 8 2" xfId="13220" xr:uid="{9A9393FD-117D-4265-83DD-2153D3D17F28}"/>
    <cellStyle name="Normal 4 6 2 2 9" xfId="9002" xr:uid="{F969918B-21D4-46B0-9B87-E800552DA1FC}"/>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5780" xr:uid="{F9111311-D0CE-4CEA-B4F3-D877BBA7E2AD}"/>
    <cellStyle name="Normal 4 6 2 3 2 2 3" xfId="11562" xr:uid="{92EA802D-7364-4B6D-B818-E78786BBBD9D}"/>
    <cellStyle name="Normal 4 6 2 3 2 3" xfId="5185" xr:uid="{00000000-0005-0000-0000-000030160000}"/>
    <cellStyle name="Normal 4 6 2 3 2 3 2" xfId="13635" xr:uid="{33E255FA-1AA4-45CA-9799-AD17FF2FCE38}"/>
    <cellStyle name="Normal 4 6 2 3 2 4" xfId="9417" xr:uid="{70299167-F2B0-4D2B-8E10-E4322A118A00}"/>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6193" xr:uid="{EFC9463B-AF50-4903-93B4-2638C1FC9A4A}"/>
    <cellStyle name="Normal 4 6 2 3 3 2 3" xfId="11975" xr:uid="{37EA88C6-DA83-4BF6-9633-4B156FC58ACD}"/>
    <cellStyle name="Normal 4 6 2 3 3 3" xfId="5598" xr:uid="{00000000-0005-0000-0000-000034160000}"/>
    <cellStyle name="Normal 4 6 2 3 3 3 2" xfId="14048" xr:uid="{1DE88E76-CF99-4085-82BB-E2E93050596C}"/>
    <cellStyle name="Normal 4 6 2 3 3 4" xfId="9830" xr:uid="{1F8B88DA-CA89-412F-85A7-68ED95800963}"/>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6606" xr:uid="{9085E5C6-D99F-4AD2-893E-1D805AB00D46}"/>
    <cellStyle name="Normal 4 6 2 3 4 2 3" xfId="12388" xr:uid="{19E856E1-6D04-4618-B576-E17A96D0B11E}"/>
    <cellStyle name="Normal 4 6 2 3 4 3" xfId="6011" xr:uid="{00000000-0005-0000-0000-000038160000}"/>
    <cellStyle name="Normal 4 6 2 3 4 3 2" xfId="14461" xr:uid="{C9C294F9-3178-46FC-9FB7-58F741BD9CC8}"/>
    <cellStyle name="Normal 4 6 2 3 4 4" xfId="10243" xr:uid="{E04CA63C-61AB-483C-80CE-8B4656CCA814}"/>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019" xr:uid="{1CA8525B-39B9-4576-AC66-C8473281D297}"/>
    <cellStyle name="Normal 4 6 2 3 5 2 3" xfId="12801" xr:uid="{05D47A4F-ECA5-42A6-8138-A861E2109BA9}"/>
    <cellStyle name="Normal 4 6 2 3 5 3" xfId="6424" xr:uid="{00000000-0005-0000-0000-00003C160000}"/>
    <cellStyle name="Normal 4 6 2 3 5 3 2" xfId="14874" xr:uid="{474B9B7F-C739-4B1F-96EC-59EFC1E7660D}"/>
    <cellStyle name="Normal 4 6 2 3 5 4" xfId="10656" xr:uid="{1DCEADCC-D0CB-459E-A83C-1787CD832F8A}"/>
    <cellStyle name="Normal 4 6 2 3 6" xfId="2554" xr:uid="{00000000-0005-0000-0000-00003D160000}"/>
    <cellStyle name="Normal 4 6 2 3 6 2" xfId="6837" xr:uid="{00000000-0005-0000-0000-00003E160000}"/>
    <cellStyle name="Normal 4 6 2 3 6 2 2" xfId="15287" xr:uid="{D7EA0C42-9847-4B3B-AACE-759262F23DD3}"/>
    <cellStyle name="Normal 4 6 2 3 6 3" xfId="11069" xr:uid="{BF43EE3F-5074-4070-85B5-23EEDFBED85F}"/>
    <cellStyle name="Normal 4 6 2 3 7" xfId="4772" xr:uid="{00000000-0005-0000-0000-00003F160000}"/>
    <cellStyle name="Normal 4 6 2 3 7 2" xfId="13222" xr:uid="{3019C678-325E-4AFA-8CBE-F1ED575325E0}"/>
    <cellStyle name="Normal 4 6 2 3 8" xfId="9004" xr:uid="{EF626B4B-ABBD-4254-9FB5-8998BDA3DE42}"/>
    <cellStyle name="Normal 4 6 2 4" xfId="870" xr:uid="{00000000-0005-0000-0000-000040160000}"/>
    <cellStyle name="Normal 4 6 2 4 2" xfId="3105" xr:uid="{00000000-0005-0000-0000-000041160000}"/>
    <cellStyle name="Normal 4 6 2 4 2 2" xfId="7327" xr:uid="{00000000-0005-0000-0000-000042160000}"/>
    <cellStyle name="Normal 4 6 2 4 2 2 2" xfId="15777" xr:uid="{42856859-955A-4B82-BA70-0DE159262534}"/>
    <cellStyle name="Normal 4 6 2 4 2 3" xfId="11559" xr:uid="{451885CD-5643-454B-B36D-5FD5242E9F93}"/>
    <cellStyle name="Normal 4 6 2 4 3" xfId="5182" xr:uid="{00000000-0005-0000-0000-000043160000}"/>
    <cellStyle name="Normal 4 6 2 4 3 2" xfId="13632" xr:uid="{69D171D7-FC7E-409C-A798-1B1EC7CB9107}"/>
    <cellStyle name="Normal 4 6 2 4 4" xfId="9414" xr:uid="{FED3943B-1345-43CF-A1B0-0FDF0CC950D1}"/>
    <cellStyle name="Normal 4 6 2 5" xfId="1288" xr:uid="{00000000-0005-0000-0000-000044160000}"/>
    <cellStyle name="Normal 4 6 2 5 2" xfId="3518" xr:uid="{00000000-0005-0000-0000-000045160000}"/>
    <cellStyle name="Normal 4 6 2 5 2 2" xfId="7740" xr:uid="{00000000-0005-0000-0000-000046160000}"/>
    <cellStyle name="Normal 4 6 2 5 2 2 2" xfId="16190" xr:uid="{438A2372-1C57-44EF-9560-5E9E87055FB9}"/>
    <cellStyle name="Normal 4 6 2 5 2 3" xfId="11972" xr:uid="{10CCC5D9-7DAC-401B-9157-1F657DF414CF}"/>
    <cellStyle name="Normal 4 6 2 5 3" xfId="5595" xr:uid="{00000000-0005-0000-0000-000047160000}"/>
    <cellStyle name="Normal 4 6 2 5 3 2" xfId="14045" xr:uid="{1F422756-4204-441D-8622-7633D97DAE90}"/>
    <cellStyle name="Normal 4 6 2 5 4" xfId="9827" xr:uid="{DDB2BFAC-8C72-4A55-A031-EC6187A8C0A2}"/>
    <cellStyle name="Normal 4 6 2 6" xfId="1701" xr:uid="{00000000-0005-0000-0000-000048160000}"/>
    <cellStyle name="Normal 4 6 2 6 2" xfId="3931" xr:uid="{00000000-0005-0000-0000-000049160000}"/>
    <cellStyle name="Normal 4 6 2 6 2 2" xfId="8153" xr:uid="{00000000-0005-0000-0000-00004A160000}"/>
    <cellStyle name="Normal 4 6 2 6 2 2 2" xfId="16603" xr:uid="{07AC70D6-F449-4CE1-ACA1-7030415582CD}"/>
    <cellStyle name="Normal 4 6 2 6 2 3" xfId="12385" xr:uid="{2F8DFB69-1D00-4B01-8498-AE29DF3F7965}"/>
    <cellStyle name="Normal 4 6 2 6 3" xfId="6008" xr:uid="{00000000-0005-0000-0000-00004B160000}"/>
    <cellStyle name="Normal 4 6 2 6 3 2" xfId="14458" xr:uid="{7113F210-86CF-4229-B0A6-50DB155C9458}"/>
    <cellStyle name="Normal 4 6 2 6 4" xfId="10240" xr:uid="{F84CD8D0-175E-4E8B-99A3-29E074B72CDA}"/>
    <cellStyle name="Normal 4 6 2 7" xfId="2115" xr:uid="{00000000-0005-0000-0000-00004C160000}"/>
    <cellStyle name="Normal 4 6 2 7 2" xfId="4344" xr:uid="{00000000-0005-0000-0000-00004D160000}"/>
    <cellStyle name="Normal 4 6 2 7 2 2" xfId="8566" xr:uid="{00000000-0005-0000-0000-00004E160000}"/>
    <cellStyle name="Normal 4 6 2 7 2 2 2" xfId="17016" xr:uid="{5F0B3035-D85B-4F87-AF5E-879396739959}"/>
    <cellStyle name="Normal 4 6 2 7 2 3" xfId="12798" xr:uid="{3CE3040C-9D05-4563-A462-AFE929EEAB6E}"/>
    <cellStyle name="Normal 4 6 2 7 3" xfId="6421" xr:uid="{00000000-0005-0000-0000-00004F160000}"/>
    <cellStyle name="Normal 4 6 2 7 3 2" xfId="14871" xr:uid="{70D3F507-A34A-4253-A729-D7A7A9EE4530}"/>
    <cellStyle name="Normal 4 6 2 7 4" xfId="10653" xr:uid="{319B578E-6A8B-48A8-9BFC-591F1987305C}"/>
    <cellStyle name="Normal 4 6 2 8" xfId="2551" xr:uid="{00000000-0005-0000-0000-000050160000}"/>
    <cellStyle name="Normal 4 6 2 8 2" xfId="6834" xr:uid="{00000000-0005-0000-0000-000051160000}"/>
    <cellStyle name="Normal 4 6 2 8 2 2" xfId="15284" xr:uid="{F9B6D5CE-B8E6-435C-A26F-44B036D1CE3D}"/>
    <cellStyle name="Normal 4 6 2 8 3" xfId="11066" xr:uid="{A912DE4B-D774-4C04-ABC0-6F39560BC2E0}"/>
    <cellStyle name="Normal 4 6 2 9" xfId="4769" xr:uid="{00000000-0005-0000-0000-000052160000}"/>
    <cellStyle name="Normal 4 6 2 9 2" xfId="13219" xr:uid="{34485DAD-EA54-4E80-8FCF-CA85F7191A2E}"/>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5782" xr:uid="{69C80E42-637D-48AA-8705-8DA9F3A44163}"/>
    <cellStyle name="Normal 4 6 3 2 2 2 3" xfId="11564" xr:uid="{5F291E45-4AF5-43B2-B585-78EA4A98DB8B}"/>
    <cellStyle name="Normal 4 6 3 2 2 3" xfId="5187" xr:uid="{00000000-0005-0000-0000-000058160000}"/>
    <cellStyle name="Normal 4 6 3 2 2 3 2" xfId="13637" xr:uid="{1C30D059-230B-4E80-8B29-A700A10E3BE3}"/>
    <cellStyle name="Normal 4 6 3 2 2 4" xfId="9419" xr:uid="{CEA55725-AFD3-46FC-AD93-D71491605655}"/>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6195" xr:uid="{8BA684E4-8F1A-43A2-9DB3-4FA6ACB790D1}"/>
    <cellStyle name="Normal 4 6 3 2 3 2 3" xfId="11977" xr:uid="{84258D9F-9317-4964-98A0-422FD85C0C9C}"/>
    <cellStyle name="Normal 4 6 3 2 3 3" xfId="5600" xr:uid="{00000000-0005-0000-0000-00005C160000}"/>
    <cellStyle name="Normal 4 6 3 2 3 3 2" xfId="14050" xr:uid="{36FAF79E-79DE-4F7F-BE98-931D722A5723}"/>
    <cellStyle name="Normal 4 6 3 2 3 4" xfId="9832" xr:uid="{C0629862-0953-4690-B755-F589340F3B0C}"/>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6608" xr:uid="{A7A439CE-66EF-4ADA-B04E-90626D937B80}"/>
    <cellStyle name="Normal 4 6 3 2 4 2 3" xfId="12390" xr:uid="{11ED9CFA-680C-4663-8B51-32B58AC814A1}"/>
    <cellStyle name="Normal 4 6 3 2 4 3" xfId="6013" xr:uid="{00000000-0005-0000-0000-000060160000}"/>
    <cellStyle name="Normal 4 6 3 2 4 3 2" xfId="14463" xr:uid="{21057AD0-473B-4A03-AB8A-9FAFE0D92E40}"/>
    <cellStyle name="Normal 4 6 3 2 4 4" xfId="10245" xr:uid="{3E3AA8EE-91FC-45EB-9B07-7E859D7D0A00}"/>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021" xr:uid="{1BCDA36A-B57C-43CE-9EF4-78C9998B0F93}"/>
    <cellStyle name="Normal 4 6 3 2 5 2 3" xfId="12803" xr:uid="{0FDDE4DB-5AF9-4C41-9362-0C65A9117B8C}"/>
    <cellStyle name="Normal 4 6 3 2 5 3" xfId="6426" xr:uid="{00000000-0005-0000-0000-000064160000}"/>
    <cellStyle name="Normal 4 6 3 2 5 3 2" xfId="14876" xr:uid="{6B15AE44-4EAC-4502-BA20-B8E2466AB33D}"/>
    <cellStyle name="Normal 4 6 3 2 5 4" xfId="10658" xr:uid="{A044529C-636C-47D8-A76B-98B29657644F}"/>
    <cellStyle name="Normal 4 6 3 2 6" xfId="2556" xr:uid="{00000000-0005-0000-0000-000065160000}"/>
    <cellStyle name="Normal 4 6 3 2 6 2" xfId="6839" xr:uid="{00000000-0005-0000-0000-000066160000}"/>
    <cellStyle name="Normal 4 6 3 2 6 2 2" xfId="15289" xr:uid="{4AA91336-EC43-459D-84B5-0E7BF747F766}"/>
    <cellStyle name="Normal 4 6 3 2 6 3" xfId="11071" xr:uid="{4B2C5054-4268-4CF1-97CD-4E9092930873}"/>
    <cellStyle name="Normal 4 6 3 2 7" xfId="4774" xr:uid="{00000000-0005-0000-0000-000067160000}"/>
    <cellStyle name="Normal 4 6 3 2 7 2" xfId="13224" xr:uid="{7FF73999-5D26-408F-8200-A713E398148E}"/>
    <cellStyle name="Normal 4 6 3 2 8" xfId="9006" xr:uid="{F66F1A91-5ADF-4938-BA31-8F5BA6384882}"/>
    <cellStyle name="Normal 4 6 3 3" xfId="874" xr:uid="{00000000-0005-0000-0000-000068160000}"/>
    <cellStyle name="Normal 4 6 3 3 2" xfId="3109" xr:uid="{00000000-0005-0000-0000-000069160000}"/>
    <cellStyle name="Normal 4 6 3 3 2 2" xfId="7331" xr:uid="{00000000-0005-0000-0000-00006A160000}"/>
    <cellStyle name="Normal 4 6 3 3 2 2 2" xfId="15781" xr:uid="{5E9EB0B5-B97F-42CB-BF03-EA1E3D4929EC}"/>
    <cellStyle name="Normal 4 6 3 3 2 3" xfId="11563" xr:uid="{61EE32F0-B01B-45D6-8BA0-1833296C44AF}"/>
    <cellStyle name="Normal 4 6 3 3 3" xfId="5186" xr:uid="{00000000-0005-0000-0000-00006B160000}"/>
    <cellStyle name="Normal 4 6 3 3 3 2" xfId="13636" xr:uid="{AB384069-34B2-4CA0-8E03-FED0ADBBF297}"/>
    <cellStyle name="Normal 4 6 3 3 4" xfId="9418" xr:uid="{46A8D5BD-6E64-47C3-9309-5A57324BB0DB}"/>
    <cellStyle name="Normal 4 6 3 4" xfId="1292" xr:uid="{00000000-0005-0000-0000-00006C160000}"/>
    <cellStyle name="Normal 4 6 3 4 2" xfId="3522" xr:uid="{00000000-0005-0000-0000-00006D160000}"/>
    <cellStyle name="Normal 4 6 3 4 2 2" xfId="7744" xr:uid="{00000000-0005-0000-0000-00006E160000}"/>
    <cellStyle name="Normal 4 6 3 4 2 2 2" xfId="16194" xr:uid="{0582190C-8D06-4AC5-961C-FC6F12900976}"/>
    <cellStyle name="Normal 4 6 3 4 2 3" xfId="11976" xr:uid="{B0B051CB-6D67-4FC4-B966-9E6C6A65B9F2}"/>
    <cellStyle name="Normal 4 6 3 4 3" xfId="5599" xr:uid="{00000000-0005-0000-0000-00006F160000}"/>
    <cellStyle name="Normal 4 6 3 4 3 2" xfId="14049" xr:uid="{1DB688F6-9432-428E-B543-68FC093CBBA2}"/>
    <cellStyle name="Normal 4 6 3 4 4" xfId="9831" xr:uid="{A1AA6B1B-F61A-4CD8-9812-A0C3A974AFF2}"/>
    <cellStyle name="Normal 4 6 3 5" xfId="1705" xr:uid="{00000000-0005-0000-0000-000070160000}"/>
    <cellStyle name="Normal 4 6 3 5 2" xfId="3935" xr:uid="{00000000-0005-0000-0000-000071160000}"/>
    <cellStyle name="Normal 4 6 3 5 2 2" xfId="8157" xr:uid="{00000000-0005-0000-0000-000072160000}"/>
    <cellStyle name="Normal 4 6 3 5 2 2 2" xfId="16607" xr:uid="{2B042CC2-5775-465C-83EA-432EBBB210A6}"/>
    <cellStyle name="Normal 4 6 3 5 2 3" xfId="12389" xr:uid="{9651D047-33A4-4851-BF86-7C3F7B991EBF}"/>
    <cellStyle name="Normal 4 6 3 5 3" xfId="6012" xr:uid="{00000000-0005-0000-0000-000073160000}"/>
    <cellStyle name="Normal 4 6 3 5 3 2" xfId="14462" xr:uid="{7121D28D-8B69-48D9-A1D6-3B52DC50C59C}"/>
    <cellStyle name="Normal 4 6 3 5 4" xfId="10244" xr:uid="{FAC9490F-9CB0-4D2B-A100-46AD78BC952B}"/>
    <cellStyle name="Normal 4 6 3 6" xfId="2119" xr:uid="{00000000-0005-0000-0000-000074160000}"/>
    <cellStyle name="Normal 4 6 3 6 2" xfId="4348" xr:uid="{00000000-0005-0000-0000-000075160000}"/>
    <cellStyle name="Normal 4 6 3 6 2 2" xfId="8570" xr:uid="{00000000-0005-0000-0000-000076160000}"/>
    <cellStyle name="Normal 4 6 3 6 2 2 2" xfId="17020" xr:uid="{2CC66605-C22B-498E-852B-2232620311A1}"/>
    <cellStyle name="Normal 4 6 3 6 2 3" xfId="12802" xr:uid="{67E7C3E3-99D9-4EA0-A0C2-140AF459536A}"/>
    <cellStyle name="Normal 4 6 3 6 3" xfId="6425" xr:uid="{00000000-0005-0000-0000-000077160000}"/>
    <cellStyle name="Normal 4 6 3 6 3 2" xfId="14875" xr:uid="{BCC724AF-2641-4651-8F0E-D1C561D4C58E}"/>
    <cellStyle name="Normal 4 6 3 6 4" xfId="10657" xr:uid="{D20FF09C-1E86-4656-BCCD-FB981154B10F}"/>
    <cellStyle name="Normal 4 6 3 7" xfId="2555" xr:uid="{00000000-0005-0000-0000-000078160000}"/>
    <cellStyle name="Normal 4 6 3 7 2" xfId="6838" xr:uid="{00000000-0005-0000-0000-000079160000}"/>
    <cellStyle name="Normal 4 6 3 7 2 2" xfId="15288" xr:uid="{A363EE38-33ED-4238-95B4-503840B8195A}"/>
    <cellStyle name="Normal 4 6 3 7 3" xfId="11070" xr:uid="{16EE0DC7-6E2A-4590-A200-FB6118F59493}"/>
    <cellStyle name="Normal 4 6 3 8" xfId="4773" xr:uid="{00000000-0005-0000-0000-00007A160000}"/>
    <cellStyle name="Normal 4 6 3 8 2" xfId="13223" xr:uid="{4C89922B-1D76-4C8D-A2AB-859977A88FB9}"/>
    <cellStyle name="Normal 4 6 3 9" xfId="9005" xr:uid="{D2B124FB-0508-41A2-A5EE-13FAB32032AE}"/>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5783" xr:uid="{CDEDD585-9C61-419D-B9F0-0AF02ED0A9DE}"/>
    <cellStyle name="Normal 4 6 4 2 2 3" xfId="11565" xr:uid="{42E8A574-5B23-46AF-8E53-7D1B8F2E7DC3}"/>
    <cellStyle name="Normal 4 6 4 2 3" xfId="5188" xr:uid="{00000000-0005-0000-0000-00007F160000}"/>
    <cellStyle name="Normal 4 6 4 2 3 2" xfId="13638" xr:uid="{0503009B-1401-4456-8A12-0389AAC915A0}"/>
    <cellStyle name="Normal 4 6 4 2 4" xfId="9420" xr:uid="{52AAC088-0028-4E30-96E8-565A4494E4DE}"/>
    <cellStyle name="Normal 4 6 4 3" xfId="1294" xr:uid="{00000000-0005-0000-0000-000080160000}"/>
    <cellStyle name="Normal 4 6 4 3 2" xfId="3524" xr:uid="{00000000-0005-0000-0000-000081160000}"/>
    <cellStyle name="Normal 4 6 4 3 2 2" xfId="7746" xr:uid="{00000000-0005-0000-0000-000082160000}"/>
    <cellStyle name="Normal 4 6 4 3 2 2 2" xfId="16196" xr:uid="{1A035DB2-0B58-4F9B-AC4C-6A2C5AD1424D}"/>
    <cellStyle name="Normal 4 6 4 3 2 3" xfId="11978" xr:uid="{B590649D-7523-4CBC-B5B0-3FBD28EB7A07}"/>
    <cellStyle name="Normal 4 6 4 3 3" xfId="5601" xr:uid="{00000000-0005-0000-0000-000083160000}"/>
    <cellStyle name="Normal 4 6 4 3 3 2" xfId="14051" xr:uid="{6B711180-52B2-4C37-BA28-4B122AF7EAC4}"/>
    <cellStyle name="Normal 4 6 4 3 4" xfId="9833" xr:uid="{1CC09F46-370D-4DC4-A7E3-2423494EC138}"/>
    <cellStyle name="Normal 4 6 4 4" xfId="1707" xr:uid="{00000000-0005-0000-0000-000084160000}"/>
    <cellStyle name="Normal 4 6 4 4 2" xfId="3937" xr:uid="{00000000-0005-0000-0000-000085160000}"/>
    <cellStyle name="Normal 4 6 4 4 2 2" xfId="8159" xr:uid="{00000000-0005-0000-0000-000086160000}"/>
    <cellStyle name="Normal 4 6 4 4 2 2 2" xfId="16609" xr:uid="{4E5918A2-9301-48D8-A144-6B8B0926CEB3}"/>
    <cellStyle name="Normal 4 6 4 4 2 3" xfId="12391" xr:uid="{1062812A-FFCA-4B7D-9E49-997E754268A2}"/>
    <cellStyle name="Normal 4 6 4 4 3" xfId="6014" xr:uid="{00000000-0005-0000-0000-000087160000}"/>
    <cellStyle name="Normal 4 6 4 4 3 2" xfId="14464" xr:uid="{0AC48F62-5F38-4CE5-B20D-76F4D8C302D8}"/>
    <cellStyle name="Normal 4 6 4 4 4" xfId="10246" xr:uid="{C9C5FDA9-97FF-4643-9FAE-C16913B372B0}"/>
    <cellStyle name="Normal 4 6 4 5" xfId="2121" xr:uid="{00000000-0005-0000-0000-000088160000}"/>
    <cellStyle name="Normal 4 6 4 5 2" xfId="4350" xr:uid="{00000000-0005-0000-0000-000089160000}"/>
    <cellStyle name="Normal 4 6 4 5 2 2" xfId="8572" xr:uid="{00000000-0005-0000-0000-00008A160000}"/>
    <cellStyle name="Normal 4 6 4 5 2 2 2" xfId="17022" xr:uid="{97BAC791-0B13-4D63-AC5E-0FC2D91F0593}"/>
    <cellStyle name="Normal 4 6 4 5 2 3" xfId="12804" xr:uid="{6DB9A81C-C606-489A-B107-BD14E4212F0E}"/>
    <cellStyle name="Normal 4 6 4 5 3" xfId="6427" xr:uid="{00000000-0005-0000-0000-00008B160000}"/>
    <cellStyle name="Normal 4 6 4 5 3 2" xfId="14877" xr:uid="{96DD693F-D3B7-44AC-828F-ECFE820889AF}"/>
    <cellStyle name="Normal 4 6 4 5 4" xfId="10659" xr:uid="{1AE616FA-F6EA-4CE8-AC5D-D549AA6F2700}"/>
    <cellStyle name="Normal 4 6 4 6" xfId="2557" xr:uid="{00000000-0005-0000-0000-00008C160000}"/>
    <cellStyle name="Normal 4 6 4 6 2" xfId="6840" xr:uid="{00000000-0005-0000-0000-00008D160000}"/>
    <cellStyle name="Normal 4 6 4 6 2 2" xfId="15290" xr:uid="{CBAD3105-7E9A-4EB5-B27B-ABB721095872}"/>
    <cellStyle name="Normal 4 6 4 6 3" xfId="11072" xr:uid="{97982C71-CFEA-42B3-8F89-A5DE46A6ECB4}"/>
    <cellStyle name="Normal 4 6 4 7" xfId="4775" xr:uid="{00000000-0005-0000-0000-00008E160000}"/>
    <cellStyle name="Normal 4 6 4 7 2" xfId="13225" xr:uid="{C2A8C004-38D5-4EEC-AA89-65C4B177E76C}"/>
    <cellStyle name="Normal 4 6 4 8" xfId="9007" xr:uid="{4AAB2BB7-0BEC-4598-8714-4A298745D175}"/>
    <cellStyle name="Normal 4 6 5" xfId="869" xr:uid="{00000000-0005-0000-0000-00008F160000}"/>
    <cellStyle name="Normal 4 6 5 2" xfId="3104" xr:uid="{00000000-0005-0000-0000-000090160000}"/>
    <cellStyle name="Normal 4 6 5 2 2" xfId="7326" xr:uid="{00000000-0005-0000-0000-000091160000}"/>
    <cellStyle name="Normal 4 6 5 2 2 2" xfId="15776" xr:uid="{21874780-3027-42AC-A7AF-E7B1244EA3FC}"/>
    <cellStyle name="Normal 4 6 5 2 3" xfId="11558" xr:uid="{194A5658-D125-414C-A26D-FCDECC9BACEF}"/>
    <cellStyle name="Normal 4 6 5 3" xfId="5181" xr:uid="{00000000-0005-0000-0000-000092160000}"/>
    <cellStyle name="Normal 4 6 5 3 2" xfId="13631" xr:uid="{D2714385-5896-44C6-A9CB-4ACA3EF0A15D}"/>
    <cellStyle name="Normal 4 6 5 4" xfId="9413" xr:uid="{568FEC75-6A06-4B44-993F-C6132F4B2F6D}"/>
    <cellStyle name="Normal 4 6 6" xfId="1287" xr:uid="{00000000-0005-0000-0000-000093160000}"/>
    <cellStyle name="Normal 4 6 6 2" xfId="3517" xr:uid="{00000000-0005-0000-0000-000094160000}"/>
    <cellStyle name="Normal 4 6 6 2 2" xfId="7739" xr:uid="{00000000-0005-0000-0000-000095160000}"/>
    <cellStyle name="Normal 4 6 6 2 2 2" xfId="16189" xr:uid="{4D50EAC0-820A-41B4-9216-970A595BBA42}"/>
    <cellStyle name="Normal 4 6 6 2 3" xfId="11971" xr:uid="{9110308E-073A-4851-B48E-8DD532FDA8B1}"/>
    <cellStyle name="Normal 4 6 6 3" xfId="5594" xr:uid="{00000000-0005-0000-0000-000096160000}"/>
    <cellStyle name="Normal 4 6 6 3 2" xfId="14044" xr:uid="{D228CB10-3A7C-4FF5-8834-5B0D5FF5F759}"/>
    <cellStyle name="Normal 4 6 6 4" xfId="9826" xr:uid="{3B267EC9-8923-41B1-849C-31CDF98FB785}"/>
    <cellStyle name="Normal 4 6 7" xfId="1700" xr:uid="{00000000-0005-0000-0000-000097160000}"/>
    <cellStyle name="Normal 4 6 7 2" xfId="3930" xr:uid="{00000000-0005-0000-0000-000098160000}"/>
    <cellStyle name="Normal 4 6 7 2 2" xfId="8152" xr:uid="{00000000-0005-0000-0000-000099160000}"/>
    <cellStyle name="Normal 4 6 7 2 2 2" xfId="16602" xr:uid="{49F7F9CB-8BDB-47C8-A943-1CB355495E5D}"/>
    <cellStyle name="Normal 4 6 7 2 3" xfId="12384" xr:uid="{4FB30CAA-6989-4BB4-9FEB-E7C7D5BF07A9}"/>
    <cellStyle name="Normal 4 6 7 3" xfId="6007" xr:uid="{00000000-0005-0000-0000-00009A160000}"/>
    <cellStyle name="Normal 4 6 7 3 2" xfId="14457" xr:uid="{A627F435-22C0-4E24-9FCB-D843AFA381A9}"/>
    <cellStyle name="Normal 4 6 7 4" xfId="10239" xr:uid="{617A0B01-A873-4DE9-9D58-827C728BBF4E}"/>
    <cellStyle name="Normal 4 6 8" xfId="2114" xr:uid="{00000000-0005-0000-0000-00009B160000}"/>
    <cellStyle name="Normal 4 6 8 2" xfId="4343" xr:uid="{00000000-0005-0000-0000-00009C160000}"/>
    <cellStyle name="Normal 4 6 8 2 2" xfId="8565" xr:uid="{00000000-0005-0000-0000-00009D160000}"/>
    <cellStyle name="Normal 4 6 8 2 2 2" xfId="17015" xr:uid="{EAE0C792-5DD8-4083-A8E4-DF64F8BC1B36}"/>
    <cellStyle name="Normal 4 6 8 2 3" xfId="12797" xr:uid="{2C7FD0E4-B8CE-44A6-9B88-31C7A7BDCBE5}"/>
    <cellStyle name="Normal 4 6 8 3" xfId="6420" xr:uid="{00000000-0005-0000-0000-00009E160000}"/>
    <cellStyle name="Normal 4 6 8 3 2" xfId="14870" xr:uid="{93AC3478-1D9F-454C-8B79-E28619C0DA4A}"/>
    <cellStyle name="Normal 4 6 8 4" xfId="10652" xr:uid="{F76AFC18-EBA0-409B-AEC5-F79EDA43D380}"/>
    <cellStyle name="Normal 4 6 9" xfId="2550" xr:uid="{00000000-0005-0000-0000-00009F160000}"/>
    <cellStyle name="Normal 4 6 9 2" xfId="6833" xr:uid="{00000000-0005-0000-0000-0000A0160000}"/>
    <cellStyle name="Normal 4 6 9 2 2" xfId="15283" xr:uid="{85DA5528-68CF-41E6-A976-7A20039C1161}"/>
    <cellStyle name="Normal 4 6 9 3" xfId="11065" xr:uid="{27F3538F-3446-4B2F-943B-85BC15C79DDA}"/>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5785" xr:uid="{6B41355F-85AD-4A46-94C6-59C53A4D7BCF}"/>
    <cellStyle name="Normal 4 7 2 2 2 3" xfId="11567" xr:uid="{2996DE86-283C-4EBC-BEB2-E6056FDA75A7}"/>
    <cellStyle name="Normal 4 7 2 2 3" xfId="5190" xr:uid="{00000000-0005-0000-0000-0000A6160000}"/>
    <cellStyle name="Normal 4 7 2 2 3 2" xfId="13640" xr:uid="{9CB884C8-5201-47EA-A9C0-D367C919CBEE}"/>
    <cellStyle name="Normal 4 7 2 2 4" xfId="9422" xr:uid="{05541963-8EC9-4ECD-A4FE-E5A4E3ADE34E}"/>
    <cellStyle name="Normal 4 7 2 3" xfId="1296" xr:uid="{00000000-0005-0000-0000-0000A7160000}"/>
    <cellStyle name="Normal 4 7 2 3 2" xfId="3526" xr:uid="{00000000-0005-0000-0000-0000A8160000}"/>
    <cellStyle name="Normal 4 7 2 3 2 2" xfId="7748" xr:uid="{00000000-0005-0000-0000-0000A9160000}"/>
    <cellStyle name="Normal 4 7 2 3 2 2 2" xfId="16198" xr:uid="{6A59BC55-16A8-40BA-B216-8B101457B1F7}"/>
    <cellStyle name="Normal 4 7 2 3 2 3" xfId="11980" xr:uid="{5ADAAC60-71ED-42E9-8967-B148C4C13C11}"/>
    <cellStyle name="Normal 4 7 2 3 3" xfId="5603" xr:uid="{00000000-0005-0000-0000-0000AA160000}"/>
    <cellStyle name="Normal 4 7 2 3 3 2" xfId="14053" xr:uid="{EFBF2CFF-6114-49CE-94A7-C6A7526FD59B}"/>
    <cellStyle name="Normal 4 7 2 3 4" xfId="9835" xr:uid="{0EA0A9E7-EB13-4DEC-9EF3-D800D2D43619}"/>
    <cellStyle name="Normal 4 7 2 4" xfId="1709" xr:uid="{00000000-0005-0000-0000-0000AB160000}"/>
    <cellStyle name="Normal 4 7 2 4 2" xfId="3939" xr:uid="{00000000-0005-0000-0000-0000AC160000}"/>
    <cellStyle name="Normal 4 7 2 4 2 2" xfId="8161" xr:uid="{00000000-0005-0000-0000-0000AD160000}"/>
    <cellStyle name="Normal 4 7 2 4 2 2 2" xfId="16611" xr:uid="{CBF26633-11EE-4E0B-8755-F75C85D2D5D5}"/>
    <cellStyle name="Normal 4 7 2 4 2 3" xfId="12393" xr:uid="{2439B90F-D417-4363-87A4-4E1D00221E55}"/>
    <cellStyle name="Normal 4 7 2 4 3" xfId="6016" xr:uid="{00000000-0005-0000-0000-0000AE160000}"/>
    <cellStyle name="Normal 4 7 2 4 3 2" xfId="14466" xr:uid="{DC85E8C9-632D-43E5-9F39-387B201D2EE2}"/>
    <cellStyle name="Normal 4 7 2 4 4" xfId="10248" xr:uid="{3EDC0987-FF48-4F46-AD28-DAF5C68E818C}"/>
    <cellStyle name="Normal 4 7 2 5" xfId="2123" xr:uid="{00000000-0005-0000-0000-0000AF160000}"/>
    <cellStyle name="Normal 4 7 2 5 2" xfId="4352" xr:uid="{00000000-0005-0000-0000-0000B0160000}"/>
    <cellStyle name="Normal 4 7 2 5 2 2" xfId="8574" xr:uid="{00000000-0005-0000-0000-0000B1160000}"/>
    <cellStyle name="Normal 4 7 2 5 2 2 2" xfId="17024" xr:uid="{A0AEC5A6-727F-4620-85B0-122BC847F941}"/>
    <cellStyle name="Normal 4 7 2 5 2 3" xfId="12806" xr:uid="{008541DC-65A5-4BB4-8041-16C982B45687}"/>
    <cellStyle name="Normal 4 7 2 5 3" xfId="6429" xr:uid="{00000000-0005-0000-0000-0000B2160000}"/>
    <cellStyle name="Normal 4 7 2 5 3 2" xfId="14879" xr:uid="{85EF786C-B3B7-4FB0-B991-83D9D036903E}"/>
    <cellStyle name="Normal 4 7 2 5 4" xfId="10661" xr:uid="{1F426854-378A-438B-AC28-A2387156B661}"/>
    <cellStyle name="Normal 4 7 2 6" xfId="2559" xr:uid="{00000000-0005-0000-0000-0000B3160000}"/>
    <cellStyle name="Normal 4 7 2 6 2" xfId="6842" xr:uid="{00000000-0005-0000-0000-0000B4160000}"/>
    <cellStyle name="Normal 4 7 2 6 2 2" xfId="15292" xr:uid="{A71A6116-B6FE-4A0C-978C-9D811399D054}"/>
    <cellStyle name="Normal 4 7 2 6 3" xfId="11074" xr:uid="{AC880C76-BC97-48F2-BC47-3061A092152C}"/>
    <cellStyle name="Normal 4 7 2 7" xfId="4777" xr:uid="{00000000-0005-0000-0000-0000B5160000}"/>
    <cellStyle name="Normal 4 7 2 7 2" xfId="13227" xr:uid="{9788361A-E992-4C2F-AA51-1A695E105487}"/>
    <cellStyle name="Normal 4 7 2 8" xfId="9009" xr:uid="{C82D0D68-67FF-482E-8CA9-7EF214772068}"/>
    <cellStyle name="Normal 4 7 3" xfId="877" xr:uid="{00000000-0005-0000-0000-0000B6160000}"/>
    <cellStyle name="Normal 4 7 3 2" xfId="3112" xr:uid="{00000000-0005-0000-0000-0000B7160000}"/>
    <cellStyle name="Normal 4 7 3 2 2" xfId="7334" xr:uid="{00000000-0005-0000-0000-0000B8160000}"/>
    <cellStyle name="Normal 4 7 3 2 2 2" xfId="15784" xr:uid="{623E8048-9EBC-4161-94EC-01D5F50E30CC}"/>
    <cellStyle name="Normal 4 7 3 2 3" xfId="11566" xr:uid="{C6D054AC-D41B-49F1-B36C-AD5782B1D974}"/>
    <cellStyle name="Normal 4 7 3 3" xfId="5189" xr:uid="{00000000-0005-0000-0000-0000B9160000}"/>
    <cellStyle name="Normal 4 7 3 3 2" xfId="13639" xr:uid="{8C430DBC-4460-42B4-8A7B-06054BE65EAA}"/>
    <cellStyle name="Normal 4 7 3 4" xfId="9421" xr:uid="{7EF23732-8547-4791-918F-69F6C1037369}"/>
    <cellStyle name="Normal 4 7 4" xfId="1295" xr:uid="{00000000-0005-0000-0000-0000BA160000}"/>
    <cellStyle name="Normal 4 7 4 2" xfId="3525" xr:uid="{00000000-0005-0000-0000-0000BB160000}"/>
    <cellStyle name="Normal 4 7 4 2 2" xfId="7747" xr:uid="{00000000-0005-0000-0000-0000BC160000}"/>
    <cellStyle name="Normal 4 7 4 2 2 2" xfId="16197" xr:uid="{A72DE447-CDA6-4E19-BC8B-B12548EE2E35}"/>
    <cellStyle name="Normal 4 7 4 2 3" xfId="11979" xr:uid="{91CDF3C9-8311-409F-8D77-460C1E7E9DD7}"/>
    <cellStyle name="Normal 4 7 4 3" xfId="5602" xr:uid="{00000000-0005-0000-0000-0000BD160000}"/>
    <cellStyle name="Normal 4 7 4 3 2" xfId="14052" xr:uid="{D56FE901-4271-472A-9A37-A733309B6149}"/>
    <cellStyle name="Normal 4 7 4 4" xfId="9834" xr:uid="{0DC7D445-0FC1-438C-AD31-00D1A5BAB3D7}"/>
    <cellStyle name="Normal 4 7 5" xfId="1708" xr:uid="{00000000-0005-0000-0000-0000BE160000}"/>
    <cellStyle name="Normal 4 7 5 2" xfId="3938" xr:uid="{00000000-0005-0000-0000-0000BF160000}"/>
    <cellStyle name="Normal 4 7 5 2 2" xfId="8160" xr:uid="{00000000-0005-0000-0000-0000C0160000}"/>
    <cellStyle name="Normal 4 7 5 2 2 2" xfId="16610" xr:uid="{A7238DF1-F7E0-4BC5-8AA2-6D19225F8494}"/>
    <cellStyle name="Normal 4 7 5 2 3" xfId="12392" xr:uid="{6B0C99FD-842C-43C0-A698-EB8E149BBE20}"/>
    <cellStyle name="Normal 4 7 5 3" xfId="6015" xr:uid="{00000000-0005-0000-0000-0000C1160000}"/>
    <cellStyle name="Normal 4 7 5 3 2" xfId="14465" xr:uid="{4E112816-2122-46C2-92F1-88CB3C67E3E4}"/>
    <cellStyle name="Normal 4 7 5 4" xfId="10247" xr:uid="{3C744979-03A1-475D-BC72-7FF2BF218B41}"/>
    <cellStyle name="Normal 4 7 6" xfId="2122" xr:uid="{00000000-0005-0000-0000-0000C2160000}"/>
    <cellStyle name="Normal 4 7 6 2" xfId="4351" xr:uid="{00000000-0005-0000-0000-0000C3160000}"/>
    <cellStyle name="Normal 4 7 6 2 2" xfId="8573" xr:uid="{00000000-0005-0000-0000-0000C4160000}"/>
    <cellStyle name="Normal 4 7 6 2 2 2" xfId="17023" xr:uid="{BCAD41F3-FAFF-44C8-A888-5B8EF6ECB6B4}"/>
    <cellStyle name="Normal 4 7 6 2 3" xfId="12805" xr:uid="{46294E91-A9AA-4171-BEF4-F18674F628A7}"/>
    <cellStyle name="Normal 4 7 6 3" xfId="6428" xr:uid="{00000000-0005-0000-0000-0000C5160000}"/>
    <cellStyle name="Normal 4 7 6 3 2" xfId="14878" xr:uid="{228C20BD-F267-44D7-BE3A-EC18E4CD50BC}"/>
    <cellStyle name="Normal 4 7 6 4" xfId="10660" xr:uid="{5F750695-DBB6-4AEB-B884-4149FE18C0C7}"/>
    <cellStyle name="Normal 4 7 7" xfId="2558" xr:uid="{00000000-0005-0000-0000-0000C6160000}"/>
    <cellStyle name="Normal 4 7 7 2" xfId="6841" xr:uid="{00000000-0005-0000-0000-0000C7160000}"/>
    <cellStyle name="Normal 4 7 7 2 2" xfId="15291" xr:uid="{8B9C2CAB-7A85-453E-A3A8-1CCA266AA854}"/>
    <cellStyle name="Normal 4 7 7 3" xfId="11073" xr:uid="{F4BD7016-2CC5-4D72-8BE8-7FBC1D286B66}"/>
    <cellStyle name="Normal 4 7 8" xfId="4776" xr:uid="{00000000-0005-0000-0000-0000C8160000}"/>
    <cellStyle name="Normal 4 7 8 2" xfId="13226" xr:uid="{E9D73231-E9D0-4758-B8C0-7CD31C2E389F}"/>
    <cellStyle name="Normal 4 7 9" xfId="9008" xr:uid="{104A7E93-BA9C-4D55-AD14-955962955848}"/>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5786" xr:uid="{7F5101DF-DE86-415F-9ABA-96A3E0C698B5}"/>
    <cellStyle name="Normal 4 8 2 2 3" xfId="11568" xr:uid="{07416C3A-B1F0-445E-91A5-F1835340856C}"/>
    <cellStyle name="Normal 4 8 2 3" xfId="5191" xr:uid="{00000000-0005-0000-0000-0000CD160000}"/>
    <cellStyle name="Normal 4 8 2 3 2" xfId="13641" xr:uid="{58AE9849-48CC-40AA-89DD-4DDDB97BC290}"/>
    <cellStyle name="Normal 4 8 2 4" xfId="9423" xr:uid="{AC0B217C-B8B3-4338-A84D-DCDB84E3FE28}"/>
    <cellStyle name="Normal 4 8 3" xfId="1297" xr:uid="{00000000-0005-0000-0000-0000CE160000}"/>
    <cellStyle name="Normal 4 8 3 2" xfId="3527" xr:uid="{00000000-0005-0000-0000-0000CF160000}"/>
    <cellStyle name="Normal 4 8 3 2 2" xfId="7749" xr:uid="{00000000-0005-0000-0000-0000D0160000}"/>
    <cellStyle name="Normal 4 8 3 2 2 2" xfId="16199" xr:uid="{7EB42258-4491-4B81-BB04-1AFCF079666F}"/>
    <cellStyle name="Normal 4 8 3 2 3" xfId="11981" xr:uid="{88A443F2-9EFB-4C0F-95B9-DC594FCF5236}"/>
    <cellStyle name="Normal 4 8 3 3" xfId="5604" xr:uid="{00000000-0005-0000-0000-0000D1160000}"/>
    <cellStyle name="Normal 4 8 3 3 2" xfId="14054" xr:uid="{7C7CD21F-AD2F-4D76-AAEF-8A7AFD13926F}"/>
    <cellStyle name="Normal 4 8 3 4" xfId="9836" xr:uid="{5380833E-8DC2-4CAA-9977-C0745ABF029A}"/>
    <cellStyle name="Normal 4 8 4" xfId="1710" xr:uid="{00000000-0005-0000-0000-0000D2160000}"/>
    <cellStyle name="Normal 4 8 4 2" xfId="3940" xr:uid="{00000000-0005-0000-0000-0000D3160000}"/>
    <cellStyle name="Normal 4 8 4 2 2" xfId="8162" xr:uid="{00000000-0005-0000-0000-0000D4160000}"/>
    <cellStyle name="Normal 4 8 4 2 2 2" xfId="16612" xr:uid="{5FA17339-A29A-40FB-9967-6AD2DC6956BA}"/>
    <cellStyle name="Normal 4 8 4 2 3" xfId="12394" xr:uid="{77F89E2D-B20D-4CA2-AC3F-EFAA25B64EBF}"/>
    <cellStyle name="Normal 4 8 4 3" xfId="6017" xr:uid="{00000000-0005-0000-0000-0000D5160000}"/>
    <cellStyle name="Normal 4 8 4 3 2" xfId="14467" xr:uid="{3A4D687C-F16F-4AEB-A875-49A55A239F7E}"/>
    <cellStyle name="Normal 4 8 4 4" xfId="10249" xr:uid="{7ACFDF34-512D-4292-B371-975AB89457CB}"/>
    <cellStyle name="Normal 4 8 5" xfId="2124" xr:uid="{00000000-0005-0000-0000-0000D6160000}"/>
    <cellStyle name="Normal 4 8 5 2" xfId="4353" xr:uid="{00000000-0005-0000-0000-0000D7160000}"/>
    <cellStyle name="Normal 4 8 5 2 2" xfId="8575" xr:uid="{00000000-0005-0000-0000-0000D8160000}"/>
    <cellStyle name="Normal 4 8 5 2 2 2" xfId="17025" xr:uid="{B478B128-776A-419D-A8BC-2ADAE7C4236C}"/>
    <cellStyle name="Normal 4 8 5 2 3" xfId="12807" xr:uid="{B3E934AB-98B0-4C64-863B-EC6AF05503A4}"/>
    <cellStyle name="Normal 4 8 5 3" xfId="6430" xr:uid="{00000000-0005-0000-0000-0000D9160000}"/>
    <cellStyle name="Normal 4 8 5 3 2" xfId="14880" xr:uid="{E42840C6-5155-4CD4-8A56-322627FA706E}"/>
    <cellStyle name="Normal 4 8 5 4" xfId="10662" xr:uid="{025638DF-2354-4E17-8BB1-F919EB8D1108}"/>
    <cellStyle name="Normal 4 8 6" xfId="2560" xr:uid="{00000000-0005-0000-0000-0000DA160000}"/>
    <cellStyle name="Normal 4 8 6 2" xfId="6843" xr:uid="{00000000-0005-0000-0000-0000DB160000}"/>
    <cellStyle name="Normal 4 8 6 2 2" xfId="15293" xr:uid="{392E5D42-302D-48BD-AC15-014C1D5B9777}"/>
    <cellStyle name="Normal 4 8 6 3" xfId="11075" xr:uid="{1747CF86-BBED-4EA8-8A29-BF8D9CD7519A}"/>
    <cellStyle name="Normal 4 8 7" xfId="4778" xr:uid="{00000000-0005-0000-0000-0000DC160000}"/>
    <cellStyle name="Normal 4 8 7 2" xfId="13228" xr:uid="{8ABBE599-78C0-4E59-B513-C66C980D73DF}"/>
    <cellStyle name="Normal 4 8 8" xfId="9010" xr:uid="{4F65508D-B943-4548-9FDA-B09CEA9AEF51}"/>
    <cellStyle name="Normal 4 9" xfId="4715" xr:uid="{00000000-0005-0000-0000-0000DD160000}"/>
    <cellStyle name="Normal 4 9 2" xfId="13165" xr:uid="{7F3B94D3-A92C-4B84-A0E4-24C6B6D886CD}"/>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6613" xr:uid="{56B91630-1AE4-4BC9-9B57-875DBFD532B5}"/>
    <cellStyle name="Normal 5 10 2 3" xfId="12395" xr:uid="{9B41723E-79F0-4B7B-93D0-77E4A85177A3}"/>
    <cellStyle name="Normal 5 10 3" xfId="6018" xr:uid="{00000000-0005-0000-0000-0000E2160000}"/>
    <cellStyle name="Normal 5 10 3 2" xfId="14468" xr:uid="{7C2F2D09-D129-439C-9A25-93AD21E5B5CD}"/>
    <cellStyle name="Normal 5 10 4" xfId="10250" xr:uid="{53391839-2AFB-47AA-996B-86121D73633E}"/>
    <cellStyle name="Normal 5 11" xfId="2125" xr:uid="{00000000-0005-0000-0000-0000E3160000}"/>
    <cellStyle name="Normal 5 11 2" xfId="4354" xr:uid="{00000000-0005-0000-0000-0000E4160000}"/>
    <cellStyle name="Normal 5 11 2 2" xfId="8576" xr:uid="{00000000-0005-0000-0000-0000E5160000}"/>
    <cellStyle name="Normal 5 11 2 2 2" xfId="17026" xr:uid="{2E3C629A-8135-4F14-A8DE-E0DB6E95A92F}"/>
    <cellStyle name="Normal 5 11 2 3" xfId="12808" xr:uid="{218AFF6A-F6F6-4925-8BD7-ADBA88F99D9C}"/>
    <cellStyle name="Normal 5 11 3" xfId="6431" xr:uid="{00000000-0005-0000-0000-0000E6160000}"/>
    <cellStyle name="Normal 5 11 3 2" xfId="14881" xr:uid="{51EE39D3-54A2-4859-9955-D4D18D80E6BE}"/>
    <cellStyle name="Normal 5 11 4" xfId="10663" xr:uid="{102AF1A4-3BFF-4683-9374-D7E89D0FA2C6}"/>
    <cellStyle name="Normal 5 12" xfId="2561" xr:uid="{00000000-0005-0000-0000-0000E7160000}"/>
    <cellStyle name="Normal 5 12 2" xfId="6844" xr:uid="{00000000-0005-0000-0000-0000E8160000}"/>
    <cellStyle name="Normal 5 12 2 2" xfId="15294" xr:uid="{16BA155F-7721-4BFD-9329-B829F4D30EF5}"/>
    <cellStyle name="Normal 5 12 3" xfId="11076" xr:uid="{F4782877-C6A0-41C8-A284-B9397C6FC234}"/>
    <cellStyle name="Normal 5 13" xfId="4779" xr:uid="{00000000-0005-0000-0000-0000E9160000}"/>
    <cellStyle name="Normal 5 13 2" xfId="13229" xr:uid="{B46A1852-B022-46BF-AF55-79EAEDD0C334}"/>
    <cellStyle name="Normal 5 14" xfId="9011" xr:uid="{CBD4FA4E-99B1-46FF-A335-C0F01DDABCC9}"/>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027" xr:uid="{5C44B5B0-1983-4BC5-AE63-6EF0F964877A}"/>
    <cellStyle name="Normal 5 2 10 2 3" xfId="12809" xr:uid="{4AB3893A-E94E-480B-B3A4-7643551F3CD4}"/>
    <cellStyle name="Normal 5 2 10 3" xfId="6432" xr:uid="{00000000-0005-0000-0000-0000EE160000}"/>
    <cellStyle name="Normal 5 2 10 3 2" xfId="14882" xr:uid="{337A56E5-F56A-40BE-B5FD-4EA675CA8584}"/>
    <cellStyle name="Normal 5 2 10 4" xfId="10664" xr:uid="{FC28DEE5-BBC3-4A3B-879B-2B3588BD95A3}"/>
    <cellStyle name="Normal 5 2 11" xfId="2562" xr:uid="{00000000-0005-0000-0000-0000EF160000}"/>
    <cellStyle name="Normal 5 2 11 2" xfId="6845" xr:uid="{00000000-0005-0000-0000-0000F0160000}"/>
    <cellStyle name="Normal 5 2 11 2 2" xfId="15295" xr:uid="{E5CEE748-B1FA-4DD0-AE4C-169C0E942276}"/>
    <cellStyle name="Normal 5 2 11 3" xfId="11077" xr:uid="{6EBC2589-22DE-425C-865E-714D2D3131F4}"/>
    <cellStyle name="Normal 5 2 12" xfId="4780" xr:uid="{00000000-0005-0000-0000-0000F1160000}"/>
    <cellStyle name="Normal 5 2 12 2" xfId="13230" xr:uid="{F894F6E4-A452-41D2-A0CC-286992CD671D}"/>
    <cellStyle name="Normal 5 2 13" xfId="9012" xr:uid="{A8EEB55F-843A-4F3A-A079-78A576006295}"/>
    <cellStyle name="Normal 5 2 2" xfId="408" xr:uid="{00000000-0005-0000-0000-0000F2160000}"/>
    <cellStyle name="Normal 5 2 2 10" xfId="2563" xr:uid="{00000000-0005-0000-0000-0000F3160000}"/>
    <cellStyle name="Normal 5 2 2 10 2" xfId="6846" xr:uid="{00000000-0005-0000-0000-0000F4160000}"/>
    <cellStyle name="Normal 5 2 2 10 2 2" xfId="15296" xr:uid="{D105F14A-D69A-484A-9D2B-34BF68BC5294}"/>
    <cellStyle name="Normal 5 2 2 10 3" xfId="11078" xr:uid="{B95088FE-1D04-408E-8B74-A435DB07B245}"/>
    <cellStyle name="Normal 5 2 2 11" xfId="4781" xr:uid="{00000000-0005-0000-0000-0000F5160000}"/>
    <cellStyle name="Normal 5 2 2 11 2" xfId="13231" xr:uid="{3807FBED-83BC-4A29-BF00-365F8E2FF2F2}"/>
    <cellStyle name="Normal 5 2 2 12" xfId="9013" xr:uid="{04AC6995-1331-4826-BBB2-2429B8F0D2B7}"/>
    <cellStyle name="Normal 5 2 2 2" xfId="409" xr:uid="{00000000-0005-0000-0000-0000F6160000}"/>
    <cellStyle name="Normal 5 2 2 2 10" xfId="4782" xr:uid="{00000000-0005-0000-0000-0000F7160000}"/>
    <cellStyle name="Normal 5 2 2 2 10 2" xfId="13232" xr:uid="{CD10786A-AF0F-41E2-A21F-7EF459546C29}"/>
    <cellStyle name="Normal 5 2 2 2 11" xfId="9014" xr:uid="{E8C9F393-E370-4B71-B146-0D18BD924733}"/>
    <cellStyle name="Normal 5 2 2 2 2" xfId="410" xr:uid="{00000000-0005-0000-0000-0000F8160000}"/>
    <cellStyle name="Normal 5 2 2 2 2 10" xfId="9015" xr:uid="{5A338EA1-8DD4-4DA4-8B0B-CDE20FA973D9}"/>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5793" xr:uid="{E3B438DB-EEA5-4D4C-8CE8-B86583F470E3}"/>
    <cellStyle name="Normal 5 2 2 2 2 2 2 2 2 3" xfId="11575" xr:uid="{1E6ECF86-9879-4010-99DB-DF5F4954AF76}"/>
    <cellStyle name="Normal 5 2 2 2 2 2 2 2 3" xfId="5198" xr:uid="{00000000-0005-0000-0000-0000FE160000}"/>
    <cellStyle name="Normal 5 2 2 2 2 2 2 2 3 2" xfId="13648" xr:uid="{0D15716B-F6BA-4F0F-8B8D-1210A88B203B}"/>
    <cellStyle name="Normal 5 2 2 2 2 2 2 2 4" xfId="9430" xr:uid="{66D13887-2ADB-4B8C-8485-4B52A305EDA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6206" xr:uid="{B1E5D106-BAA5-42E2-BA2C-4784C23E96C5}"/>
    <cellStyle name="Normal 5 2 2 2 2 2 2 3 2 3" xfId="11988" xr:uid="{25ADD373-E984-4E4B-8934-34E8142EAE3A}"/>
    <cellStyle name="Normal 5 2 2 2 2 2 2 3 3" xfId="5611" xr:uid="{00000000-0005-0000-0000-000002170000}"/>
    <cellStyle name="Normal 5 2 2 2 2 2 2 3 3 2" xfId="14061" xr:uid="{6A423990-46E7-41CF-BBD0-21A0A8C7414A}"/>
    <cellStyle name="Normal 5 2 2 2 2 2 2 3 4" xfId="9843" xr:uid="{D7CBAC69-DF49-48B5-A436-576F0BE453E3}"/>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6619" xr:uid="{D4DB380B-FFEC-430F-8F39-365545DCCA7B}"/>
    <cellStyle name="Normal 5 2 2 2 2 2 2 4 2 3" xfId="12401" xr:uid="{FABEC5ED-3FA2-480C-AB93-D6E1239B5096}"/>
    <cellStyle name="Normal 5 2 2 2 2 2 2 4 3" xfId="6024" xr:uid="{00000000-0005-0000-0000-000006170000}"/>
    <cellStyle name="Normal 5 2 2 2 2 2 2 4 3 2" xfId="14474" xr:uid="{2DD75B24-0A75-4B4E-BCA4-71FD748924AD}"/>
    <cellStyle name="Normal 5 2 2 2 2 2 2 4 4" xfId="10256" xr:uid="{90670335-7B9C-44BF-852C-A6297662667F}"/>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032" xr:uid="{9D45641C-C933-4E69-8454-FDD6908F5C04}"/>
    <cellStyle name="Normal 5 2 2 2 2 2 2 5 2 3" xfId="12814" xr:uid="{F7520BD6-D6DA-496C-B69F-F6680A971C7C}"/>
    <cellStyle name="Normal 5 2 2 2 2 2 2 5 3" xfId="6437" xr:uid="{00000000-0005-0000-0000-00000A170000}"/>
    <cellStyle name="Normal 5 2 2 2 2 2 2 5 3 2" xfId="14887" xr:uid="{AE20B9B6-ED2D-4A15-B652-384785365315}"/>
    <cellStyle name="Normal 5 2 2 2 2 2 2 5 4" xfId="10669" xr:uid="{68AFC5D2-31CF-4E20-8DF7-B25C77B98424}"/>
    <cellStyle name="Normal 5 2 2 2 2 2 2 6" xfId="2567" xr:uid="{00000000-0005-0000-0000-00000B170000}"/>
    <cellStyle name="Normal 5 2 2 2 2 2 2 6 2" xfId="6850" xr:uid="{00000000-0005-0000-0000-00000C170000}"/>
    <cellStyle name="Normal 5 2 2 2 2 2 2 6 2 2" xfId="15300" xr:uid="{DD8B2631-F009-4EA1-B9D9-F26AD3A29D15}"/>
    <cellStyle name="Normal 5 2 2 2 2 2 2 6 3" xfId="11082" xr:uid="{B235BBBB-62A0-4D9C-A819-39DF214C6F4E}"/>
    <cellStyle name="Normal 5 2 2 2 2 2 2 7" xfId="4785" xr:uid="{00000000-0005-0000-0000-00000D170000}"/>
    <cellStyle name="Normal 5 2 2 2 2 2 2 7 2" xfId="13235" xr:uid="{D62E1351-8A22-4BBE-AE72-1DBED72C2D11}"/>
    <cellStyle name="Normal 5 2 2 2 2 2 2 8" xfId="9017" xr:uid="{77404CE9-02D5-415A-8D52-76C3ED0DBC99}"/>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5792" xr:uid="{52C5A8AD-0B7E-4010-BED4-016C73C094E2}"/>
    <cellStyle name="Normal 5 2 2 2 2 2 3 2 3" xfId="11574" xr:uid="{F00129B8-C6B2-45E7-8756-EAF9E5E4CABD}"/>
    <cellStyle name="Normal 5 2 2 2 2 2 3 3" xfId="5197" xr:uid="{00000000-0005-0000-0000-000011170000}"/>
    <cellStyle name="Normal 5 2 2 2 2 2 3 3 2" xfId="13647" xr:uid="{6D91FFA6-9E11-4632-A600-9B5C584B7AF8}"/>
    <cellStyle name="Normal 5 2 2 2 2 2 3 4" xfId="9429" xr:uid="{6A43BF97-6265-4303-8B58-69BF06E6998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6205" xr:uid="{B982A486-272D-499A-B9F2-5B55DAB0CFD2}"/>
    <cellStyle name="Normal 5 2 2 2 2 2 4 2 3" xfId="11987" xr:uid="{ABF007AE-3131-4983-AAC9-0EB89E4F63A8}"/>
    <cellStyle name="Normal 5 2 2 2 2 2 4 3" xfId="5610" xr:uid="{00000000-0005-0000-0000-000015170000}"/>
    <cellStyle name="Normal 5 2 2 2 2 2 4 3 2" xfId="14060" xr:uid="{2401FC7C-C28F-441A-B44A-8BE005461038}"/>
    <cellStyle name="Normal 5 2 2 2 2 2 4 4" xfId="9842" xr:uid="{41710C80-76DB-4ADA-82F6-48EE5AA75363}"/>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6618" xr:uid="{43CC1296-36B0-4AFF-9913-A8DB4AFB79DE}"/>
    <cellStyle name="Normal 5 2 2 2 2 2 5 2 3" xfId="12400" xr:uid="{831468E7-A81B-4E6D-895C-C209B0577B24}"/>
    <cellStyle name="Normal 5 2 2 2 2 2 5 3" xfId="6023" xr:uid="{00000000-0005-0000-0000-000019170000}"/>
    <cellStyle name="Normal 5 2 2 2 2 2 5 3 2" xfId="14473" xr:uid="{61DEA242-A150-40EC-A2C7-00120A578826}"/>
    <cellStyle name="Normal 5 2 2 2 2 2 5 4" xfId="10255" xr:uid="{130C286A-D069-4A0B-97DB-12BF007A1871}"/>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031" xr:uid="{9E13FCCE-337A-400B-8ACE-267A5FCA130A}"/>
    <cellStyle name="Normal 5 2 2 2 2 2 6 2 3" xfId="12813" xr:uid="{D56E6130-2E11-46E3-83F9-9A16FBA45D15}"/>
    <cellStyle name="Normal 5 2 2 2 2 2 6 3" xfId="6436" xr:uid="{00000000-0005-0000-0000-00001D170000}"/>
    <cellStyle name="Normal 5 2 2 2 2 2 6 3 2" xfId="14886" xr:uid="{052FB218-004B-489C-981C-D12B79ADB6F1}"/>
    <cellStyle name="Normal 5 2 2 2 2 2 6 4" xfId="10668" xr:uid="{C0DF1D0A-B612-4E88-93B3-B0F447179488}"/>
    <cellStyle name="Normal 5 2 2 2 2 2 7" xfId="2566" xr:uid="{00000000-0005-0000-0000-00001E170000}"/>
    <cellStyle name="Normal 5 2 2 2 2 2 7 2" xfId="6849" xr:uid="{00000000-0005-0000-0000-00001F170000}"/>
    <cellStyle name="Normal 5 2 2 2 2 2 7 2 2" xfId="15299" xr:uid="{24390086-2891-4096-9ED2-85A2FF08ABA7}"/>
    <cellStyle name="Normal 5 2 2 2 2 2 7 3" xfId="11081" xr:uid="{D7C29D2A-DB85-4E17-A28C-861A907E7673}"/>
    <cellStyle name="Normal 5 2 2 2 2 2 8" xfId="4784" xr:uid="{00000000-0005-0000-0000-000020170000}"/>
    <cellStyle name="Normal 5 2 2 2 2 2 8 2" xfId="13234" xr:uid="{BA74F205-C57D-455F-AD24-4B650F284194}"/>
    <cellStyle name="Normal 5 2 2 2 2 2 9" xfId="9016" xr:uid="{183A0C20-0696-4889-B1E7-233354D093F4}"/>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5794" xr:uid="{B706194F-9A6B-4978-BDAA-0B8AE18049EF}"/>
    <cellStyle name="Normal 5 2 2 2 2 3 2 2 3" xfId="11576" xr:uid="{C5D7D507-5562-4465-B420-D0C72AD60DAB}"/>
    <cellStyle name="Normal 5 2 2 2 2 3 2 3" xfId="5199" xr:uid="{00000000-0005-0000-0000-000025170000}"/>
    <cellStyle name="Normal 5 2 2 2 2 3 2 3 2" xfId="13649" xr:uid="{6C1EC790-7573-4B0F-9D65-EC8E7C42C227}"/>
    <cellStyle name="Normal 5 2 2 2 2 3 2 4" xfId="9431" xr:uid="{7494DCF5-C456-4CF2-8A35-6D8D2C3DF471}"/>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6207" xr:uid="{7F51B707-A387-4802-BE7A-57C4791560D9}"/>
    <cellStyle name="Normal 5 2 2 2 2 3 3 2 3" xfId="11989" xr:uid="{7434C82A-745A-40F7-9C09-FF1FC9438A49}"/>
    <cellStyle name="Normal 5 2 2 2 2 3 3 3" xfId="5612" xr:uid="{00000000-0005-0000-0000-000029170000}"/>
    <cellStyle name="Normal 5 2 2 2 2 3 3 3 2" xfId="14062" xr:uid="{6CF028BD-46A1-438B-BF98-4BC24AFAF9B0}"/>
    <cellStyle name="Normal 5 2 2 2 2 3 3 4" xfId="9844" xr:uid="{43C11D60-CA3C-46BF-B986-5D7E121B6764}"/>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6620" xr:uid="{251DF9C2-B562-434C-99EB-007652228CD1}"/>
    <cellStyle name="Normal 5 2 2 2 2 3 4 2 3" xfId="12402" xr:uid="{A86CE5E6-48CC-494F-B255-882A5A88A4D5}"/>
    <cellStyle name="Normal 5 2 2 2 2 3 4 3" xfId="6025" xr:uid="{00000000-0005-0000-0000-00002D170000}"/>
    <cellStyle name="Normal 5 2 2 2 2 3 4 3 2" xfId="14475" xr:uid="{7E508F11-B995-4BCD-8FF3-94829E2F6A60}"/>
    <cellStyle name="Normal 5 2 2 2 2 3 4 4" xfId="10257" xr:uid="{B5F9EAB2-38FC-44F7-AF6D-2887AD0BCE05}"/>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033" xr:uid="{FE0DFF22-D7A3-4F70-B557-3BC1F3D53583}"/>
    <cellStyle name="Normal 5 2 2 2 2 3 5 2 3" xfId="12815" xr:uid="{9424899C-0DED-43FF-901D-528E2E332AE3}"/>
    <cellStyle name="Normal 5 2 2 2 2 3 5 3" xfId="6438" xr:uid="{00000000-0005-0000-0000-000031170000}"/>
    <cellStyle name="Normal 5 2 2 2 2 3 5 3 2" xfId="14888" xr:uid="{CBEA9F1D-A360-4977-91C7-2E062B3CD90F}"/>
    <cellStyle name="Normal 5 2 2 2 2 3 5 4" xfId="10670" xr:uid="{1992CFB7-AFE4-4181-BA5F-8296D69CE3B0}"/>
    <cellStyle name="Normal 5 2 2 2 2 3 6" xfId="2568" xr:uid="{00000000-0005-0000-0000-000032170000}"/>
    <cellStyle name="Normal 5 2 2 2 2 3 6 2" xfId="6851" xr:uid="{00000000-0005-0000-0000-000033170000}"/>
    <cellStyle name="Normal 5 2 2 2 2 3 6 2 2" xfId="15301" xr:uid="{0AF8E2BE-495C-4AD0-ADE7-DA0A791D95A5}"/>
    <cellStyle name="Normal 5 2 2 2 2 3 6 3" xfId="11083" xr:uid="{FC4CA364-71B3-4D05-8879-E95F99292894}"/>
    <cellStyle name="Normal 5 2 2 2 2 3 7" xfId="4786" xr:uid="{00000000-0005-0000-0000-000034170000}"/>
    <cellStyle name="Normal 5 2 2 2 2 3 7 2" xfId="13236" xr:uid="{5E7A83EC-E66E-4772-A9C5-7080BD45E2C2}"/>
    <cellStyle name="Normal 5 2 2 2 2 3 8" xfId="9018" xr:uid="{92748149-4DB2-4810-A127-83F1FB30BE1A}"/>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5791" xr:uid="{68FBC584-690E-4686-94EB-69C6A471507B}"/>
    <cellStyle name="Normal 5 2 2 2 2 4 2 3" xfId="11573" xr:uid="{FDCB188E-55D2-4C24-B3D0-0763775116C0}"/>
    <cellStyle name="Normal 5 2 2 2 2 4 3" xfId="5196" xr:uid="{00000000-0005-0000-0000-000038170000}"/>
    <cellStyle name="Normal 5 2 2 2 2 4 3 2" xfId="13646" xr:uid="{AEA6954F-2799-40C7-B0F1-9E4DE2D1DBAF}"/>
    <cellStyle name="Normal 5 2 2 2 2 4 4" xfId="9428" xr:uid="{8033CE38-6817-40EB-888C-6329032E073F}"/>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6204" xr:uid="{5A25C975-EF84-4566-9448-4F6B03BDE303}"/>
    <cellStyle name="Normal 5 2 2 2 2 5 2 3" xfId="11986" xr:uid="{5641F15F-2E4E-4AD6-BD72-D03CA6DD6F12}"/>
    <cellStyle name="Normal 5 2 2 2 2 5 3" xfId="5609" xr:uid="{00000000-0005-0000-0000-00003C170000}"/>
    <cellStyle name="Normal 5 2 2 2 2 5 3 2" xfId="14059" xr:uid="{B92D2141-0910-4502-9036-BD868A328B45}"/>
    <cellStyle name="Normal 5 2 2 2 2 5 4" xfId="9841" xr:uid="{063E0ADF-BBC9-45A5-A95D-970BF741EB6C}"/>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6617" xr:uid="{D0CA2345-996F-4F08-BBBF-B7FAD52EE13C}"/>
    <cellStyle name="Normal 5 2 2 2 2 6 2 3" xfId="12399" xr:uid="{08601FDF-98FD-4870-B5B4-9183D6CA3E62}"/>
    <cellStyle name="Normal 5 2 2 2 2 6 3" xfId="6022" xr:uid="{00000000-0005-0000-0000-000040170000}"/>
    <cellStyle name="Normal 5 2 2 2 2 6 3 2" xfId="14472" xr:uid="{E811B5CA-22A9-4DD6-939D-A6CB73F5B458}"/>
    <cellStyle name="Normal 5 2 2 2 2 6 4" xfId="10254" xr:uid="{9F9664B3-A84C-4AD5-AB04-E50C0DC67FE9}"/>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030" xr:uid="{9917DCE4-FCDE-425D-A96C-A6A4EC00F024}"/>
    <cellStyle name="Normal 5 2 2 2 2 7 2 3" xfId="12812" xr:uid="{80DBC0DB-0AC1-42EE-8228-E06FC776917B}"/>
    <cellStyle name="Normal 5 2 2 2 2 7 3" xfId="6435" xr:uid="{00000000-0005-0000-0000-000044170000}"/>
    <cellStyle name="Normal 5 2 2 2 2 7 3 2" xfId="14885" xr:uid="{B9F90968-38F0-4D04-98C5-C8E26194B361}"/>
    <cellStyle name="Normal 5 2 2 2 2 7 4" xfId="10667" xr:uid="{E23E7C59-72FD-4F9C-A7AE-750A3705CE0D}"/>
    <cellStyle name="Normal 5 2 2 2 2 8" xfId="2565" xr:uid="{00000000-0005-0000-0000-000045170000}"/>
    <cellStyle name="Normal 5 2 2 2 2 8 2" xfId="6848" xr:uid="{00000000-0005-0000-0000-000046170000}"/>
    <cellStyle name="Normal 5 2 2 2 2 8 2 2" xfId="15298" xr:uid="{BF1002EB-10C5-4B74-91D0-AE5D63D078ED}"/>
    <cellStyle name="Normal 5 2 2 2 2 8 3" xfId="11080" xr:uid="{D32E1CDD-7334-41D7-9155-89C355BED37D}"/>
    <cellStyle name="Normal 5 2 2 2 2 9" xfId="4783" xr:uid="{00000000-0005-0000-0000-000047170000}"/>
    <cellStyle name="Normal 5 2 2 2 2 9 2" xfId="13233" xr:uid="{80FBA7EA-FB21-4495-9DBB-BDB8AD191EAF}"/>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5796" xr:uid="{DAFD16E1-7BC5-4019-B012-1B59F1817E20}"/>
    <cellStyle name="Normal 5 2 2 2 3 2 2 2 3" xfId="11578" xr:uid="{B1B0E869-6F57-46ED-BC32-479A985BA4EA}"/>
    <cellStyle name="Normal 5 2 2 2 3 2 2 3" xfId="5201" xr:uid="{00000000-0005-0000-0000-00004D170000}"/>
    <cellStyle name="Normal 5 2 2 2 3 2 2 3 2" xfId="13651" xr:uid="{82241DB0-786B-42A6-9BD8-13EEF3ACD2D3}"/>
    <cellStyle name="Normal 5 2 2 2 3 2 2 4" xfId="9433" xr:uid="{47BB1530-E13A-45E7-8F69-5024E8039A9D}"/>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6209" xr:uid="{0F8D48BF-BA99-437F-A4FA-D815A79124C6}"/>
    <cellStyle name="Normal 5 2 2 2 3 2 3 2 3" xfId="11991" xr:uid="{10B2137C-86A4-4E2D-83A9-9CC8E954B3D0}"/>
    <cellStyle name="Normal 5 2 2 2 3 2 3 3" xfId="5614" xr:uid="{00000000-0005-0000-0000-000051170000}"/>
    <cellStyle name="Normal 5 2 2 2 3 2 3 3 2" xfId="14064" xr:uid="{4C3358EC-894D-4D88-AC35-7D8B3D851921}"/>
    <cellStyle name="Normal 5 2 2 2 3 2 3 4" xfId="9846" xr:uid="{6427D370-0B13-4AD1-97A6-347C2EDDD5A1}"/>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6622" xr:uid="{C355BB7C-42D3-405E-A9F4-5692B2A631CB}"/>
    <cellStyle name="Normal 5 2 2 2 3 2 4 2 3" xfId="12404" xr:uid="{2ABC012F-7560-4549-A9B6-208FC09A1B4A}"/>
    <cellStyle name="Normal 5 2 2 2 3 2 4 3" xfId="6027" xr:uid="{00000000-0005-0000-0000-000055170000}"/>
    <cellStyle name="Normal 5 2 2 2 3 2 4 3 2" xfId="14477" xr:uid="{3172B23D-FFA8-4B90-BEC7-A8F3A922586D}"/>
    <cellStyle name="Normal 5 2 2 2 3 2 4 4" xfId="10259" xr:uid="{381FC1F1-0121-4B0C-8777-6EB466D1A3AC}"/>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035" xr:uid="{5577248A-BFEA-4D65-A531-E90DCBFC323F}"/>
    <cellStyle name="Normal 5 2 2 2 3 2 5 2 3" xfId="12817" xr:uid="{635E6C23-E609-498A-804E-8B251FBE97EA}"/>
    <cellStyle name="Normal 5 2 2 2 3 2 5 3" xfId="6440" xr:uid="{00000000-0005-0000-0000-000059170000}"/>
    <cellStyle name="Normal 5 2 2 2 3 2 5 3 2" xfId="14890" xr:uid="{9C821988-FDAB-474E-AD81-677D7BE41898}"/>
    <cellStyle name="Normal 5 2 2 2 3 2 5 4" xfId="10672" xr:uid="{9F4A42AF-3A80-404B-88F5-C64675BCB0F2}"/>
    <cellStyle name="Normal 5 2 2 2 3 2 6" xfId="2570" xr:uid="{00000000-0005-0000-0000-00005A170000}"/>
    <cellStyle name="Normal 5 2 2 2 3 2 6 2" xfId="6853" xr:uid="{00000000-0005-0000-0000-00005B170000}"/>
    <cellStyle name="Normal 5 2 2 2 3 2 6 2 2" xfId="15303" xr:uid="{E9736689-38CA-409C-9327-E384FFE80F31}"/>
    <cellStyle name="Normal 5 2 2 2 3 2 6 3" xfId="11085" xr:uid="{E498FFAE-CFBC-4A5B-AD07-EC7B3EB25698}"/>
    <cellStyle name="Normal 5 2 2 2 3 2 7" xfId="4788" xr:uid="{00000000-0005-0000-0000-00005C170000}"/>
    <cellStyle name="Normal 5 2 2 2 3 2 7 2" xfId="13238" xr:uid="{56683981-A631-4E62-A9E5-3C48D32E4F45}"/>
    <cellStyle name="Normal 5 2 2 2 3 2 8" xfId="9020" xr:uid="{D9A54CEB-0942-4FD1-803C-6A19D2270D15}"/>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5795" xr:uid="{993CCF81-45BE-494F-ACB6-5CE709D1973A}"/>
    <cellStyle name="Normal 5 2 2 2 3 3 2 3" xfId="11577" xr:uid="{D6959A39-1668-499D-A611-A2D02CD90B39}"/>
    <cellStyle name="Normal 5 2 2 2 3 3 3" xfId="5200" xr:uid="{00000000-0005-0000-0000-000060170000}"/>
    <cellStyle name="Normal 5 2 2 2 3 3 3 2" xfId="13650" xr:uid="{B4A53990-93FB-4FE2-BE35-A01FCBCDA364}"/>
    <cellStyle name="Normal 5 2 2 2 3 3 4" xfId="9432" xr:uid="{2CA0D323-F900-47F9-B62E-2BCA306E2916}"/>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6208" xr:uid="{7D71361B-B291-4DA3-9009-18EFF89DA0AB}"/>
    <cellStyle name="Normal 5 2 2 2 3 4 2 3" xfId="11990" xr:uid="{DEB9215E-9CB1-4C85-9B82-76BE8B5B0BB4}"/>
    <cellStyle name="Normal 5 2 2 2 3 4 3" xfId="5613" xr:uid="{00000000-0005-0000-0000-000064170000}"/>
    <cellStyle name="Normal 5 2 2 2 3 4 3 2" xfId="14063" xr:uid="{D8228C13-F8BF-4C2C-A672-6EEADDA54043}"/>
    <cellStyle name="Normal 5 2 2 2 3 4 4" xfId="9845" xr:uid="{80DF8062-8E2D-4597-B755-C5ADDAF91A37}"/>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6621" xr:uid="{A12586CE-CBC1-446A-9195-CAA23C10C665}"/>
    <cellStyle name="Normal 5 2 2 2 3 5 2 3" xfId="12403" xr:uid="{F7A35670-5557-42A6-8D29-18665C444EF9}"/>
    <cellStyle name="Normal 5 2 2 2 3 5 3" xfId="6026" xr:uid="{00000000-0005-0000-0000-000068170000}"/>
    <cellStyle name="Normal 5 2 2 2 3 5 3 2" xfId="14476" xr:uid="{BFE9798B-A844-4836-831C-1F15CDF18D48}"/>
    <cellStyle name="Normal 5 2 2 2 3 5 4" xfId="10258" xr:uid="{9353819D-A9DD-4CD1-A2B0-1BB940B15B16}"/>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034" xr:uid="{736F074E-DD62-4265-8B84-18099C0D4438}"/>
    <cellStyle name="Normal 5 2 2 2 3 6 2 3" xfId="12816" xr:uid="{F9E843FC-478B-4852-BD12-E2EB1D87EEEA}"/>
    <cellStyle name="Normal 5 2 2 2 3 6 3" xfId="6439" xr:uid="{00000000-0005-0000-0000-00006C170000}"/>
    <cellStyle name="Normal 5 2 2 2 3 6 3 2" xfId="14889" xr:uid="{E5FA8B8E-8D49-4C82-B819-56AEF8AFB863}"/>
    <cellStyle name="Normal 5 2 2 2 3 6 4" xfId="10671" xr:uid="{4D204529-E92D-403F-B407-A6E618455C9F}"/>
    <cellStyle name="Normal 5 2 2 2 3 7" xfId="2569" xr:uid="{00000000-0005-0000-0000-00006D170000}"/>
    <cellStyle name="Normal 5 2 2 2 3 7 2" xfId="6852" xr:uid="{00000000-0005-0000-0000-00006E170000}"/>
    <cellStyle name="Normal 5 2 2 2 3 7 2 2" xfId="15302" xr:uid="{59203667-94D9-4914-9C8A-AEBF8285EB8E}"/>
    <cellStyle name="Normal 5 2 2 2 3 7 3" xfId="11084" xr:uid="{178CC0F0-E59B-4128-99C8-1FB658A68F90}"/>
    <cellStyle name="Normal 5 2 2 2 3 8" xfId="4787" xr:uid="{00000000-0005-0000-0000-00006F170000}"/>
    <cellStyle name="Normal 5 2 2 2 3 8 2" xfId="13237" xr:uid="{0F29A8BA-F08F-4FC2-95BD-6ABC67BB17AD}"/>
    <cellStyle name="Normal 5 2 2 2 3 9" xfId="9019" xr:uid="{456F3754-991F-4238-9406-F93D8CC7DB01}"/>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5797" xr:uid="{7AA7192B-68FD-4823-B4DD-EFC62E3B4EAA}"/>
    <cellStyle name="Normal 5 2 2 2 4 2 2 3" xfId="11579" xr:uid="{2FDEDD36-AC15-470D-9112-A9542D4F2C08}"/>
    <cellStyle name="Normal 5 2 2 2 4 2 3" xfId="5202" xr:uid="{00000000-0005-0000-0000-000074170000}"/>
    <cellStyle name="Normal 5 2 2 2 4 2 3 2" xfId="13652" xr:uid="{A53CEF22-7C33-4F66-B844-1587071BE8B4}"/>
    <cellStyle name="Normal 5 2 2 2 4 2 4" xfId="9434" xr:uid="{72ACDB63-0310-4179-BCFB-1115128CE876}"/>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6210" xr:uid="{17926414-CA63-4C6B-BADA-B617B9A10F5D}"/>
    <cellStyle name="Normal 5 2 2 2 4 3 2 3" xfId="11992" xr:uid="{0E7181E4-4545-4765-8C1F-8DDED74EC17B}"/>
    <cellStyle name="Normal 5 2 2 2 4 3 3" xfId="5615" xr:uid="{00000000-0005-0000-0000-000078170000}"/>
    <cellStyle name="Normal 5 2 2 2 4 3 3 2" xfId="14065" xr:uid="{901E0AF0-81EE-4A3D-BD28-065BDAF6FCC8}"/>
    <cellStyle name="Normal 5 2 2 2 4 3 4" xfId="9847" xr:uid="{21CE8F77-C5FC-4337-BEEC-6597C53F06D1}"/>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6623" xr:uid="{E8B1A0AE-BB77-438B-8468-9C563E1DC3F4}"/>
    <cellStyle name="Normal 5 2 2 2 4 4 2 3" xfId="12405" xr:uid="{6142680C-259F-47E7-A325-C257D57346FF}"/>
    <cellStyle name="Normal 5 2 2 2 4 4 3" xfId="6028" xr:uid="{00000000-0005-0000-0000-00007C170000}"/>
    <cellStyle name="Normal 5 2 2 2 4 4 3 2" xfId="14478" xr:uid="{A609AA1B-F876-45EB-898F-9AE21175F1C7}"/>
    <cellStyle name="Normal 5 2 2 2 4 4 4" xfId="10260" xr:uid="{9CB166EB-4EA5-411D-A32B-C17804FFFA98}"/>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036" xr:uid="{C4C15660-4527-4119-B974-96AB02BBAC87}"/>
    <cellStyle name="Normal 5 2 2 2 4 5 2 3" xfId="12818" xr:uid="{074A25A2-F462-4743-ADF8-F164D67051C7}"/>
    <cellStyle name="Normal 5 2 2 2 4 5 3" xfId="6441" xr:uid="{00000000-0005-0000-0000-000080170000}"/>
    <cellStyle name="Normal 5 2 2 2 4 5 3 2" xfId="14891" xr:uid="{FFC2863B-FA37-4D7E-82BA-55523C757FC2}"/>
    <cellStyle name="Normal 5 2 2 2 4 5 4" xfId="10673" xr:uid="{37CF0F96-B98F-4893-9A1D-8870DB98BD82}"/>
    <cellStyle name="Normal 5 2 2 2 4 6" xfId="2571" xr:uid="{00000000-0005-0000-0000-000081170000}"/>
    <cellStyle name="Normal 5 2 2 2 4 6 2" xfId="6854" xr:uid="{00000000-0005-0000-0000-000082170000}"/>
    <cellStyle name="Normal 5 2 2 2 4 6 2 2" xfId="15304" xr:uid="{8A5EB30F-C0DC-4298-A686-6EEF014F7CD3}"/>
    <cellStyle name="Normal 5 2 2 2 4 6 3" xfId="11086" xr:uid="{3FD769DD-6420-4528-A269-B2F47D745A64}"/>
    <cellStyle name="Normal 5 2 2 2 4 7" xfId="4789" xr:uid="{00000000-0005-0000-0000-000083170000}"/>
    <cellStyle name="Normal 5 2 2 2 4 7 2" xfId="13239" xr:uid="{ABF24D26-6B4A-4068-8A12-03B32072FAB2}"/>
    <cellStyle name="Normal 5 2 2 2 4 8" xfId="9021" xr:uid="{1C1C2FD8-E394-47B2-84A2-B8D7F2B55454}"/>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5790" xr:uid="{DE2A0228-7FF2-4CC8-9BD4-F41AB393EC4C}"/>
    <cellStyle name="Normal 5 2 2 2 5 2 3" xfId="11572" xr:uid="{6A6C8A6F-6D0E-44EA-98AE-B08854738AB7}"/>
    <cellStyle name="Normal 5 2 2 2 5 3" xfId="5195" xr:uid="{00000000-0005-0000-0000-000087170000}"/>
    <cellStyle name="Normal 5 2 2 2 5 3 2" xfId="13645" xr:uid="{889BCD67-5EFA-4A21-B8EA-A188580C9D89}"/>
    <cellStyle name="Normal 5 2 2 2 5 4" xfId="9427" xr:uid="{6866655A-C7F7-4F9F-8D43-C425B691F287}"/>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6203" xr:uid="{81E64522-B9C3-4CC4-A59D-06C8D4DE0ECB}"/>
    <cellStyle name="Normal 5 2 2 2 6 2 3" xfId="11985" xr:uid="{48BA196E-DE11-4B70-8004-D67DF7D2EF2E}"/>
    <cellStyle name="Normal 5 2 2 2 6 3" xfId="5608" xr:uid="{00000000-0005-0000-0000-00008B170000}"/>
    <cellStyle name="Normal 5 2 2 2 6 3 2" xfId="14058" xr:uid="{FAE24C13-8C00-4422-ACE4-303FA5B6B950}"/>
    <cellStyle name="Normal 5 2 2 2 6 4" xfId="9840" xr:uid="{C33E4A53-0800-498D-A38F-5396AFF9E241}"/>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6616" xr:uid="{DAD3325C-DF61-4A86-8F87-B3C7C0FCD034}"/>
    <cellStyle name="Normal 5 2 2 2 7 2 3" xfId="12398" xr:uid="{85B5E42F-1CEB-49DA-99F4-1F7B536168AE}"/>
    <cellStyle name="Normal 5 2 2 2 7 3" xfId="6021" xr:uid="{00000000-0005-0000-0000-00008F170000}"/>
    <cellStyle name="Normal 5 2 2 2 7 3 2" xfId="14471" xr:uid="{81963659-8E66-421C-877E-6106B90AC115}"/>
    <cellStyle name="Normal 5 2 2 2 7 4" xfId="10253" xr:uid="{12D431C0-70F5-4333-BDB0-8EE0059EEAE9}"/>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029" xr:uid="{D2848D5F-4BF6-43FD-BECF-F34CB6AEDDF6}"/>
    <cellStyle name="Normal 5 2 2 2 8 2 3" xfId="12811" xr:uid="{3A9EB69E-CD2E-4B87-866C-119F4E05A0C0}"/>
    <cellStyle name="Normal 5 2 2 2 8 3" xfId="6434" xr:uid="{00000000-0005-0000-0000-000093170000}"/>
    <cellStyle name="Normal 5 2 2 2 8 3 2" xfId="14884" xr:uid="{FA9D6965-0013-4125-A511-7AFE0BEA442D}"/>
    <cellStyle name="Normal 5 2 2 2 8 4" xfId="10666" xr:uid="{6FF1784F-CD49-4DDB-B20E-2AE64F248E38}"/>
    <cellStyle name="Normal 5 2 2 2 9" xfId="2564" xr:uid="{00000000-0005-0000-0000-000094170000}"/>
    <cellStyle name="Normal 5 2 2 2 9 2" xfId="6847" xr:uid="{00000000-0005-0000-0000-000095170000}"/>
    <cellStyle name="Normal 5 2 2 2 9 2 2" xfId="15297" xr:uid="{715AD0E1-0FDD-42D8-99CA-1B823258DE92}"/>
    <cellStyle name="Normal 5 2 2 2 9 3" xfId="11079" xr:uid="{91F98309-C092-48C2-A6FA-94B6ACB5D37B}"/>
    <cellStyle name="Normal 5 2 2 3" xfId="417" xr:uid="{00000000-0005-0000-0000-000096170000}"/>
    <cellStyle name="Normal 5 2 2 3 10" xfId="9022" xr:uid="{3B2B7FE5-861C-4AD9-A7B7-82C58B21CFDA}"/>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5800" xr:uid="{50617BE3-AFC1-4F74-A0FB-E81415C82D7C}"/>
    <cellStyle name="Normal 5 2 2 3 2 2 2 2 3" xfId="11582" xr:uid="{CD054D07-5D50-4468-9899-7C01DB2E511D}"/>
    <cellStyle name="Normal 5 2 2 3 2 2 2 3" xfId="5205" xr:uid="{00000000-0005-0000-0000-00009C170000}"/>
    <cellStyle name="Normal 5 2 2 3 2 2 2 3 2" xfId="13655" xr:uid="{D1D8BDD8-696A-4772-810D-D4DBB7E7021C}"/>
    <cellStyle name="Normal 5 2 2 3 2 2 2 4" xfId="9437" xr:uid="{674F7664-4383-4A97-BCBC-ADCEF6067016}"/>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6213" xr:uid="{66D062C3-2842-4DE6-A90E-83A8FFAF46CB}"/>
    <cellStyle name="Normal 5 2 2 3 2 2 3 2 3" xfId="11995" xr:uid="{CC116274-A148-4470-A96F-ED3B942D68AF}"/>
    <cellStyle name="Normal 5 2 2 3 2 2 3 3" xfId="5618" xr:uid="{00000000-0005-0000-0000-0000A0170000}"/>
    <cellStyle name="Normal 5 2 2 3 2 2 3 3 2" xfId="14068" xr:uid="{B25122AB-5668-4A10-939B-96527347BF9A}"/>
    <cellStyle name="Normal 5 2 2 3 2 2 3 4" xfId="9850" xr:uid="{18C387FC-79C0-4AD8-A2E4-9DA72F313259}"/>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6626" xr:uid="{2EDA4D3C-03B5-4E8B-9300-F5836D4BE0E2}"/>
    <cellStyle name="Normal 5 2 2 3 2 2 4 2 3" xfId="12408" xr:uid="{604360C7-245F-452B-9454-9852A159BF06}"/>
    <cellStyle name="Normal 5 2 2 3 2 2 4 3" xfId="6031" xr:uid="{00000000-0005-0000-0000-0000A4170000}"/>
    <cellStyle name="Normal 5 2 2 3 2 2 4 3 2" xfId="14481" xr:uid="{9F5A2D60-B586-4D5D-A0E4-24F1B7CCC878}"/>
    <cellStyle name="Normal 5 2 2 3 2 2 4 4" xfId="10263" xr:uid="{668A1384-7FD1-4C1A-AEE9-B09397A55D7C}"/>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039" xr:uid="{1DB1E886-C926-4CC8-990D-BAFF3F64CADC}"/>
    <cellStyle name="Normal 5 2 2 3 2 2 5 2 3" xfId="12821" xr:uid="{1356E9B5-6981-4793-93D1-111CBF777F7E}"/>
    <cellStyle name="Normal 5 2 2 3 2 2 5 3" xfId="6444" xr:uid="{00000000-0005-0000-0000-0000A8170000}"/>
    <cellStyle name="Normal 5 2 2 3 2 2 5 3 2" xfId="14894" xr:uid="{A53D9599-5B91-47D2-A51A-C9EBFC92D495}"/>
    <cellStyle name="Normal 5 2 2 3 2 2 5 4" xfId="10676" xr:uid="{05538149-95FA-43CA-9A50-EDF7FF89C4C0}"/>
    <cellStyle name="Normal 5 2 2 3 2 2 6" xfId="2574" xr:uid="{00000000-0005-0000-0000-0000A9170000}"/>
    <cellStyle name="Normal 5 2 2 3 2 2 6 2" xfId="6857" xr:uid="{00000000-0005-0000-0000-0000AA170000}"/>
    <cellStyle name="Normal 5 2 2 3 2 2 6 2 2" xfId="15307" xr:uid="{97DA16DD-C4D2-485B-9518-FFE59C7A53EA}"/>
    <cellStyle name="Normal 5 2 2 3 2 2 6 3" xfId="11089" xr:uid="{B219B742-9C90-485F-AB58-325A9805C3C5}"/>
    <cellStyle name="Normal 5 2 2 3 2 2 7" xfId="4792" xr:uid="{00000000-0005-0000-0000-0000AB170000}"/>
    <cellStyle name="Normal 5 2 2 3 2 2 7 2" xfId="13242" xr:uid="{D094E517-ADDC-4D40-819A-419469FCA7A9}"/>
    <cellStyle name="Normal 5 2 2 3 2 2 8" xfId="9024" xr:uid="{8CAB1CDF-CF9C-406D-AACE-3537DEC65677}"/>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5799" xr:uid="{637FE6EC-0C49-4D6D-8C04-5391623514B7}"/>
    <cellStyle name="Normal 5 2 2 3 2 3 2 3" xfId="11581" xr:uid="{98251B70-8CDE-4223-A5A4-64159D5DF37A}"/>
    <cellStyle name="Normal 5 2 2 3 2 3 3" xfId="5204" xr:uid="{00000000-0005-0000-0000-0000AF170000}"/>
    <cellStyle name="Normal 5 2 2 3 2 3 3 2" xfId="13654" xr:uid="{E503EF54-5F6C-4CD1-AECF-7F6163B6DE14}"/>
    <cellStyle name="Normal 5 2 2 3 2 3 4" xfId="9436" xr:uid="{74DFB2F6-6E5B-4A0B-8062-BC6A2F32964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6212" xr:uid="{BD255F5A-AAA6-4A4E-8B54-EE208A17CDCE}"/>
    <cellStyle name="Normal 5 2 2 3 2 4 2 3" xfId="11994" xr:uid="{6DA0D371-E63C-43F5-8241-7CEA538A40C9}"/>
    <cellStyle name="Normal 5 2 2 3 2 4 3" xfId="5617" xr:uid="{00000000-0005-0000-0000-0000B3170000}"/>
    <cellStyle name="Normal 5 2 2 3 2 4 3 2" xfId="14067" xr:uid="{2C6EF025-FA5D-475A-889A-B8579A686BBE}"/>
    <cellStyle name="Normal 5 2 2 3 2 4 4" xfId="9849" xr:uid="{59827C1A-05D9-465A-AD6D-F9B3193F486A}"/>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6625" xr:uid="{35F0388C-16A5-449C-9F3D-5DFAC82DC8C3}"/>
    <cellStyle name="Normal 5 2 2 3 2 5 2 3" xfId="12407" xr:uid="{DC3BDD32-244B-4546-831C-A07F0F079D27}"/>
    <cellStyle name="Normal 5 2 2 3 2 5 3" xfId="6030" xr:uid="{00000000-0005-0000-0000-0000B7170000}"/>
    <cellStyle name="Normal 5 2 2 3 2 5 3 2" xfId="14480" xr:uid="{BF60476A-BE2F-4595-87FF-BC6B22F6834D}"/>
    <cellStyle name="Normal 5 2 2 3 2 5 4" xfId="10262" xr:uid="{8E88D48B-565E-48E0-B780-5473935CB4BC}"/>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038" xr:uid="{5946BD55-03C7-4D3A-95AF-7FC57F13E85D}"/>
    <cellStyle name="Normal 5 2 2 3 2 6 2 3" xfId="12820" xr:uid="{1DD5BC06-AC19-46E9-9A41-D24054E4DE1D}"/>
    <cellStyle name="Normal 5 2 2 3 2 6 3" xfId="6443" xr:uid="{00000000-0005-0000-0000-0000BB170000}"/>
    <cellStyle name="Normal 5 2 2 3 2 6 3 2" xfId="14893" xr:uid="{32267967-583D-4026-8729-D50A8EDED877}"/>
    <cellStyle name="Normal 5 2 2 3 2 6 4" xfId="10675" xr:uid="{D88D8080-D34B-4097-820A-F8DA395C11D8}"/>
    <cellStyle name="Normal 5 2 2 3 2 7" xfId="2573" xr:uid="{00000000-0005-0000-0000-0000BC170000}"/>
    <cellStyle name="Normal 5 2 2 3 2 7 2" xfId="6856" xr:uid="{00000000-0005-0000-0000-0000BD170000}"/>
    <cellStyle name="Normal 5 2 2 3 2 7 2 2" xfId="15306" xr:uid="{6A34B865-5251-4DC4-A8FA-FAB1A2104B65}"/>
    <cellStyle name="Normal 5 2 2 3 2 7 3" xfId="11088" xr:uid="{4492E7C8-934B-42C9-988E-23C16D777163}"/>
    <cellStyle name="Normal 5 2 2 3 2 8" xfId="4791" xr:uid="{00000000-0005-0000-0000-0000BE170000}"/>
    <cellStyle name="Normal 5 2 2 3 2 8 2" xfId="13241" xr:uid="{DE0917B3-A9ED-4C43-9CA1-9254FB2B5446}"/>
    <cellStyle name="Normal 5 2 2 3 2 9" xfId="9023" xr:uid="{D6EC4688-4F9E-4319-B759-6CF618A87FA5}"/>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5801" xr:uid="{C2CA6E4B-0FD0-4550-B958-DB2BE72CC6C1}"/>
    <cellStyle name="Normal 5 2 2 3 3 2 2 3" xfId="11583" xr:uid="{ABFA9FB1-C5A0-4102-B547-6B7C93BA2C85}"/>
    <cellStyle name="Normal 5 2 2 3 3 2 3" xfId="5206" xr:uid="{00000000-0005-0000-0000-0000C3170000}"/>
    <cellStyle name="Normal 5 2 2 3 3 2 3 2" xfId="13656" xr:uid="{4E3099BF-7B8A-42F1-81CD-1D1EB85EE747}"/>
    <cellStyle name="Normal 5 2 2 3 3 2 4" xfId="9438" xr:uid="{A10215B0-5745-4336-AE0D-14930C25B785}"/>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6214" xr:uid="{659CFF44-9F33-4DBA-A179-44D5E0A7C11B}"/>
    <cellStyle name="Normal 5 2 2 3 3 3 2 3" xfId="11996" xr:uid="{DD02AE78-E6A0-4199-885E-580F7A80AB79}"/>
    <cellStyle name="Normal 5 2 2 3 3 3 3" xfId="5619" xr:uid="{00000000-0005-0000-0000-0000C7170000}"/>
    <cellStyle name="Normal 5 2 2 3 3 3 3 2" xfId="14069" xr:uid="{7DF541EF-ACB0-4158-AF8C-1738782B2AD1}"/>
    <cellStyle name="Normal 5 2 2 3 3 3 4" xfId="9851" xr:uid="{C9C1DAA0-7520-484E-BDA7-D8B7F89D15B5}"/>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6627" xr:uid="{215936BB-4244-4933-B188-C3EB4B6BCD0B}"/>
    <cellStyle name="Normal 5 2 2 3 3 4 2 3" xfId="12409" xr:uid="{C4EA1F8B-DF33-4BBC-BB5D-F51E01C0A366}"/>
    <cellStyle name="Normal 5 2 2 3 3 4 3" xfId="6032" xr:uid="{00000000-0005-0000-0000-0000CB170000}"/>
    <cellStyle name="Normal 5 2 2 3 3 4 3 2" xfId="14482" xr:uid="{A6584ECA-D6C6-4AB3-B9BF-75C733E6DB93}"/>
    <cellStyle name="Normal 5 2 2 3 3 4 4" xfId="10264" xr:uid="{0369BE46-2080-4926-9167-81537B8F6563}"/>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040" xr:uid="{601F3FCE-47A6-4392-9C18-F5A3BB2DFEC2}"/>
    <cellStyle name="Normal 5 2 2 3 3 5 2 3" xfId="12822" xr:uid="{F19D8527-103A-4035-BC25-1379C417CD39}"/>
    <cellStyle name="Normal 5 2 2 3 3 5 3" xfId="6445" xr:uid="{00000000-0005-0000-0000-0000CF170000}"/>
    <cellStyle name="Normal 5 2 2 3 3 5 3 2" xfId="14895" xr:uid="{403D699E-0C83-4710-BA14-9E972580E592}"/>
    <cellStyle name="Normal 5 2 2 3 3 5 4" xfId="10677" xr:uid="{580D0C89-B065-47A9-AC5B-A5388A12D09C}"/>
    <cellStyle name="Normal 5 2 2 3 3 6" xfId="2575" xr:uid="{00000000-0005-0000-0000-0000D0170000}"/>
    <cellStyle name="Normal 5 2 2 3 3 6 2" xfId="6858" xr:uid="{00000000-0005-0000-0000-0000D1170000}"/>
    <cellStyle name="Normal 5 2 2 3 3 6 2 2" xfId="15308" xr:uid="{BB011E00-49CB-4CD8-88E4-B4192153ED39}"/>
    <cellStyle name="Normal 5 2 2 3 3 6 3" xfId="11090" xr:uid="{07F81756-C511-4867-9996-2BB09D54301C}"/>
    <cellStyle name="Normal 5 2 2 3 3 7" xfId="4793" xr:uid="{00000000-0005-0000-0000-0000D2170000}"/>
    <cellStyle name="Normal 5 2 2 3 3 7 2" xfId="13243" xr:uid="{ADEADFB5-549C-4C91-844F-E4C1E67390B7}"/>
    <cellStyle name="Normal 5 2 2 3 3 8" xfId="9025" xr:uid="{0DCC9EBD-32CB-4C7E-9BFD-9E3931ACE842}"/>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5798" xr:uid="{09A8146F-E679-4B98-B4B4-DFD798E84C85}"/>
    <cellStyle name="Normal 5 2 2 3 4 2 3" xfId="11580" xr:uid="{FE7B50E3-A907-4E6A-B5B1-0C8245D62B6E}"/>
    <cellStyle name="Normal 5 2 2 3 4 3" xfId="5203" xr:uid="{00000000-0005-0000-0000-0000D6170000}"/>
    <cellStyle name="Normal 5 2 2 3 4 3 2" xfId="13653" xr:uid="{ED80374B-401C-432F-B03D-7A3AC272090F}"/>
    <cellStyle name="Normal 5 2 2 3 4 4" xfId="9435" xr:uid="{9AE631E7-F44E-4D9D-9A31-D91890DB895E}"/>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6211" xr:uid="{BB020F57-0E14-4582-88BF-4A2677F19CC6}"/>
    <cellStyle name="Normal 5 2 2 3 5 2 3" xfId="11993" xr:uid="{52275D4E-C7B1-4214-8D90-0BAAD8C64132}"/>
    <cellStyle name="Normal 5 2 2 3 5 3" xfId="5616" xr:uid="{00000000-0005-0000-0000-0000DA170000}"/>
    <cellStyle name="Normal 5 2 2 3 5 3 2" xfId="14066" xr:uid="{B9EFD84A-6354-4AFE-B9D3-36E3C5F38999}"/>
    <cellStyle name="Normal 5 2 2 3 5 4" xfId="9848" xr:uid="{088C1292-7DF9-4B2C-94EB-24F7FE12F886}"/>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6624" xr:uid="{DE9183A6-1344-4FC8-BB9F-05DE5ACC9A0C}"/>
    <cellStyle name="Normal 5 2 2 3 6 2 3" xfId="12406" xr:uid="{09E2B10E-34F4-4F33-A10C-43E7112AA539}"/>
    <cellStyle name="Normal 5 2 2 3 6 3" xfId="6029" xr:uid="{00000000-0005-0000-0000-0000DE170000}"/>
    <cellStyle name="Normal 5 2 2 3 6 3 2" xfId="14479" xr:uid="{443986FE-C28D-47BA-9CDD-9DB37F4C7B9C}"/>
    <cellStyle name="Normal 5 2 2 3 6 4" xfId="10261" xr:uid="{AA40A5E8-24DE-4892-9C27-1BDAFD972784}"/>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037" xr:uid="{B6CC7F7B-A7E0-48F7-BFBC-BB8729E34D15}"/>
    <cellStyle name="Normal 5 2 2 3 7 2 3" xfId="12819" xr:uid="{4ABD56D3-D61B-40FA-8A56-B3C4723C50BA}"/>
    <cellStyle name="Normal 5 2 2 3 7 3" xfId="6442" xr:uid="{00000000-0005-0000-0000-0000E2170000}"/>
    <cellStyle name="Normal 5 2 2 3 7 3 2" xfId="14892" xr:uid="{B39A6D2D-CCE6-438B-B4CF-35F76E1D4BDF}"/>
    <cellStyle name="Normal 5 2 2 3 7 4" xfId="10674" xr:uid="{73EFC7B9-7F81-408C-BDA2-93C994467A54}"/>
    <cellStyle name="Normal 5 2 2 3 8" xfId="2572" xr:uid="{00000000-0005-0000-0000-0000E3170000}"/>
    <cellStyle name="Normal 5 2 2 3 8 2" xfId="6855" xr:uid="{00000000-0005-0000-0000-0000E4170000}"/>
    <cellStyle name="Normal 5 2 2 3 8 2 2" xfId="15305" xr:uid="{881F9B3E-44FF-49D7-8B32-AF83A02E1182}"/>
    <cellStyle name="Normal 5 2 2 3 8 3" xfId="11087" xr:uid="{05643C4B-07BA-4749-8516-BE2970368180}"/>
    <cellStyle name="Normal 5 2 2 3 9" xfId="4790" xr:uid="{00000000-0005-0000-0000-0000E5170000}"/>
    <cellStyle name="Normal 5 2 2 3 9 2" xfId="13240" xr:uid="{E21FAE25-7477-4359-B6D3-E2A3B17258F4}"/>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5803" xr:uid="{9956744C-31DF-4C3A-96C3-0C4B4A7E19AF}"/>
    <cellStyle name="Normal 5 2 2 4 2 2 2 3" xfId="11585" xr:uid="{D4B85E43-CA0B-4C78-87F2-2D24B57EF66D}"/>
    <cellStyle name="Normal 5 2 2 4 2 2 3" xfId="5208" xr:uid="{00000000-0005-0000-0000-0000EB170000}"/>
    <cellStyle name="Normal 5 2 2 4 2 2 3 2" xfId="13658" xr:uid="{89CF77A2-C11D-4865-8973-31FE9BC41197}"/>
    <cellStyle name="Normal 5 2 2 4 2 2 4" xfId="9440" xr:uid="{A21A776B-AA49-4A5E-A842-F8C31AA6EC2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6216" xr:uid="{9C6E1EBA-991C-4038-842D-8D6DEFECB8D0}"/>
    <cellStyle name="Normal 5 2 2 4 2 3 2 3" xfId="11998" xr:uid="{1FD1356E-3DBC-4D1D-BDAA-E2FF4119576C}"/>
    <cellStyle name="Normal 5 2 2 4 2 3 3" xfId="5621" xr:uid="{00000000-0005-0000-0000-0000EF170000}"/>
    <cellStyle name="Normal 5 2 2 4 2 3 3 2" xfId="14071" xr:uid="{A580C757-85A5-4049-ADE8-8B5E168343B2}"/>
    <cellStyle name="Normal 5 2 2 4 2 3 4" xfId="9853" xr:uid="{4FDEC180-D3E8-41F5-B04B-6C8F7A64EF0C}"/>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6629" xr:uid="{ADA9D084-E7F0-4A02-A916-F7722F8BEB05}"/>
    <cellStyle name="Normal 5 2 2 4 2 4 2 3" xfId="12411" xr:uid="{46F51F84-87C0-40DD-9F0F-1343949C2726}"/>
    <cellStyle name="Normal 5 2 2 4 2 4 3" xfId="6034" xr:uid="{00000000-0005-0000-0000-0000F3170000}"/>
    <cellStyle name="Normal 5 2 2 4 2 4 3 2" xfId="14484" xr:uid="{58FB5728-9ADC-4163-86BF-699CBBD528E1}"/>
    <cellStyle name="Normal 5 2 2 4 2 4 4" xfId="10266" xr:uid="{64BB4131-CE8D-4199-870F-4B82D22F3B8D}"/>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042" xr:uid="{A014CD81-04D4-48F1-81A2-7D6D73D21723}"/>
    <cellStyle name="Normal 5 2 2 4 2 5 2 3" xfId="12824" xr:uid="{7C882B94-0531-46FC-B261-E9E3A9C109D6}"/>
    <cellStyle name="Normal 5 2 2 4 2 5 3" xfId="6447" xr:uid="{00000000-0005-0000-0000-0000F7170000}"/>
    <cellStyle name="Normal 5 2 2 4 2 5 3 2" xfId="14897" xr:uid="{A483C39A-74B6-459B-A095-6B880A29389A}"/>
    <cellStyle name="Normal 5 2 2 4 2 5 4" xfId="10679" xr:uid="{8B80157A-3F8D-43C2-BA5B-FF72D1712E73}"/>
    <cellStyle name="Normal 5 2 2 4 2 6" xfId="2577" xr:uid="{00000000-0005-0000-0000-0000F8170000}"/>
    <cellStyle name="Normal 5 2 2 4 2 6 2" xfId="6860" xr:uid="{00000000-0005-0000-0000-0000F9170000}"/>
    <cellStyle name="Normal 5 2 2 4 2 6 2 2" xfId="15310" xr:uid="{C355E3A7-2BFD-4E3E-869A-7782CE562024}"/>
    <cellStyle name="Normal 5 2 2 4 2 6 3" xfId="11092" xr:uid="{77C7D242-B498-4A39-9E10-59A1024F4F8C}"/>
    <cellStyle name="Normal 5 2 2 4 2 7" xfId="4795" xr:uid="{00000000-0005-0000-0000-0000FA170000}"/>
    <cellStyle name="Normal 5 2 2 4 2 7 2" xfId="13245" xr:uid="{7C1464DE-B5EF-4FC0-A376-B10B2EDF8FCC}"/>
    <cellStyle name="Normal 5 2 2 4 2 8" xfId="9027" xr:uid="{3D93A862-15CA-4127-96B1-2EB0ED99299A}"/>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5802" xr:uid="{3978BBF5-B610-4AF1-B92A-BB97A1375060}"/>
    <cellStyle name="Normal 5 2 2 4 3 2 3" xfId="11584" xr:uid="{B234C238-C588-4F82-A549-A462EB5D61AF}"/>
    <cellStyle name="Normal 5 2 2 4 3 3" xfId="5207" xr:uid="{00000000-0005-0000-0000-0000FE170000}"/>
    <cellStyle name="Normal 5 2 2 4 3 3 2" xfId="13657" xr:uid="{7A38CFB6-93F3-4F97-9168-887E6EF2A1D8}"/>
    <cellStyle name="Normal 5 2 2 4 3 4" xfId="9439" xr:uid="{EB5A2E90-5032-4F6D-A12B-BA794AB3AD2B}"/>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6215" xr:uid="{2118095B-2155-40E3-8C3A-FEA882004B6C}"/>
    <cellStyle name="Normal 5 2 2 4 4 2 3" xfId="11997" xr:uid="{BDF0E815-1C03-4D3A-988C-5E86E2EDF621}"/>
    <cellStyle name="Normal 5 2 2 4 4 3" xfId="5620" xr:uid="{00000000-0005-0000-0000-000002180000}"/>
    <cellStyle name="Normal 5 2 2 4 4 3 2" xfId="14070" xr:uid="{E68F6B2B-C5E8-4BD2-9525-F20D7F111637}"/>
    <cellStyle name="Normal 5 2 2 4 4 4" xfId="9852" xr:uid="{C525EBA3-F4A9-4051-B9BA-41CEAE749972}"/>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6628" xr:uid="{DA439F6F-8522-4C48-B159-D87BB4909C88}"/>
    <cellStyle name="Normal 5 2 2 4 5 2 3" xfId="12410" xr:uid="{84DC05F1-01E5-4858-933C-EF02FB42BAF1}"/>
    <cellStyle name="Normal 5 2 2 4 5 3" xfId="6033" xr:uid="{00000000-0005-0000-0000-000006180000}"/>
    <cellStyle name="Normal 5 2 2 4 5 3 2" xfId="14483" xr:uid="{E791FB13-66A3-4BF9-A145-0823F7F196B0}"/>
    <cellStyle name="Normal 5 2 2 4 5 4" xfId="10265" xr:uid="{773E1870-1A8A-4B1A-9400-97F972E5F0AA}"/>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041" xr:uid="{A4A83055-C635-4C1B-A0DC-69BCC49704D3}"/>
    <cellStyle name="Normal 5 2 2 4 6 2 3" xfId="12823" xr:uid="{2A210BF9-E99F-4349-B207-D31C1E41DE9B}"/>
    <cellStyle name="Normal 5 2 2 4 6 3" xfId="6446" xr:uid="{00000000-0005-0000-0000-00000A180000}"/>
    <cellStyle name="Normal 5 2 2 4 6 3 2" xfId="14896" xr:uid="{AE32274A-3F14-4581-BE78-28487F7687AC}"/>
    <cellStyle name="Normal 5 2 2 4 6 4" xfId="10678" xr:uid="{0A5716BF-4CCA-4E80-9FA6-475958346E40}"/>
    <cellStyle name="Normal 5 2 2 4 7" xfId="2576" xr:uid="{00000000-0005-0000-0000-00000B180000}"/>
    <cellStyle name="Normal 5 2 2 4 7 2" xfId="6859" xr:uid="{00000000-0005-0000-0000-00000C180000}"/>
    <cellStyle name="Normal 5 2 2 4 7 2 2" xfId="15309" xr:uid="{CB175E7C-5F9D-453C-89BC-2912460B643B}"/>
    <cellStyle name="Normal 5 2 2 4 7 3" xfId="11091" xr:uid="{FAA3CE42-47E3-45A0-BE0B-34F7E33D5AF9}"/>
    <cellStyle name="Normal 5 2 2 4 8" xfId="4794" xr:uid="{00000000-0005-0000-0000-00000D180000}"/>
    <cellStyle name="Normal 5 2 2 4 8 2" xfId="13244" xr:uid="{DC4152F0-0D73-41C3-904F-F68B8290896A}"/>
    <cellStyle name="Normal 5 2 2 4 9" xfId="9026" xr:uid="{57ECDD6C-07CE-42E9-86A6-9FF3BE346AAA}"/>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5804" xr:uid="{55BCCB5E-2695-4AAC-A96D-0BCEFE14CAF5}"/>
    <cellStyle name="Normal 5 2 2 5 2 2 3" xfId="11586" xr:uid="{1735B16E-1184-4365-A395-F89BFA534A39}"/>
    <cellStyle name="Normal 5 2 2 5 2 3" xfId="5209" xr:uid="{00000000-0005-0000-0000-000012180000}"/>
    <cellStyle name="Normal 5 2 2 5 2 3 2" xfId="13659" xr:uid="{58750B1B-9EC5-4363-9E62-F23AC06CD48C}"/>
    <cellStyle name="Normal 5 2 2 5 2 4" xfId="9441" xr:uid="{59654BAE-D5E8-44C8-AC2B-F2D744392376}"/>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6217" xr:uid="{6A13C943-E7B7-4BC3-9010-A466DEBA2228}"/>
    <cellStyle name="Normal 5 2 2 5 3 2 3" xfId="11999" xr:uid="{4E67B65E-7883-4BA7-B477-D67E241D61D4}"/>
    <cellStyle name="Normal 5 2 2 5 3 3" xfId="5622" xr:uid="{00000000-0005-0000-0000-000016180000}"/>
    <cellStyle name="Normal 5 2 2 5 3 3 2" xfId="14072" xr:uid="{BFF7989B-E51D-4854-BE12-A47829D39705}"/>
    <cellStyle name="Normal 5 2 2 5 3 4" xfId="9854" xr:uid="{8F0C9245-F879-41A8-85BB-0976ECF3AAE2}"/>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6630" xr:uid="{E02E94ED-836F-4F6D-A111-DDC2D8AA4774}"/>
    <cellStyle name="Normal 5 2 2 5 4 2 3" xfId="12412" xr:uid="{AD798C08-E952-4669-95A3-B60B23A5E77F}"/>
    <cellStyle name="Normal 5 2 2 5 4 3" xfId="6035" xr:uid="{00000000-0005-0000-0000-00001A180000}"/>
    <cellStyle name="Normal 5 2 2 5 4 3 2" xfId="14485" xr:uid="{227E6386-6C68-4EAD-9D27-BA1E86594D89}"/>
    <cellStyle name="Normal 5 2 2 5 4 4" xfId="10267" xr:uid="{22FB7760-EBAB-4131-81D9-F172B6223D06}"/>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043" xr:uid="{6FDE43C3-4435-40CD-824D-DCBFE61DF179}"/>
    <cellStyle name="Normal 5 2 2 5 5 2 3" xfId="12825" xr:uid="{609145E6-0324-45EE-9BE4-ADA77D29F3F8}"/>
    <cellStyle name="Normal 5 2 2 5 5 3" xfId="6448" xr:uid="{00000000-0005-0000-0000-00001E180000}"/>
    <cellStyle name="Normal 5 2 2 5 5 3 2" xfId="14898" xr:uid="{18C5ED5C-4EDE-4E09-A542-1AFA04A3B61B}"/>
    <cellStyle name="Normal 5 2 2 5 5 4" xfId="10680" xr:uid="{190E06C6-7BA7-4C3B-BC56-17E1217DCE99}"/>
    <cellStyle name="Normal 5 2 2 5 6" xfId="2578" xr:uid="{00000000-0005-0000-0000-00001F180000}"/>
    <cellStyle name="Normal 5 2 2 5 6 2" xfId="6861" xr:uid="{00000000-0005-0000-0000-000020180000}"/>
    <cellStyle name="Normal 5 2 2 5 6 2 2" xfId="15311" xr:uid="{D005C54E-13F8-4C86-9109-7EA3F1915838}"/>
    <cellStyle name="Normal 5 2 2 5 6 3" xfId="11093" xr:uid="{5D50308D-E16D-4DD2-96DA-6B3851DCF3A2}"/>
    <cellStyle name="Normal 5 2 2 5 7" xfId="4796" xr:uid="{00000000-0005-0000-0000-000021180000}"/>
    <cellStyle name="Normal 5 2 2 5 7 2" xfId="13246" xr:uid="{13ED4080-FFC6-443C-BF2D-8A48A62409E4}"/>
    <cellStyle name="Normal 5 2 2 5 8" xfId="9028" xr:uid="{5A16A8C5-FEF9-4709-8ECF-809C57827CED}"/>
    <cellStyle name="Normal 5 2 2 6" xfId="882" xr:uid="{00000000-0005-0000-0000-000022180000}"/>
    <cellStyle name="Normal 5 2 2 6 2" xfId="3117" xr:uid="{00000000-0005-0000-0000-000023180000}"/>
    <cellStyle name="Normal 5 2 2 6 2 2" xfId="7339" xr:uid="{00000000-0005-0000-0000-000024180000}"/>
    <cellStyle name="Normal 5 2 2 6 2 2 2" xfId="15789" xr:uid="{7BD201CB-CA9B-4176-82D8-0012C2B131ED}"/>
    <cellStyle name="Normal 5 2 2 6 2 3" xfId="11571" xr:uid="{8420A6C2-5BBD-4F2C-8CC8-4234D6D85EC6}"/>
    <cellStyle name="Normal 5 2 2 6 3" xfId="5194" xr:uid="{00000000-0005-0000-0000-000025180000}"/>
    <cellStyle name="Normal 5 2 2 6 3 2" xfId="13644" xr:uid="{7CD6B255-0DE4-4077-93C8-2E1DE0507A66}"/>
    <cellStyle name="Normal 5 2 2 6 4" xfId="9426" xr:uid="{6336FD20-98AF-4B94-A98A-B5C9744EF7FA}"/>
    <cellStyle name="Normal 5 2 2 7" xfId="1300" xr:uid="{00000000-0005-0000-0000-000026180000}"/>
    <cellStyle name="Normal 5 2 2 7 2" xfId="3530" xr:uid="{00000000-0005-0000-0000-000027180000}"/>
    <cellStyle name="Normal 5 2 2 7 2 2" xfId="7752" xr:uid="{00000000-0005-0000-0000-000028180000}"/>
    <cellStyle name="Normal 5 2 2 7 2 2 2" xfId="16202" xr:uid="{BA3C67D0-B8CC-48F8-82B3-1D374D86CC06}"/>
    <cellStyle name="Normal 5 2 2 7 2 3" xfId="11984" xr:uid="{8568038C-37A0-4737-B16F-5DD3C3965BE9}"/>
    <cellStyle name="Normal 5 2 2 7 3" xfId="5607" xr:uid="{00000000-0005-0000-0000-000029180000}"/>
    <cellStyle name="Normal 5 2 2 7 3 2" xfId="14057" xr:uid="{CEC770C4-95CF-4704-A5AC-0E74EB702151}"/>
    <cellStyle name="Normal 5 2 2 7 4" xfId="9839" xr:uid="{D742D66B-F148-439C-9481-4DA47BBC2BBE}"/>
    <cellStyle name="Normal 5 2 2 8" xfId="1713" xr:uid="{00000000-0005-0000-0000-00002A180000}"/>
    <cellStyle name="Normal 5 2 2 8 2" xfId="3943" xr:uid="{00000000-0005-0000-0000-00002B180000}"/>
    <cellStyle name="Normal 5 2 2 8 2 2" xfId="8165" xr:uid="{00000000-0005-0000-0000-00002C180000}"/>
    <cellStyle name="Normal 5 2 2 8 2 2 2" xfId="16615" xr:uid="{3C15FC78-917E-4E60-B728-46EC72DC1948}"/>
    <cellStyle name="Normal 5 2 2 8 2 3" xfId="12397" xr:uid="{FA79BAC2-BCED-41E6-B042-170F5EAF72CA}"/>
    <cellStyle name="Normal 5 2 2 8 3" xfId="6020" xr:uid="{00000000-0005-0000-0000-00002D180000}"/>
    <cellStyle name="Normal 5 2 2 8 3 2" xfId="14470" xr:uid="{7F3B9285-4E7C-42A5-89AF-7608FAA8CD65}"/>
    <cellStyle name="Normal 5 2 2 8 4" xfId="10252" xr:uid="{70384519-36C3-4861-8B71-B5C1983B7411}"/>
    <cellStyle name="Normal 5 2 2 9" xfId="2127" xr:uid="{00000000-0005-0000-0000-00002E180000}"/>
    <cellStyle name="Normal 5 2 2 9 2" xfId="4356" xr:uid="{00000000-0005-0000-0000-00002F180000}"/>
    <cellStyle name="Normal 5 2 2 9 2 2" xfId="8578" xr:uid="{00000000-0005-0000-0000-000030180000}"/>
    <cellStyle name="Normal 5 2 2 9 2 2 2" xfId="17028" xr:uid="{0FA67AED-FDD4-488B-8391-974F23C6928E}"/>
    <cellStyle name="Normal 5 2 2 9 2 3" xfId="12810" xr:uid="{1B41912E-087B-448E-A413-0E349A8F65D5}"/>
    <cellStyle name="Normal 5 2 2 9 3" xfId="6433" xr:uid="{00000000-0005-0000-0000-000031180000}"/>
    <cellStyle name="Normal 5 2 2 9 3 2" xfId="14883" xr:uid="{5984EFED-7793-4D3C-BD90-48C8FDA0854C}"/>
    <cellStyle name="Normal 5 2 2 9 4" xfId="10665" xr:uid="{293B11B5-816E-43E2-A8BF-341052C96B6F}"/>
    <cellStyle name="Normal 5 2 3" xfId="424" xr:uid="{00000000-0005-0000-0000-000032180000}"/>
    <cellStyle name="Normal 5 2 3 10" xfId="4797" xr:uid="{00000000-0005-0000-0000-000033180000}"/>
    <cellStyle name="Normal 5 2 3 10 2" xfId="13247" xr:uid="{1B66F955-A525-4F43-96DD-262FC725CFEC}"/>
    <cellStyle name="Normal 5 2 3 11" xfId="9029" xr:uid="{365A6792-46AB-41E1-BEF9-C8D324BA7838}"/>
    <cellStyle name="Normal 5 2 3 2" xfId="425" xr:uid="{00000000-0005-0000-0000-000034180000}"/>
    <cellStyle name="Normal 5 2 3 2 10" xfId="9030" xr:uid="{D14C6882-B3AC-4652-9FB4-9CFC6F402BA8}"/>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5808" xr:uid="{3AD9EF74-9123-41D7-AB65-00C95821DE94}"/>
    <cellStyle name="Normal 5 2 3 2 2 2 2 2 3" xfId="11590" xr:uid="{74E62668-BCFE-49CE-9EAD-0326522629AA}"/>
    <cellStyle name="Normal 5 2 3 2 2 2 2 3" xfId="5213" xr:uid="{00000000-0005-0000-0000-00003A180000}"/>
    <cellStyle name="Normal 5 2 3 2 2 2 2 3 2" xfId="13663" xr:uid="{73B989F9-C7DC-40E3-BD9E-6BCA6F7EF5F2}"/>
    <cellStyle name="Normal 5 2 3 2 2 2 2 4" xfId="9445" xr:uid="{C19AEC64-9322-4ED2-99F8-A2907A8017CD}"/>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6221" xr:uid="{EB7411E6-24DD-4007-B862-19BE29268157}"/>
    <cellStyle name="Normal 5 2 3 2 2 2 3 2 3" xfId="12003" xr:uid="{6FB31A4B-7612-423E-9553-7E874BE316B2}"/>
    <cellStyle name="Normal 5 2 3 2 2 2 3 3" xfId="5626" xr:uid="{00000000-0005-0000-0000-00003E180000}"/>
    <cellStyle name="Normal 5 2 3 2 2 2 3 3 2" xfId="14076" xr:uid="{2441B4C5-81C8-4C40-B9DB-33AD335FE2BF}"/>
    <cellStyle name="Normal 5 2 3 2 2 2 3 4" xfId="9858" xr:uid="{52F8F371-8616-4986-97A6-081D5CF71BE1}"/>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6634" xr:uid="{D1A2FF2E-2F5C-4DE2-B58C-A355FC5267D3}"/>
    <cellStyle name="Normal 5 2 3 2 2 2 4 2 3" xfId="12416" xr:uid="{B96C768C-95DA-4C52-9462-71B237412FA1}"/>
    <cellStyle name="Normal 5 2 3 2 2 2 4 3" xfId="6039" xr:uid="{00000000-0005-0000-0000-000042180000}"/>
    <cellStyle name="Normal 5 2 3 2 2 2 4 3 2" xfId="14489" xr:uid="{07C195CD-46EF-4BF4-ABE0-586AD2D5E2A3}"/>
    <cellStyle name="Normal 5 2 3 2 2 2 4 4" xfId="10271" xr:uid="{C34BE7D9-6D4A-47E0-9CCC-BF8DF2A34CEA}"/>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047" xr:uid="{C1929EE4-4A37-4A10-94C6-9907A5D6346C}"/>
    <cellStyle name="Normal 5 2 3 2 2 2 5 2 3" xfId="12829" xr:uid="{742B1CFF-FB0E-4DAF-B7B2-7310904BF6B2}"/>
    <cellStyle name="Normal 5 2 3 2 2 2 5 3" xfId="6452" xr:uid="{00000000-0005-0000-0000-000046180000}"/>
    <cellStyle name="Normal 5 2 3 2 2 2 5 3 2" xfId="14902" xr:uid="{F613EFEA-6424-4624-B2B5-982F2BE22871}"/>
    <cellStyle name="Normal 5 2 3 2 2 2 5 4" xfId="10684" xr:uid="{4599A693-B83F-4F06-AA61-D279C41C51C2}"/>
    <cellStyle name="Normal 5 2 3 2 2 2 6" xfId="2582" xr:uid="{00000000-0005-0000-0000-000047180000}"/>
    <cellStyle name="Normal 5 2 3 2 2 2 6 2" xfId="6865" xr:uid="{00000000-0005-0000-0000-000048180000}"/>
    <cellStyle name="Normal 5 2 3 2 2 2 6 2 2" xfId="15315" xr:uid="{22E97768-4BE6-40BC-996E-B0EF14B64172}"/>
    <cellStyle name="Normal 5 2 3 2 2 2 6 3" xfId="11097" xr:uid="{E0D0EF73-81AD-4678-9591-6218379B6F61}"/>
    <cellStyle name="Normal 5 2 3 2 2 2 7" xfId="4800" xr:uid="{00000000-0005-0000-0000-000049180000}"/>
    <cellStyle name="Normal 5 2 3 2 2 2 7 2" xfId="13250" xr:uid="{B67C054E-04DB-4E55-A378-1A86AB228EF6}"/>
    <cellStyle name="Normal 5 2 3 2 2 2 8" xfId="9032" xr:uid="{84A65FFD-3F3B-4DC6-BB25-5C95D6696108}"/>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5807" xr:uid="{D1996755-614B-4BCA-AF20-DB887A24062A}"/>
    <cellStyle name="Normal 5 2 3 2 2 3 2 3" xfId="11589" xr:uid="{7D482C2D-867A-4A78-B628-0836F0EF8F55}"/>
    <cellStyle name="Normal 5 2 3 2 2 3 3" xfId="5212" xr:uid="{00000000-0005-0000-0000-00004D180000}"/>
    <cellStyle name="Normal 5 2 3 2 2 3 3 2" xfId="13662" xr:uid="{6EDB6DF8-5FC6-4D74-B844-C8D2A6D26FDA}"/>
    <cellStyle name="Normal 5 2 3 2 2 3 4" xfId="9444" xr:uid="{7E0DB650-7196-4982-AEF7-8A55F7879EA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6220" xr:uid="{5C323751-5791-4F15-901A-7B075FF4A464}"/>
    <cellStyle name="Normal 5 2 3 2 2 4 2 3" xfId="12002" xr:uid="{03FF4758-8B19-4A89-9E80-DEF4AC58B0CC}"/>
    <cellStyle name="Normal 5 2 3 2 2 4 3" xfId="5625" xr:uid="{00000000-0005-0000-0000-000051180000}"/>
    <cellStyle name="Normal 5 2 3 2 2 4 3 2" xfId="14075" xr:uid="{34D96B22-32ED-4D0C-8477-4A1B0F1C070D}"/>
    <cellStyle name="Normal 5 2 3 2 2 4 4" xfId="9857" xr:uid="{1A982A72-E0F8-4409-B476-86936F517881}"/>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6633" xr:uid="{9FE442F9-CE73-455D-917F-5D31D5B71AC4}"/>
    <cellStyle name="Normal 5 2 3 2 2 5 2 3" xfId="12415" xr:uid="{CEFCECDD-0F01-4E37-8E85-903B43AC0390}"/>
    <cellStyle name="Normal 5 2 3 2 2 5 3" xfId="6038" xr:uid="{00000000-0005-0000-0000-000055180000}"/>
    <cellStyle name="Normal 5 2 3 2 2 5 3 2" xfId="14488" xr:uid="{8201C881-8A74-4F33-8CFE-CE5E1E57A01B}"/>
    <cellStyle name="Normal 5 2 3 2 2 5 4" xfId="10270" xr:uid="{54A2EB4C-F2A6-4DF5-BDA8-CC8F9055D7CF}"/>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046" xr:uid="{70EF1816-577E-4C70-B274-3008F24948E0}"/>
    <cellStyle name="Normal 5 2 3 2 2 6 2 3" xfId="12828" xr:uid="{8F7D5EDD-E948-4622-A7DA-7A41F6EE3050}"/>
    <cellStyle name="Normal 5 2 3 2 2 6 3" xfId="6451" xr:uid="{00000000-0005-0000-0000-000059180000}"/>
    <cellStyle name="Normal 5 2 3 2 2 6 3 2" xfId="14901" xr:uid="{9217CDCD-40DD-4037-8D0B-2C958432046E}"/>
    <cellStyle name="Normal 5 2 3 2 2 6 4" xfId="10683" xr:uid="{7A810D20-4F52-4755-A5D3-D61CB7A2427D}"/>
    <cellStyle name="Normal 5 2 3 2 2 7" xfId="2581" xr:uid="{00000000-0005-0000-0000-00005A180000}"/>
    <cellStyle name="Normal 5 2 3 2 2 7 2" xfId="6864" xr:uid="{00000000-0005-0000-0000-00005B180000}"/>
    <cellStyle name="Normal 5 2 3 2 2 7 2 2" xfId="15314" xr:uid="{5EAED6E7-DA05-401F-B4F1-E64B65D9F9DA}"/>
    <cellStyle name="Normal 5 2 3 2 2 7 3" xfId="11096" xr:uid="{483E4EB6-9679-4993-91EF-851867E31BF1}"/>
    <cellStyle name="Normal 5 2 3 2 2 8" xfId="4799" xr:uid="{00000000-0005-0000-0000-00005C180000}"/>
    <cellStyle name="Normal 5 2 3 2 2 8 2" xfId="13249" xr:uid="{65D04876-3F3F-400C-B570-33F889331C50}"/>
    <cellStyle name="Normal 5 2 3 2 2 9" xfId="9031" xr:uid="{813062D7-2E0C-426A-BFE5-8184C003503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5809" xr:uid="{2F2F0BDE-A2A9-4922-AA43-F3241AF27291}"/>
    <cellStyle name="Normal 5 2 3 2 3 2 2 3" xfId="11591" xr:uid="{35F85021-25E8-4C5C-81FC-89DBA9A334EE}"/>
    <cellStyle name="Normal 5 2 3 2 3 2 3" xfId="5214" xr:uid="{00000000-0005-0000-0000-000061180000}"/>
    <cellStyle name="Normal 5 2 3 2 3 2 3 2" xfId="13664" xr:uid="{9BAF5441-F628-48A8-B829-AC2307760B8E}"/>
    <cellStyle name="Normal 5 2 3 2 3 2 4" xfId="9446" xr:uid="{83E71B4A-ECB9-478C-BBA3-C85636627CD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6222" xr:uid="{13FEAD80-72C7-4E95-9DFE-F91DA438D2E4}"/>
    <cellStyle name="Normal 5 2 3 2 3 3 2 3" xfId="12004" xr:uid="{C4181728-26C3-4997-8993-1FDEBB3102EA}"/>
    <cellStyle name="Normal 5 2 3 2 3 3 3" xfId="5627" xr:uid="{00000000-0005-0000-0000-000065180000}"/>
    <cellStyle name="Normal 5 2 3 2 3 3 3 2" xfId="14077" xr:uid="{5A476FB3-0310-4304-95B9-76339EB6F4A2}"/>
    <cellStyle name="Normal 5 2 3 2 3 3 4" xfId="9859" xr:uid="{F860231E-C6E2-43BE-B4D0-E8143CBDCB7C}"/>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6635" xr:uid="{0D60C980-81EF-46F5-9464-1B56998890E5}"/>
    <cellStyle name="Normal 5 2 3 2 3 4 2 3" xfId="12417" xr:uid="{985D11A0-50F4-414C-911A-6931BA397239}"/>
    <cellStyle name="Normal 5 2 3 2 3 4 3" xfId="6040" xr:uid="{00000000-0005-0000-0000-000069180000}"/>
    <cellStyle name="Normal 5 2 3 2 3 4 3 2" xfId="14490" xr:uid="{9AFE6277-3A1B-4381-9856-417960BFCD9E}"/>
    <cellStyle name="Normal 5 2 3 2 3 4 4" xfId="10272" xr:uid="{02A408CF-E205-4925-A008-01630A118294}"/>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048" xr:uid="{0EC2B7BC-BB76-4986-88EE-A3ED8467BF3D}"/>
    <cellStyle name="Normal 5 2 3 2 3 5 2 3" xfId="12830" xr:uid="{6E42607D-EA2B-477E-AB0F-C44A6F58174A}"/>
    <cellStyle name="Normal 5 2 3 2 3 5 3" xfId="6453" xr:uid="{00000000-0005-0000-0000-00006D180000}"/>
    <cellStyle name="Normal 5 2 3 2 3 5 3 2" xfId="14903" xr:uid="{DF3AD909-07CA-4231-AFD0-A16993A5FEBA}"/>
    <cellStyle name="Normal 5 2 3 2 3 5 4" xfId="10685" xr:uid="{41D22913-01A8-4369-B54C-BD893B7E220B}"/>
    <cellStyle name="Normal 5 2 3 2 3 6" xfId="2583" xr:uid="{00000000-0005-0000-0000-00006E180000}"/>
    <cellStyle name="Normal 5 2 3 2 3 6 2" xfId="6866" xr:uid="{00000000-0005-0000-0000-00006F180000}"/>
    <cellStyle name="Normal 5 2 3 2 3 6 2 2" xfId="15316" xr:uid="{678C34AB-2746-4FB5-B016-9E29C1265288}"/>
    <cellStyle name="Normal 5 2 3 2 3 6 3" xfId="11098" xr:uid="{057465DF-FEE7-44DE-B785-70E4BA6D0659}"/>
    <cellStyle name="Normal 5 2 3 2 3 7" xfId="4801" xr:uid="{00000000-0005-0000-0000-000070180000}"/>
    <cellStyle name="Normal 5 2 3 2 3 7 2" xfId="13251" xr:uid="{0FCF9636-DB14-4730-910C-F525FCF91BF0}"/>
    <cellStyle name="Normal 5 2 3 2 3 8" xfId="9033" xr:uid="{585688D6-6C13-414F-B8E1-5743622AC1D5}"/>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5806" xr:uid="{EB5DFD07-8A11-465A-8DA6-266D6F96EB91}"/>
    <cellStyle name="Normal 5 2 3 2 4 2 3" xfId="11588" xr:uid="{8B19645B-C4BF-4A5D-9E53-E43909D024C4}"/>
    <cellStyle name="Normal 5 2 3 2 4 3" xfId="5211" xr:uid="{00000000-0005-0000-0000-000074180000}"/>
    <cellStyle name="Normal 5 2 3 2 4 3 2" xfId="13661" xr:uid="{021C6E8D-B267-4647-8813-71FF2BB18133}"/>
    <cellStyle name="Normal 5 2 3 2 4 4" xfId="9443" xr:uid="{20F04257-7E4E-41CC-B628-E815EB61F86B}"/>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6219" xr:uid="{9106BD28-C8DF-478D-B5F1-AEB6A047B29D}"/>
    <cellStyle name="Normal 5 2 3 2 5 2 3" xfId="12001" xr:uid="{AD020BBE-EB08-4EF2-BFE1-8747F9DA661A}"/>
    <cellStyle name="Normal 5 2 3 2 5 3" xfId="5624" xr:uid="{00000000-0005-0000-0000-000078180000}"/>
    <cellStyle name="Normal 5 2 3 2 5 3 2" xfId="14074" xr:uid="{F865E1EA-F80A-426A-A7AF-86B3C9945748}"/>
    <cellStyle name="Normal 5 2 3 2 5 4" xfId="9856" xr:uid="{28DDA690-6ABD-4E1F-8D21-2BC25954600E}"/>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6632" xr:uid="{4BBA1048-12A0-48DE-829D-4CF41765667E}"/>
    <cellStyle name="Normal 5 2 3 2 6 2 3" xfId="12414" xr:uid="{F87C099E-1AD5-4C44-8A88-36D0A080B6F6}"/>
    <cellStyle name="Normal 5 2 3 2 6 3" xfId="6037" xr:uid="{00000000-0005-0000-0000-00007C180000}"/>
    <cellStyle name="Normal 5 2 3 2 6 3 2" xfId="14487" xr:uid="{A89C1862-3642-4399-AF54-54DA9E9E7F0B}"/>
    <cellStyle name="Normal 5 2 3 2 6 4" xfId="10269" xr:uid="{1FBD0308-7ABD-470F-884E-1F8863A3050C}"/>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045" xr:uid="{85B05ABD-813C-45C2-AC8B-9A7C34B10056}"/>
    <cellStyle name="Normal 5 2 3 2 7 2 3" xfId="12827" xr:uid="{0615D2BF-A591-4208-BF3F-61A796B532EB}"/>
    <cellStyle name="Normal 5 2 3 2 7 3" xfId="6450" xr:uid="{00000000-0005-0000-0000-000080180000}"/>
    <cellStyle name="Normal 5 2 3 2 7 3 2" xfId="14900" xr:uid="{F9DD4DCF-2567-4E3C-8192-976964BBD9EB}"/>
    <cellStyle name="Normal 5 2 3 2 7 4" xfId="10682" xr:uid="{74B0AE6D-7A08-4B43-9B46-9BCE7FCAB1DB}"/>
    <cellStyle name="Normal 5 2 3 2 8" xfId="2580" xr:uid="{00000000-0005-0000-0000-000081180000}"/>
    <cellStyle name="Normal 5 2 3 2 8 2" xfId="6863" xr:uid="{00000000-0005-0000-0000-000082180000}"/>
    <cellStyle name="Normal 5 2 3 2 8 2 2" xfId="15313" xr:uid="{0A2F0707-D370-47E9-A246-11AC28EF883F}"/>
    <cellStyle name="Normal 5 2 3 2 8 3" xfId="11095" xr:uid="{0D97E015-0EC4-4544-B41A-09AAACBDB81A}"/>
    <cellStyle name="Normal 5 2 3 2 9" xfId="4798" xr:uid="{00000000-0005-0000-0000-000083180000}"/>
    <cellStyle name="Normal 5 2 3 2 9 2" xfId="13248" xr:uid="{79C9E7F2-B960-4435-981E-1D384383FD85}"/>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5811" xr:uid="{81AA6B9D-D850-4DC3-B9E6-000A909A15E0}"/>
    <cellStyle name="Normal 5 2 3 3 2 2 2 3" xfId="11593" xr:uid="{2EDE68E2-8AEC-4E38-A784-1094F1D643DA}"/>
    <cellStyle name="Normal 5 2 3 3 2 2 3" xfId="5216" xr:uid="{00000000-0005-0000-0000-000089180000}"/>
    <cellStyle name="Normal 5 2 3 3 2 2 3 2" xfId="13666" xr:uid="{FECD1CB6-35CC-4E27-91D4-9C0386CEF6C5}"/>
    <cellStyle name="Normal 5 2 3 3 2 2 4" xfId="9448" xr:uid="{42FAF575-F438-4051-A68D-4F8758D0D7E2}"/>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6224" xr:uid="{D0F10E08-860C-4669-BFCB-68F8B7E7FBD1}"/>
    <cellStyle name="Normal 5 2 3 3 2 3 2 3" xfId="12006" xr:uid="{DFCF8BD5-E6B0-41AC-9624-2FBB13ECDD3F}"/>
    <cellStyle name="Normal 5 2 3 3 2 3 3" xfId="5629" xr:uid="{00000000-0005-0000-0000-00008D180000}"/>
    <cellStyle name="Normal 5 2 3 3 2 3 3 2" xfId="14079" xr:uid="{762FE38C-135E-4492-B13D-BE9C6EB12E99}"/>
    <cellStyle name="Normal 5 2 3 3 2 3 4" xfId="9861" xr:uid="{05ECE7B1-9410-4F9E-9B06-B057B05DF58E}"/>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6637" xr:uid="{BAB642B4-A7C2-495A-8257-103A614069D9}"/>
    <cellStyle name="Normal 5 2 3 3 2 4 2 3" xfId="12419" xr:uid="{EC83FC3C-47B7-4964-87E6-4D90E9B1280B}"/>
    <cellStyle name="Normal 5 2 3 3 2 4 3" xfId="6042" xr:uid="{00000000-0005-0000-0000-000091180000}"/>
    <cellStyle name="Normal 5 2 3 3 2 4 3 2" xfId="14492" xr:uid="{8A6DCFBC-13E4-4007-8966-EBDFFF230105}"/>
    <cellStyle name="Normal 5 2 3 3 2 4 4" xfId="10274" xr:uid="{CB96BA49-96BD-4042-B72C-726E5B37170F}"/>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050" xr:uid="{F45AD464-19B4-4108-BA4F-8097822A6A4E}"/>
    <cellStyle name="Normal 5 2 3 3 2 5 2 3" xfId="12832" xr:uid="{DC9A9C26-F648-40D7-976C-54A1DA0DDAD7}"/>
    <cellStyle name="Normal 5 2 3 3 2 5 3" xfId="6455" xr:uid="{00000000-0005-0000-0000-000095180000}"/>
    <cellStyle name="Normal 5 2 3 3 2 5 3 2" xfId="14905" xr:uid="{E0AFF702-384A-4979-8CC3-64B0BD436F8D}"/>
    <cellStyle name="Normal 5 2 3 3 2 5 4" xfId="10687" xr:uid="{2F49B4CF-8AE2-4D60-A21B-903FF68BDFA1}"/>
    <cellStyle name="Normal 5 2 3 3 2 6" xfId="2585" xr:uid="{00000000-0005-0000-0000-000096180000}"/>
    <cellStyle name="Normal 5 2 3 3 2 6 2" xfId="6868" xr:uid="{00000000-0005-0000-0000-000097180000}"/>
    <cellStyle name="Normal 5 2 3 3 2 6 2 2" xfId="15318" xr:uid="{207C7136-5570-41C7-A940-C23C10E48D30}"/>
    <cellStyle name="Normal 5 2 3 3 2 6 3" xfId="11100" xr:uid="{D6FADC3F-71B1-4154-9EE8-261B0668CC0D}"/>
    <cellStyle name="Normal 5 2 3 3 2 7" xfId="4803" xr:uid="{00000000-0005-0000-0000-000098180000}"/>
    <cellStyle name="Normal 5 2 3 3 2 7 2" xfId="13253" xr:uid="{10B7E7BA-AF0B-4BBD-A70E-2C14EB5A7D81}"/>
    <cellStyle name="Normal 5 2 3 3 2 8" xfId="9035" xr:uid="{A0B526B8-CB83-4933-B4C3-613DD11A968E}"/>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5810" xr:uid="{971DADA3-9C3F-45E3-8FA6-2ED6522D0A2D}"/>
    <cellStyle name="Normal 5 2 3 3 3 2 3" xfId="11592" xr:uid="{6CF7205F-00E1-4FA4-BF6F-8B9F34125469}"/>
    <cellStyle name="Normal 5 2 3 3 3 3" xfId="5215" xr:uid="{00000000-0005-0000-0000-00009C180000}"/>
    <cellStyle name="Normal 5 2 3 3 3 3 2" xfId="13665" xr:uid="{7FAED92A-DE8C-4D39-A15C-7AAD86112DB7}"/>
    <cellStyle name="Normal 5 2 3 3 3 4" xfId="9447" xr:uid="{C2F0B006-AE15-4070-987B-D637C4FBE728}"/>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6223" xr:uid="{B69B05FA-2F69-475E-A9D3-CB49ECA4439D}"/>
    <cellStyle name="Normal 5 2 3 3 4 2 3" xfId="12005" xr:uid="{6130F495-6EED-4834-A9CF-215C91F3A197}"/>
    <cellStyle name="Normal 5 2 3 3 4 3" xfId="5628" xr:uid="{00000000-0005-0000-0000-0000A0180000}"/>
    <cellStyle name="Normal 5 2 3 3 4 3 2" xfId="14078" xr:uid="{9A15CCAD-8103-4D6F-9E46-EB3CDE268E8A}"/>
    <cellStyle name="Normal 5 2 3 3 4 4" xfId="9860" xr:uid="{48F48F60-B156-4622-B9AF-1602D4054BF1}"/>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6636" xr:uid="{77689A99-A1DF-42CD-9847-D6230098E514}"/>
    <cellStyle name="Normal 5 2 3 3 5 2 3" xfId="12418" xr:uid="{EBE69DB1-99D9-475A-BF4F-A2A13B6002A0}"/>
    <cellStyle name="Normal 5 2 3 3 5 3" xfId="6041" xr:uid="{00000000-0005-0000-0000-0000A4180000}"/>
    <cellStyle name="Normal 5 2 3 3 5 3 2" xfId="14491" xr:uid="{633D018E-0C3F-454B-9920-8E30923BC4E4}"/>
    <cellStyle name="Normal 5 2 3 3 5 4" xfId="10273" xr:uid="{EBB39A95-9433-478C-9498-0EF828CEE277}"/>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049" xr:uid="{AD093022-8C85-41CE-8F11-0356DA8D2DBF}"/>
    <cellStyle name="Normal 5 2 3 3 6 2 3" xfId="12831" xr:uid="{E550C683-8A4F-4F3A-860A-8680818F6641}"/>
    <cellStyle name="Normal 5 2 3 3 6 3" xfId="6454" xr:uid="{00000000-0005-0000-0000-0000A8180000}"/>
    <cellStyle name="Normal 5 2 3 3 6 3 2" xfId="14904" xr:uid="{E2028296-7AE2-4209-8F60-811883A40024}"/>
    <cellStyle name="Normal 5 2 3 3 6 4" xfId="10686" xr:uid="{D160A233-303F-472F-8A06-C55A6AF4EAC8}"/>
    <cellStyle name="Normal 5 2 3 3 7" xfId="2584" xr:uid="{00000000-0005-0000-0000-0000A9180000}"/>
    <cellStyle name="Normal 5 2 3 3 7 2" xfId="6867" xr:uid="{00000000-0005-0000-0000-0000AA180000}"/>
    <cellStyle name="Normal 5 2 3 3 7 2 2" xfId="15317" xr:uid="{87BA0675-DA23-4C21-BF5C-F5F2CA5AFDBF}"/>
    <cellStyle name="Normal 5 2 3 3 7 3" xfId="11099" xr:uid="{85E4CA98-A296-410C-82FF-4C96EC68BCC6}"/>
    <cellStyle name="Normal 5 2 3 3 8" xfId="4802" xr:uid="{00000000-0005-0000-0000-0000AB180000}"/>
    <cellStyle name="Normal 5 2 3 3 8 2" xfId="13252" xr:uid="{42DCB943-B322-4C74-AF9B-12B37D27DD35}"/>
    <cellStyle name="Normal 5 2 3 3 9" xfId="9034" xr:uid="{E4AC5C7A-18D1-4E24-9837-2CC11FFECB6A}"/>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5812" xr:uid="{8B25BE6D-D0CD-486C-B561-96ADBBC734B4}"/>
    <cellStyle name="Normal 5 2 3 4 2 2 3" xfId="11594" xr:uid="{9CF1EF7F-842C-4E66-B1FC-C7DFF68CBC14}"/>
    <cellStyle name="Normal 5 2 3 4 2 3" xfId="5217" xr:uid="{00000000-0005-0000-0000-0000B0180000}"/>
    <cellStyle name="Normal 5 2 3 4 2 3 2" xfId="13667" xr:uid="{07604D60-9723-4D71-8C72-CD5D00703A02}"/>
    <cellStyle name="Normal 5 2 3 4 2 4" xfId="9449" xr:uid="{B90981DB-C9CA-45CA-9429-38C26BD727FD}"/>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6225" xr:uid="{E634F6F4-34CB-49B8-B1BC-1708C21D6BDF}"/>
    <cellStyle name="Normal 5 2 3 4 3 2 3" xfId="12007" xr:uid="{CFD94179-7066-411A-A284-A462BF2D88DC}"/>
    <cellStyle name="Normal 5 2 3 4 3 3" xfId="5630" xr:uid="{00000000-0005-0000-0000-0000B4180000}"/>
    <cellStyle name="Normal 5 2 3 4 3 3 2" xfId="14080" xr:uid="{328A28EF-2D26-45A3-97F0-6AD8C087AEDA}"/>
    <cellStyle name="Normal 5 2 3 4 3 4" xfId="9862" xr:uid="{0386CEB9-77C8-4553-8A0A-9428D0E7927A}"/>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6638" xr:uid="{DF3B60E0-65B5-4231-AFB9-A3F11FF9406C}"/>
    <cellStyle name="Normal 5 2 3 4 4 2 3" xfId="12420" xr:uid="{B8AC7A26-42E6-4436-96A3-B129BE661E19}"/>
    <cellStyle name="Normal 5 2 3 4 4 3" xfId="6043" xr:uid="{00000000-0005-0000-0000-0000B8180000}"/>
    <cellStyle name="Normal 5 2 3 4 4 3 2" xfId="14493" xr:uid="{E21CB466-B13A-4184-8F8A-A965F2B244CB}"/>
    <cellStyle name="Normal 5 2 3 4 4 4" xfId="10275" xr:uid="{60CD0B5C-3E66-49AC-BD90-7C0A05432266}"/>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051" xr:uid="{023A00F7-2B6E-418F-9EF8-0BC31685C994}"/>
    <cellStyle name="Normal 5 2 3 4 5 2 3" xfId="12833" xr:uid="{40AEA3B9-212F-4408-8BA2-5DB925AD9B4D}"/>
    <cellStyle name="Normal 5 2 3 4 5 3" xfId="6456" xr:uid="{00000000-0005-0000-0000-0000BC180000}"/>
    <cellStyle name="Normal 5 2 3 4 5 3 2" xfId="14906" xr:uid="{5FDCB4C6-C2D1-47F7-84FD-FAB451828552}"/>
    <cellStyle name="Normal 5 2 3 4 5 4" xfId="10688" xr:uid="{F6077569-0608-42E4-83B4-F253EBAF03B2}"/>
    <cellStyle name="Normal 5 2 3 4 6" xfId="2586" xr:uid="{00000000-0005-0000-0000-0000BD180000}"/>
    <cellStyle name="Normal 5 2 3 4 6 2" xfId="6869" xr:uid="{00000000-0005-0000-0000-0000BE180000}"/>
    <cellStyle name="Normal 5 2 3 4 6 2 2" xfId="15319" xr:uid="{502C127E-D60C-4A8A-B35E-626DF1340236}"/>
    <cellStyle name="Normal 5 2 3 4 6 3" xfId="11101" xr:uid="{88A6E96B-CF7A-4883-A60D-CFA4B5F7CF7F}"/>
    <cellStyle name="Normal 5 2 3 4 7" xfId="4804" xr:uid="{00000000-0005-0000-0000-0000BF180000}"/>
    <cellStyle name="Normal 5 2 3 4 7 2" xfId="13254" xr:uid="{60BDC55B-2810-4EEF-B24E-B043AE519363}"/>
    <cellStyle name="Normal 5 2 3 4 8" xfId="9036" xr:uid="{947EBA18-A5D7-4ABC-A7EC-3286C52FE350}"/>
    <cellStyle name="Normal 5 2 3 5" xfId="898" xr:uid="{00000000-0005-0000-0000-0000C0180000}"/>
    <cellStyle name="Normal 5 2 3 5 2" xfId="3133" xr:uid="{00000000-0005-0000-0000-0000C1180000}"/>
    <cellStyle name="Normal 5 2 3 5 2 2" xfId="7355" xr:uid="{00000000-0005-0000-0000-0000C2180000}"/>
    <cellStyle name="Normal 5 2 3 5 2 2 2" xfId="15805" xr:uid="{C7529B78-2F1E-46C9-B9CE-3C65C3371322}"/>
    <cellStyle name="Normal 5 2 3 5 2 3" xfId="11587" xr:uid="{C02CD270-D5D2-498F-B306-AB26192370E4}"/>
    <cellStyle name="Normal 5 2 3 5 3" xfId="5210" xr:uid="{00000000-0005-0000-0000-0000C3180000}"/>
    <cellStyle name="Normal 5 2 3 5 3 2" xfId="13660" xr:uid="{6FD856E6-D99C-41B8-8A8D-A8C81EB50537}"/>
    <cellStyle name="Normal 5 2 3 5 4" xfId="9442" xr:uid="{BAEA9FD3-2730-449C-BC81-1AAFEFA148CE}"/>
    <cellStyle name="Normal 5 2 3 6" xfId="1316" xr:uid="{00000000-0005-0000-0000-0000C4180000}"/>
    <cellStyle name="Normal 5 2 3 6 2" xfId="3546" xr:uid="{00000000-0005-0000-0000-0000C5180000}"/>
    <cellStyle name="Normal 5 2 3 6 2 2" xfId="7768" xr:uid="{00000000-0005-0000-0000-0000C6180000}"/>
    <cellStyle name="Normal 5 2 3 6 2 2 2" xfId="16218" xr:uid="{58B4681E-857C-498B-AB4A-4B3F5CA3BB33}"/>
    <cellStyle name="Normal 5 2 3 6 2 3" xfId="12000" xr:uid="{2979CEA1-F81F-4C45-A21D-DB8D23DA04CE}"/>
    <cellStyle name="Normal 5 2 3 6 3" xfId="5623" xr:uid="{00000000-0005-0000-0000-0000C7180000}"/>
    <cellStyle name="Normal 5 2 3 6 3 2" xfId="14073" xr:uid="{18D341C3-29C7-42BC-A79B-BCE9B2D41789}"/>
    <cellStyle name="Normal 5 2 3 6 4" xfId="9855" xr:uid="{1496835E-A879-46A6-8699-AA40E1FCAD2B}"/>
    <cellStyle name="Normal 5 2 3 7" xfId="1729" xr:uid="{00000000-0005-0000-0000-0000C8180000}"/>
    <cellStyle name="Normal 5 2 3 7 2" xfId="3959" xr:uid="{00000000-0005-0000-0000-0000C9180000}"/>
    <cellStyle name="Normal 5 2 3 7 2 2" xfId="8181" xr:uid="{00000000-0005-0000-0000-0000CA180000}"/>
    <cellStyle name="Normal 5 2 3 7 2 2 2" xfId="16631" xr:uid="{F110CB24-8ED5-4941-80D4-93CE2F784A46}"/>
    <cellStyle name="Normal 5 2 3 7 2 3" xfId="12413" xr:uid="{BD2FB226-E6C1-4971-9986-ACA5F0C6060E}"/>
    <cellStyle name="Normal 5 2 3 7 3" xfId="6036" xr:uid="{00000000-0005-0000-0000-0000CB180000}"/>
    <cellStyle name="Normal 5 2 3 7 3 2" xfId="14486" xr:uid="{EA4E87BC-700F-4A11-8B47-C38A5D98175A}"/>
    <cellStyle name="Normal 5 2 3 7 4" xfId="10268" xr:uid="{22B82123-FE61-40C5-B315-AA617602ECE7}"/>
    <cellStyle name="Normal 5 2 3 8" xfId="2143" xr:uid="{00000000-0005-0000-0000-0000CC180000}"/>
    <cellStyle name="Normal 5 2 3 8 2" xfId="4372" xr:uid="{00000000-0005-0000-0000-0000CD180000}"/>
    <cellStyle name="Normal 5 2 3 8 2 2" xfId="8594" xr:uid="{00000000-0005-0000-0000-0000CE180000}"/>
    <cellStyle name="Normal 5 2 3 8 2 2 2" xfId="17044" xr:uid="{DCEC5E87-71DB-47D5-8DD4-43BE64E6C69C}"/>
    <cellStyle name="Normal 5 2 3 8 2 3" xfId="12826" xr:uid="{A15F4F39-AF78-4001-A4AD-E431D80B7F1E}"/>
    <cellStyle name="Normal 5 2 3 8 3" xfId="6449" xr:uid="{00000000-0005-0000-0000-0000CF180000}"/>
    <cellStyle name="Normal 5 2 3 8 3 2" xfId="14899" xr:uid="{5F04B360-C47D-49F5-B186-43F30C62AA66}"/>
    <cellStyle name="Normal 5 2 3 8 4" xfId="10681" xr:uid="{B418B4E1-5BA3-45D7-A8C3-D3A27B80DC90}"/>
    <cellStyle name="Normal 5 2 3 9" xfId="2579" xr:uid="{00000000-0005-0000-0000-0000D0180000}"/>
    <cellStyle name="Normal 5 2 3 9 2" xfId="6862" xr:uid="{00000000-0005-0000-0000-0000D1180000}"/>
    <cellStyle name="Normal 5 2 3 9 2 2" xfId="15312" xr:uid="{D22E9978-A66E-48EC-8D4B-EB7CA783FE08}"/>
    <cellStyle name="Normal 5 2 3 9 3" xfId="11094" xr:uid="{19131DAA-7340-461C-9A56-159FA4616B49}"/>
    <cellStyle name="Normal 5 2 4" xfId="432" xr:uid="{00000000-0005-0000-0000-0000D2180000}"/>
    <cellStyle name="Normal 5 2 4 10" xfId="9037" xr:uid="{D420F12E-7569-4E3D-8090-4385AEBF20C5}"/>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5815" xr:uid="{A159A5A6-7C49-4CC5-AAB5-0ED69AEA0CFC}"/>
    <cellStyle name="Normal 5 2 4 2 2 2 2 3" xfId="11597" xr:uid="{1227527F-B4BF-4B5E-A20D-05AEA36FC51D}"/>
    <cellStyle name="Normal 5 2 4 2 2 2 3" xfId="5220" xr:uid="{00000000-0005-0000-0000-0000D8180000}"/>
    <cellStyle name="Normal 5 2 4 2 2 2 3 2" xfId="13670" xr:uid="{64FEA022-0DC0-4533-A109-FE981C33E45F}"/>
    <cellStyle name="Normal 5 2 4 2 2 2 4" xfId="9452" xr:uid="{29CB1A88-4116-4E2F-8F7F-A3C5416B11E3}"/>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6228" xr:uid="{D2AAC84A-F754-4E5F-9CE9-03A6ACCB3072}"/>
    <cellStyle name="Normal 5 2 4 2 2 3 2 3" xfId="12010" xr:uid="{F9484C58-E4F3-4C2C-9B25-7F78E66A3964}"/>
    <cellStyle name="Normal 5 2 4 2 2 3 3" xfId="5633" xr:uid="{00000000-0005-0000-0000-0000DC180000}"/>
    <cellStyle name="Normal 5 2 4 2 2 3 3 2" xfId="14083" xr:uid="{927CA10D-4EDC-4354-BF7A-24551758C4B9}"/>
    <cellStyle name="Normal 5 2 4 2 2 3 4" xfId="9865" xr:uid="{BD70D08F-BC9A-4A91-A2C4-F5EA86068DF9}"/>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6641" xr:uid="{A40BFF0E-98E7-4FEA-9546-105FA243B1E4}"/>
    <cellStyle name="Normal 5 2 4 2 2 4 2 3" xfId="12423" xr:uid="{E399E552-3EE4-4FE6-90CA-439098AAB23F}"/>
    <cellStyle name="Normal 5 2 4 2 2 4 3" xfId="6046" xr:uid="{00000000-0005-0000-0000-0000E0180000}"/>
    <cellStyle name="Normal 5 2 4 2 2 4 3 2" xfId="14496" xr:uid="{C6FE759C-25FE-42C5-A2AD-9BFA230F40FB}"/>
    <cellStyle name="Normal 5 2 4 2 2 4 4" xfId="10278" xr:uid="{379B7DC9-899E-4979-8153-70E0DAE4D3EC}"/>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054" xr:uid="{D065DD71-E6FA-4C26-8CCA-8DF65F7F7944}"/>
    <cellStyle name="Normal 5 2 4 2 2 5 2 3" xfId="12836" xr:uid="{EB3AB399-C292-4621-AD52-6C3DE0C1BC1F}"/>
    <cellStyle name="Normal 5 2 4 2 2 5 3" xfId="6459" xr:uid="{00000000-0005-0000-0000-0000E4180000}"/>
    <cellStyle name="Normal 5 2 4 2 2 5 3 2" xfId="14909" xr:uid="{A07D349F-8E90-472A-9093-64540BA0A9B9}"/>
    <cellStyle name="Normal 5 2 4 2 2 5 4" xfId="10691" xr:uid="{D9CBB355-F170-430B-9599-223357452A7D}"/>
    <cellStyle name="Normal 5 2 4 2 2 6" xfId="2589" xr:uid="{00000000-0005-0000-0000-0000E5180000}"/>
    <cellStyle name="Normal 5 2 4 2 2 6 2" xfId="6872" xr:uid="{00000000-0005-0000-0000-0000E6180000}"/>
    <cellStyle name="Normal 5 2 4 2 2 6 2 2" xfId="15322" xr:uid="{49666871-0025-46F4-B106-B8E502A86A3B}"/>
    <cellStyle name="Normal 5 2 4 2 2 6 3" xfId="11104" xr:uid="{7A41840E-2870-46EB-BBCD-C5D3F2B3C34B}"/>
    <cellStyle name="Normal 5 2 4 2 2 7" xfId="4807" xr:uid="{00000000-0005-0000-0000-0000E7180000}"/>
    <cellStyle name="Normal 5 2 4 2 2 7 2" xfId="13257" xr:uid="{8682336E-0C94-46F2-B14E-2CA072A60FE1}"/>
    <cellStyle name="Normal 5 2 4 2 2 8" xfId="9039" xr:uid="{C964AF5D-B0D7-4841-B846-3B4AF72635F9}"/>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5814" xr:uid="{20818007-A512-49B3-82A7-3C3B72B9A5BA}"/>
    <cellStyle name="Normal 5 2 4 2 3 2 3" xfId="11596" xr:uid="{783A6D07-3486-44E4-81F4-2979CF0357D7}"/>
    <cellStyle name="Normal 5 2 4 2 3 3" xfId="5219" xr:uid="{00000000-0005-0000-0000-0000EB180000}"/>
    <cellStyle name="Normal 5 2 4 2 3 3 2" xfId="13669" xr:uid="{E893306D-3E1E-4B68-ADDE-1C32FCE1B5F4}"/>
    <cellStyle name="Normal 5 2 4 2 3 4" xfId="9451" xr:uid="{B31C9454-821D-41BB-96D5-D93E18CB1041}"/>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6227" xr:uid="{66F8FBBD-0A3B-4B49-B689-DFF5669D5EC9}"/>
    <cellStyle name="Normal 5 2 4 2 4 2 3" xfId="12009" xr:uid="{2C9ACD53-077E-489B-9347-50D8253AC414}"/>
    <cellStyle name="Normal 5 2 4 2 4 3" xfId="5632" xr:uid="{00000000-0005-0000-0000-0000EF180000}"/>
    <cellStyle name="Normal 5 2 4 2 4 3 2" xfId="14082" xr:uid="{344BF16D-BD32-4BEF-A203-FD02940D4804}"/>
    <cellStyle name="Normal 5 2 4 2 4 4" xfId="9864" xr:uid="{5BAB9437-8A70-459B-AB2F-54211324A0B2}"/>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6640" xr:uid="{13412187-FDF0-45BB-AC08-E59E5D74BCFA}"/>
    <cellStyle name="Normal 5 2 4 2 5 2 3" xfId="12422" xr:uid="{E86F8021-7CAD-45FE-986A-4F9AC8FD55D4}"/>
    <cellStyle name="Normal 5 2 4 2 5 3" xfId="6045" xr:uid="{00000000-0005-0000-0000-0000F3180000}"/>
    <cellStyle name="Normal 5 2 4 2 5 3 2" xfId="14495" xr:uid="{797F064F-F275-4C75-8C37-A22B2138D7B6}"/>
    <cellStyle name="Normal 5 2 4 2 5 4" xfId="10277" xr:uid="{27A5BFA2-12EF-4101-88DA-23FF309E2AEE}"/>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053" xr:uid="{164933D3-C2FA-42BD-876C-F1F808BC3061}"/>
    <cellStyle name="Normal 5 2 4 2 6 2 3" xfId="12835" xr:uid="{AC14E7FC-2D54-458C-9FDF-AF70C6DACC1D}"/>
    <cellStyle name="Normal 5 2 4 2 6 3" xfId="6458" xr:uid="{00000000-0005-0000-0000-0000F7180000}"/>
    <cellStyle name="Normal 5 2 4 2 6 3 2" xfId="14908" xr:uid="{30D0C259-5339-4916-9F8F-94C623605AFF}"/>
    <cellStyle name="Normal 5 2 4 2 6 4" xfId="10690" xr:uid="{79D8E0B3-53EB-4B76-841C-562E152D2DEA}"/>
    <cellStyle name="Normal 5 2 4 2 7" xfId="2588" xr:uid="{00000000-0005-0000-0000-0000F8180000}"/>
    <cellStyle name="Normal 5 2 4 2 7 2" xfId="6871" xr:uid="{00000000-0005-0000-0000-0000F9180000}"/>
    <cellStyle name="Normal 5 2 4 2 7 2 2" xfId="15321" xr:uid="{1216F8E8-84BA-4104-BA9A-27DAF41E9D89}"/>
    <cellStyle name="Normal 5 2 4 2 7 3" xfId="11103" xr:uid="{8985C66F-C713-44E1-A4BA-9C7DE16E5265}"/>
    <cellStyle name="Normal 5 2 4 2 8" xfId="4806" xr:uid="{00000000-0005-0000-0000-0000FA180000}"/>
    <cellStyle name="Normal 5 2 4 2 8 2" xfId="13256" xr:uid="{A9033A1D-8505-4BFE-9E89-184C769826AA}"/>
    <cellStyle name="Normal 5 2 4 2 9" xfId="9038" xr:uid="{7403F43D-A16D-4791-A4DD-4DA465091DC5}"/>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5816" xr:uid="{5491AB27-C555-40E6-837E-802CA1672769}"/>
    <cellStyle name="Normal 5 2 4 3 2 2 3" xfId="11598" xr:uid="{C633225C-BC9C-4F7D-B0C7-4C04FE997265}"/>
    <cellStyle name="Normal 5 2 4 3 2 3" xfId="5221" xr:uid="{00000000-0005-0000-0000-0000FF180000}"/>
    <cellStyle name="Normal 5 2 4 3 2 3 2" xfId="13671" xr:uid="{6CAEBE20-C95B-432F-ABC2-B599B48D7F66}"/>
    <cellStyle name="Normal 5 2 4 3 2 4" xfId="9453" xr:uid="{61FE1A92-9CBB-47EA-ADE3-23C46D0BCA5A}"/>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6229" xr:uid="{415F71C3-C8F7-4A97-9727-47CE8674539E}"/>
    <cellStyle name="Normal 5 2 4 3 3 2 3" xfId="12011" xr:uid="{71105037-8F2F-4F55-AB00-D995FD45E719}"/>
    <cellStyle name="Normal 5 2 4 3 3 3" xfId="5634" xr:uid="{00000000-0005-0000-0000-000003190000}"/>
    <cellStyle name="Normal 5 2 4 3 3 3 2" xfId="14084" xr:uid="{99AF17FF-A85B-445A-9EEE-5EB97B11277D}"/>
    <cellStyle name="Normal 5 2 4 3 3 4" xfId="9866" xr:uid="{912D6502-367F-4558-ACCD-E1AF4E5F1FF5}"/>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6642" xr:uid="{4FC0702C-2FE0-4B58-8CA3-C455823DF3FD}"/>
    <cellStyle name="Normal 5 2 4 3 4 2 3" xfId="12424" xr:uid="{731C4FD5-8080-42D0-82C5-520E3F63B9E5}"/>
    <cellStyle name="Normal 5 2 4 3 4 3" xfId="6047" xr:uid="{00000000-0005-0000-0000-000007190000}"/>
    <cellStyle name="Normal 5 2 4 3 4 3 2" xfId="14497" xr:uid="{C22B1848-84B8-4DD0-B930-C5D7418AE474}"/>
    <cellStyle name="Normal 5 2 4 3 4 4" xfId="10279" xr:uid="{6CC6B443-02E6-4D81-8819-190AAFE0998D}"/>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055" xr:uid="{417DB354-2345-45D8-9F89-CE176C8F842F}"/>
    <cellStyle name="Normal 5 2 4 3 5 2 3" xfId="12837" xr:uid="{6B299F66-62C7-4E67-B66E-FE09885FD2E1}"/>
    <cellStyle name="Normal 5 2 4 3 5 3" xfId="6460" xr:uid="{00000000-0005-0000-0000-00000B190000}"/>
    <cellStyle name="Normal 5 2 4 3 5 3 2" xfId="14910" xr:uid="{17B46EAF-07C5-484D-8FDC-71ABF1D97B61}"/>
    <cellStyle name="Normal 5 2 4 3 5 4" xfId="10692" xr:uid="{FFCB82D6-16E6-4E7F-BC4F-74EDAEAB434E}"/>
    <cellStyle name="Normal 5 2 4 3 6" xfId="2590" xr:uid="{00000000-0005-0000-0000-00000C190000}"/>
    <cellStyle name="Normal 5 2 4 3 6 2" xfId="6873" xr:uid="{00000000-0005-0000-0000-00000D190000}"/>
    <cellStyle name="Normal 5 2 4 3 6 2 2" xfId="15323" xr:uid="{F1EC8C7E-15AD-4994-AF43-6864200D3E3D}"/>
    <cellStyle name="Normal 5 2 4 3 6 3" xfId="11105" xr:uid="{2F42E0BA-0590-4ED9-8F6B-8C3CEE448AF0}"/>
    <cellStyle name="Normal 5 2 4 3 7" xfId="4808" xr:uid="{00000000-0005-0000-0000-00000E190000}"/>
    <cellStyle name="Normal 5 2 4 3 7 2" xfId="13258" xr:uid="{302A252F-52E5-4994-A98A-C918829E53A9}"/>
    <cellStyle name="Normal 5 2 4 3 8" xfId="9040" xr:uid="{8B9239A8-FC5F-4415-AA2A-61679F733FF8}"/>
    <cellStyle name="Normal 5 2 4 4" xfId="906" xr:uid="{00000000-0005-0000-0000-00000F190000}"/>
    <cellStyle name="Normal 5 2 4 4 2" xfId="3141" xr:uid="{00000000-0005-0000-0000-000010190000}"/>
    <cellStyle name="Normal 5 2 4 4 2 2" xfId="7363" xr:uid="{00000000-0005-0000-0000-000011190000}"/>
    <cellStyle name="Normal 5 2 4 4 2 2 2" xfId="15813" xr:uid="{7A0C33F2-907F-41FF-824F-928A2D6A101C}"/>
    <cellStyle name="Normal 5 2 4 4 2 3" xfId="11595" xr:uid="{710F30B9-CBA8-4E68-997E-8509B477B8BD}"/>
    <cellStyle name="Normal 5 2 4 4 3" xfId="5218" xr:uid="{00000000-0005-0000-0000-000012190000}"/>
    <cellStyle name="Normal 5 2 4 4 3 2" xfId="13668" xr:uid="{F8E426D7-171D-4337-A84F-CD262FDB80D6}"/>
    <cellStyle name="Normal 5 2 4 4 4" xfId="9450" xr:uid="{1BDCE41A-9EFB-4580-9DE6-1882B08F6757}"/>
    <cellStyle name="Normal 5 2 4 5" xfId="1324" xr:uid="{00000000-0005-0000-0000-000013190000}"/>
    <cellStyle name="Normal 5 2 4 5 2" xfId="3554" xr:uid="{00000000-0005-0000-0000-000014190000}"/>
    <cellStyle name="Normal 5 2 4 5 2 2" xfId="7776" xr:uid="{00000000-0005-0000-0000-000015190000}"/>
    <cellStyle name="Normal 5 2 4 5 2 2 2" xfId="16226" xr:uid="{05E51979-0DB3-4EF0-995E-CDC92A6AD010}"/>
    <cellStyle name="Normal 5 2 4 5 2 3" xfId="12008" xr:uid="{79C14118-E7B6-48C6-B4AB-55F4B7383188}"/>
    <cellStyle name="Normal 5 2 4 5 3" xfId="5631" xr:uid="{00000000-0005-0000-0000-000016190000}"/>
    <cellStyle name="Normal 5 2 4 5 3 2" xfId="14081" xr:uid="{C970F6D4-14BA-4C2B-9810-0CC228DB94A3}"/>
    <cellStyle name="Normal 5 2 4 5 4" xfId="9863" xr:uid="{BCD50169-ADF9-48B7-B7D8-6741CC46C616}"/>
    <cellStyle name="Normal 5 2 4 6" xfId="1737" xr:uid="{00000000-0005-0000-0000-000017190000}"/>
    <cellStyle name="Normal 5 2 4 6 2" xfId="3967" xr:uid="{00000000-0005-0000-0000-000018190000}"/>
    <cellStyle name="Normal 5 2 4 6 2 2" xfId="8189" xr:uid="{00000000-0005-0000-0000-000019190000}"/>
    <cellStyle name="Normal 5 2 4 6 2 2 2" xfId="16639" xr:uid="{5906F074-8F47-4285-ABF6-55B8BB027D89}"/>
    <cellStyle name="Normal 5 2 4 6 2 3" xfId="12421" xr:uid="{FA862655-8D2C-4610-B887-4E4175FCEEB9}"/>
    <cellStyle name="Normal 5 2 4 6 3" xfId="6044" xr:uid="{00000000-0005-0000-0000-00001A190000}"/>
    <cellStyle name="Normal 5 2 4 6 3 2" xfId="14494" xr:uid="{CF54332C-E300-438F-A9C9-A5AAAA3D502C}"/>
    <cellStyle name="Normal 5 2 4 6 4" xfId="10276" xr:uid="{8786CC8F-DDD4-4E82-85A5-F92858F3E504}"/>
    <cellStyle name="Normal 5 2 4 7" xfId="2151" xr:uid="{00000000-0005-0000-0000-00001B190000}"/>
    <cellStyle name="Normal 5 2 4 7 2" xfId="4380" xr:uid="{00000000-0005-0000-0000-00001C190000}"/>
    <cellStyle name="Normal 5 2 4 7 2 2" xfId="8602" xr:uid="{00000000-0005-0000-0000-00001D190000}"/>
    <cellStyle name="Normal 5 2 4 7 2 2 2" xfId="17052" xr:uid="{76C7B0F8-C3EE-4137-8415-B7AE83DD4410}"/>
    <cellStyle name="Normal 5 2 4 7 2 3" xfId="12834" xr:uid="{477AAFAB-333C-49EB-B2B6-749737EA116F}"/>
    <cellStyle name="Normal 5 2 4 7 3" xfId="6457" xr:uid="{00000000-0005-0000-0000-00001E190000}"/>
    <cellStyle name="Normal 5 2 4 7 3 2" xfId="14907" xr:uid="{5C6090F8-1748-45B8-9E66-9F175A0314E9}"/>
    <cellStyle name="Normal 5 2 4 7 4" xfId="10689" xr:uid="{953E3885-C2C3-4884-80E2-CAE75BECE164}"/>
    <cellStyle name="Normal 5 2 4 8" xfId="2587" xr:uid="{00000000-0005-0000-0000-00001F190000}"/>
    <cellStyle name="Normal 5 2 4 8 2" xfId="6870" xr:uid="{00000000-0005-0000-0000-000020190000}"/>
    <cellStyle name="Normal 5 2 4 8 2 2" xfId="15320" xr:uid="{178B6F47-26EE-416A-A95D-A2AEB507EFB6}"/>
    <cellStyle name="Normal 5 2 4 8 3" xfId="11102" xr:uid="{76873EFB-4E65-42FB-864E-F18A81C49A7F}"/>
    <cellStyle name="Normal 5 2 4 9" xfId="4805" xr:uid="{00000000-0005-0000-0000-000021190000}"/>
    <cellStyle name="Normal 5 2 4 9 2" xfId="13255" xr:uid="{22E732F6-2539-49DC-83BF-D6AF9BEAB149}"/>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5818" xr:uid="{734FE188-FDEF-4C22-A893-68BF49AA599F}"/>
    <cellStyle name="Normal 5 2 5 2 2 2 3" xfId="11600" xr:uid="{016EBEA3-3542-437D-89D3-F0E9BA03C4B5}"/>
    <cellStyle name="Normal 5 2 5 2 2 3" xfId="5223" xr:uid="{00000000-0005-0000-0000-000027190000}"/>
    <cellStyle name="Normal 5 2 5 2 2 3 2" xfId="13673" xr:uid="{9241CD48-A9D4-4D2C-9B19-D96FD4A139E5}"/>
    <cellStyle name="Normal 5 2 5 2 2 4" xfId="9455" xr:uid="{D5E7A552-99CF-4E69-9254-2B6B18008DBF}"/>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6231" xr:uid="{3E387977-1CE2-49E7-8F3A-A68F3B487F52}"/>
    <cellStyle name="Normal 5 2 5 2 3 2 3" xfId="12013" xr:uid="{6CED4337-1A5C-49DA-9051-023CF56178A4}"/>
    <cellStyle name="Normal 5 2 5 2 3 3" xfId="5636" xr:uid="{00000000-0005-0000-0000-00002B190000}"/>
    <cellStyle name="Normal 5 2 5 2 3 3 2" xfId="14086" xr:uid="{A48F156B-6477-4BC4-AF12-972686CC93B1}"/>
    <cellStyle name="Normal 5 2 5 2 3 4" xfId="9868" xr:uid="{A9DE7145-B1EB-47C6-B548-D16A44DA7661}"/>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6644" xr:uid="{64BB9838-7A33-4DF3-8251-C62056EC687A}"/>
    <cellStyle name="Normal 5 2 5 2 4 2 3" xfId="12426" xr:uid="{B21C4AEE-A2C6-4629-97FF-8264F84EC800}"/>
    <cellStyle name="Normal 5 2 5 2 4 3" xfId="6049" xr:uid="{00000000-0005-0000-0000-00002F190000}"/>
    <cellStyle name="Normal 5 2 5 2 4 3 2" xfId="14499" xr:uid="{56AE62DF-D2EB-459F-A29D-F034076FDB25}"/>
    <cellStyle name="Normal 5 2 5 2 4 4" xfId="10281" xr:uid="{DF5CD950-A591-4452-9730-2A00F2DC629D}"/>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057" xr:uid="{701A6E85-9C81-4973-B0F1-7920117D1215}"/>
    <cellStyle name="Normal 5 2 5 2 5 2 3" xfId="12839" xr:uid="{3EFE4EA8-4ABA-48B3-AA32-3F9B6313DD8C}"/>
    <cellStyle name="Normal 5 2 5 2 5 3" xfId="6462" xr:uid="{00000000-0005-0000-0000-000033190000}"/>
    <cellStyle name="Normal 5 2 5 2 5 3 2" xfId="14912" xr:uid="{EAC37E74-DCB0-4C67-A541-E4735DCB0FF0}"/>
    <cellStyle name="Normal 5 2 5 2 5 4" xfId="10694" xr:uid="{E5ECF36E-833A-4109-83CF-0C07DFD8F46E}"/>
    <cellStyle name="Normal 5 2 5 2 6" xfId="2592" xr:uid="{00000000-0005-0000-0000-000034190000}"/>
    <cellStyle name="Normal 5 2 5 2 6 2" xfId="6875" xr:uid="{00000000-0005-0000-0000-000035190000}"/>
    <cellStyle name="Normal 5 2 5 2 6 2 2" xfId="15325" xr:uid="{1FA98370-EDD4-449A-89E3-257191C318B4}"/>
    <cellStyle name="Normal 5 2 5 2 6 3" xfId="11107" xr:uid="{0C8E52F6-7601-4AE1-9E2F-E1E7A112FDAA}"/>
    <cellStyle name="Normal 5 2 5 2 7" xfId="4810" xr:uid="{00000000-0005-0000-0000-000036190000}"/>
    <cellStyle name="Normal 5 2 5 2 7 2" xfId="13260" xr:uid="{8F7A5310-784E-4652-A824-502588EBF161}"/>
    <cellStyle name="Normal 5 2 5 2 8" xfId="9042" xr:uid="{4CBC75C6-13AD-4E1F-8EB9-FD42E1DB0C0F}"/>
    <cellStyle name="Normal 5 2 5 3" xfId="910" xr:uid="{00000000-0005-0000-0000-000037190000}"/>
    <cellStyle name="Normal 5 2 5 3 2" xfId="3145" xr:uid="{00000000-0005-0000-0000-000038190000}"/>
    <cellStyle name="Normal 5 2 5 3 2 2" xfId="7367" xr:uid="{00000000-0005-0000-0000-000039190000}"/>
    <cellStyle name="Normal 5 2 5 3 2 2 2" xfId="15817" xr:uid="{DABE7057-C0C0-4EEC-924D-79655F86CA38}"/>
    <cellStyle name="Normal 5 2 5 3 2 3" xfId="11599" xr:uid="{5D7E5339-6B55-48DD-83E6-EAF6EC06D140}"/>
    <cellStyle name="Normal 5 2 5 3 3" xfId="5222" xr:uid="{00000000-0005-0000-0000-00003A190000}"/>
    <cellStyle name="Normal 5 2 5 3 3 2" xfId="13672" xr:uid="{748833D9-717F-400D-9D9F-05F468FD8CFB}"/>
    <cellStyle name="Normal 5 2 5 3 4" xfId="9454" xr:uid="{03351638-C6FD-47BC-8CF1-E3EB5662A2B6}"/>
    <cellStyle name="Normal 5 2 5 4" xfId="1328" xr:uid="{00000000-0005-0000-0000-00003B190000}"/>
    <cellStyle name="Normal 5 2 5 4 2" xfId="3558" xr:uid="{00000000-0005-0000-0000-00003C190000}"/>
    <cellStyle name="Normal 5 2 5 4 2 2" xfId="7780" xr:uid="{00000000-0005-0000-0000-00003D190000}"/>
    <cellStyle name="Normal 5 2 5 4 2 2 2" xfId="16230" xr:uid="{76CF08EC-2514-42C6-9CE9-230E5A02F16A}"/>
    <cellStyle name="Normal 5 2 5 4 2 3" xfId="12012" xr:uid="{2A760652-91D5-41A9-B174-50D4A6C755A2}"/>
    <cellStyle name="Normal 5 2 5 4 3" xfId="5635" xr:uid="{00000000-0005-0000-0000-00003E190000}"/>
    <cellStyle name="Normal 5 2 5 4 3 2" xfId="14085" xr:uid="{0A5A380C-F7B1-4E2B-9D4C-E2DB96D0A9F3}"/>
    <cellStyle name="Normal 5 2 5 4 4" xfId="9867" xr:uid="{4CB72E91-E332-4D64-80B1-A111BDFA0045}"/>
    <cellStyle name="Normal 5 2 5 5" xfId="1741" xr:uid="{00000000-0005-0000-0000-00003F190000}"/>
    <cellStyle name="Normal 5 2 5 5 2" xfId="3971" xr:uid="{00000000-0005-0000-0000-000040190000}"/>
    <cellStyle name="Normal 5 2 5 5 2 2" xfId="8193" xr:uid="{00000000-0005-0000-0000-000041190000}"/>
    <cellStyle name="Normal 5 2 5 5 2 2 2" xfId="16643" xr:uid="{6A44EC8D-B65E-4CDD-BA0A-03327BC06838}"/>
    <cellStyle name="Normal 5 2 5 5 2 3" xfId="12425" xr:uid="{BDF434C4-38A5-4EBD-BFD1-873C2E559AEF}"/>
    <cellStyle name="Normal 5 2 5 5 3" xfId="6048" xr:uid="{00000000-0005-0000-0000-000042190000}"/>
    <cellStyle name="Normal 5 2 5 5 3 2" xfId="14498" xr:uid="{80394CE8-9EA7-4AA1-990E-5075AFCA867E}"/>
    <cellStyle name="Normal 5 2 5 5 4" xfId="10280" xr:uid="{D1C7DD60-FDA5-401D-882B-1B6FD5851D11}"/>
    <cellStyle name="Normal 5 2 5 6" xfId="2155" xr:uid="{00000000-0005-0000-0000-000043190000}"/>
    <cellStyle name="Normal 5 2 5 6 2" xfId="4384" xr:uid="{00000000-0005-0000-0000-000044190000}"/>
    <cellStyle name="Normal 5 2 5 6 2 2" xfId="8606" xr:uid="{00000000-0005-0000-0000-000045190000}"/>
    <cellStyle name="Normal 5 2 5 6 2 2 2" xfId="17056" xr:uid="{3521C832-94B9-4497-9862-3F7BE3E330A5}"/>
    <cellStyle name="Normal 5 2 5 6 2 3" xfId="12838" xr:uid="{1A7078F6-DEF7-4618-8B69-32D561F43FB7}"/>
    <cellStyle name="Normal 5 2 5 6 3" xfId="6461" xr:uid="{00000000-0005-0000-0000-000046190000}"/>
    <cellStyle name="Normal 5 2 5 6 3 2" xfId="14911" xr:uid="{1CC9CB7C-1B8B-4679-BC48-3C26CC2CB291}"/>
    <cellStyle name="Normal 5 2 5 6 4" xfId="10693" xr:uid="{0F9AEA81-2A0E-41F3-A0C4-7F5F8776F527}"/>
    <cellStyle name="Normal 5 2 5 7" xfId="2591" xr:uid="{00000000-0005-0000-0000-000047190000}"/>
    <cellStyle name="Normal 5 2 5 7 2" xfId="6874" xr:uid="{00000000-0005-0000-0000-000048190000}"/>
    <cellStyle name="Normal 5 2 5 7 2 2" xfId="15324" xr:uid="{DFC17BE6-B103-40EE-8448-05F64BED545F}"/>
    <cellStyle name="Normal 5 2 5 7 3" xfId="11106" xr:uid="{C59B6A7F-5B8B-42C4-86AE-D46A72791DC1}"/>
    <cellStyle name="Normal 5 2 5 8" xfId="4809" xr:uid="{00000000-0005-0000-0000-000049190000}"/>
    <cellStyle name="Normal 5 2 5 8 2" xfId="13259" xr:uid="{171FF44D-0F92-412D-B6E4-33D078CE110F}"/>
    <cellStyle name="Normal 5 2 5 9" xfId="9041" xr:uid="{F8D0AB9E-5A94-4A44-A064-B7ABD7EE5D79}"/>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5819" xr:uid="{BBBA9AA0-DD9C-491F-8A5C-46FB43496749}"/>
    <cellStyle name="Normal 5 2 6 2 2 3" xfId="11601" xr:uid="{0C3DCF36-83FF-4F43-9A5C-F043B3AC7E3E}"/>
    <cellStyle name="Normal 5 2 6 2 3" xfId="5224" xr:uid="{00000000-0005-0000-0000-00004E190000}"/>
    <cellStyle name="Normal 5 2 6 2 3 2" xfId="13674" xr:uid="{EB844D6A-8A09-447C-B88E-70C87BB96DAC}"/>
    <cellStyle name="Normal 5 2 6 2 4" xfId="9456" xr:uid="{1141B4EF-F6FA-41DF-A6DB-501D67FD19B4}"/>
    <cellStyle name="Normal 5 2 6 3" xfId="1330" xr:uid="{00000000-0005-0000-0000-00004F190000}"/>
    <cellStyle name="Normal 5 2 6 3 2" xfId="3560" xr:uid="{00000000-0005-0000-0000-000050190000}"/>
    <cellStyle name="Normal 5 2 6 3 2 2" xfId="7782" xr:uid="{00000000-0005-0000-0000-000051190000}"/>
    <cellStyle name="Normal 5 2 6 3 2 2 2" xfId="16232" xr:uid="{7C805978-6B37-4B43-8BA4-C9BACA858AB9}"/>
    <cellStyle name="Normal 5 2 6 3 2 3" xfId="12014" xr:uid="{54D8C71D-8C16-4DF3-88D6-C7F075D412FB}"/>
    <cellStyle name="Normal 5 2 6 3 3" xfId="5637" xr:uid="{00000000-0005-0000-0000-000052190000}"/>
    <cellStyle name="Normal 5 2 6 3 3 2" xfId="14087" xr:uid="{9235D72E-E260-4DA8-8582-BEED8159DD12}"/>
    <cellStyle name="Normal 5 2 6 3 4" xfId="9869" xr:uid="{07292648-F9F2-4473-A1CF-0371D2347430}"/>
    <cellStyle name="Normal 5 2 6 4" xfId="1743" xr:uid="{00000000-0005-0000-0000-000053190000}"/>
    <cellStyle name="Normal 5 2 6 4 2" xfId="3973" xr:uid="{00000000-0005-0000-0000-000054190000}"/>
    <cellStyle name="Normal 5 2 6 4 2 2" xfId="8195" xr:uid="{00000000-0005-0000-0000-000055190000}"/>
    <cellStyle name="Normal 5 2 6 4 2 2 2" xfId="16645" xr:uid="{F6857E83-7E57-4F79-9298-609E3B65E86F}"/>
    <cellStyle name="Normal 5 2 6 4 2 3" xfId="12427" xr:uid="{7FE00556-C296-41CA-BCA5-FF6075841AFE}"/>
    <cellStyle name="Normal 5 2 6 4 3" xfId="6050" xr:uid="{00000000-0005-0000-0000-000056190000}"/>
    <cellStyle name="Normal 5 2 6 4 3 2" xfId="14500" xr:uid="{65AA3FD6-E6D2-4C86-A06F-6F421C88A750}"/>
    <cellStyle name="Normal 5 2 6 4 4" xfId="10282" xr:uid="{1FE50D26-F45A-4950-9E53-13183C1043AA}"/>
    <cellStyle name="Normal 5 2 6 5" xfId="2157" xr:uid="{00000000-0005-0000-0000-000057190000}"/>
    <cellStyle name="Normal 5 2 6 5 2" xfId="4386" xr:uid="{00000000-0005-0000-0000-000058190000}"/>
    <cellStyle name="Normal 5 2 6 5 2 2" xfId="8608" xr:uid="{00000000-0005-0000-0000-000059190000}"/>
    <cellStyle name="Normal 5 2 6 5 2 2 2" xfId="17058" xr:uid="{982338BF-BCEC-4AA6-8066-C38B9662EF72}"/>
    <cellStyle name="Normal 5 2 6 5 2 3" xfId="12840" xr:uid="{BBDE3767-895D-49D6-9280-2874633B132D}"/>
    <cellStyle name="Normal 5 2 6 5 3" xfId="6463" xr:uid="{00000000-0005-0000-0000-00005A190000}"/>
    <cellStyle name="Normal 5 2 6 5 3 2" xfId="14913" xr:uid="{3FE41545-C5A6-47BC-A978-1B0CECAB77FA}"/>
    <cellStyle name="Normal 5 2 6 5 4" xfId="10695" xr:uid="{34DE331C-C193-43C4-91B0-1D01489F3D48}"/>
    <cellStyle name="Normal 5 2 6 6" xfId="2593" xr:uid="{00000000-0005-0000-0000-00005B190000}"/>
    <cellStyle name="Normal 5 2 6 6 2" xfId="6876" xr:uid="{00000000-0005-0000-0000-00005C190000}"/>
    <cellStyle name="Normal 5 2 6 6 2 2" xfId="15326" xr:uid="{C61EF309-7074-495E-9A82-E5F4C6C58AD2}"/>
    <cellStyle name="Normal 5 2 6 6 3" xfId="11108" xr:uid="{B42C21AA-ED86-4FF1-AF1A-9E204D96593D}"/>
    <cellStyle name="Normal 5 2 6 7" xfId="4811" xr:uid="{00000000-0005-0000-0000-00005D190000}"/>
    <cellStyle name="Normal 5 2 6 7 2" xfId="13261" xr:uid="{C863ABBA-E53F-4F89-892A-35CF70E8097C}"/>
    <cellStyle name="Normal 5 2 6 8" xfId="9043" xr:uid="{30435958-E947-40D9-8CFA-66049841B964}"/>
    <cellStyle name="Normal 5 2 7" xfId="881" xr:uid="{00000000-0005-0000-0000-00005E190000}"/>
    <cellStyle name="Normal 5 2 7 2" xfId="3116" xr:uid="{00000000-0005-0000-0000-00005F190000}"/>
    <cellStyle name="Normal 5 2 7 2 2" xfId="7338" xr:uid="{00000000-0005-0000-0000-000060190000}"/>
    <cellStyle name="Normal 5 2 7 2 2 2" xfId="15788" xr:uid="{2E2168AD-1523-4AB8-AC09-673A869F1146}"/>
    <cellStyle name="Normal 5 2 7 2 3" xfId="11570" xr:uid="{11619559-57F2-44F3-A51C-53A2CCCEE6CF}"/>
    <cellStyle name="Normal 5 2 7 3" xfId="5193" xr:uid="{00000000-0005-0000-0000-000061190000}"/>
    <cellStyle name="Normal 5 2 7 3 2" xfId="13643" xr:uid="{B3DF6524-4438-410F-961C-07299B54AE1B}"/>
    <cellStyle name="Normal 5 2 7 4" xfId="9425" xr:uid="{15071C02-6FA1-44B4-8060-E55947106150}"/>
    <cellStyle name="Normal 5 2 8" xfId="1299" xr:uid="{00000000-0005-0000-0000-000062190000}"/>
    <cellStyle name="Normal 5 2 8 2" xfId="3529" xr:uid="{00000000-0005-0000-0000-000063190000}"/>
    <cellStyle name="Normal 5 2 8 2 2" xfId="7751" xr:uid="{00000000-0005-0000-0000-000064190000}"/>
    <cellStyle name="Normal 5 2 8 2 2 2" xfId="16201" xr:uid="{4D7A68E5-51B8-4726-B0C7-D077296AADEC}"/>
    <cellStyle name="Normal 5 2 8 2 3" xfId="11983" xr:uid="{47D5E735-5B5A-45A4-B523-020A72146360}"/>
    <cellStyle name="Normal 5 2 8 3" xfId="5606" xr:uid="{00000000-0005-0000-0000-000065190000}"/>
    <cellStyle name="Normal 5 2 8 3 2" xfId="14056" xr:uid="{DB6F06DC-3A6F-4A87-9729-D09A81F37937}"/>
    <cellStyle name="Normal 5 2 8 4" xfId="9838" xr:uid="{B2EF86ED-C733-4D93-8254-860965D653EB}"/>
    <cellStyle name="Normal 5 2 9" xfId="1712" xr:uid="{00000000-0005-0000-0000-000066190000}"/>
    <cellStyle name="Normal 5 2 9 2" xfId="3942" xr:uid="{00000000-0005-0000-0000-000067190000}"/>
    <cellStyle name="Normal 5 2 9 2 2" xfId="8164" xr:uid="{00000000-0005-0000-0000-000068190000}"/>
    <cellStyle name="Normal 5 2 9 2 2 2" xfId="16614" xr:uid="{18AAD14A-DC24-4473-857F-F00678BC3E66}"/>
    <cellStyle name="Normal 5 2 9 2 3" xfId="12396" xr:uid="{B20547FD-2353-4A84-86C7-E33EB844509D}"/>
    <cellStyle name="Normal 5 2 9 3" xfId="6019" xr:uid="{00000000-0005-0000-0000-000069190000}"/>
    <cellStyle name="Normal 5 2 9 3 2" xfId="14469" xr:uid="{413BCE6C-1715-4331-A9B2-C5034266391C}"/>
    <cellStyle name="Normal 5 2 9 4" xfId="10251" xr:uid="{6CBFB982-1B65-423B-9776-EFBFC1AC269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059" xr:uid="{8A9BBE1B-B36D-43C4-8B15-450CA7B10F43}"/>
    <cellStyle name="Normal 5 3 10 2 3" xfId="12841" xr:uid="{7CA112F6-FBBD-4303-B73D-9645377249E5}"/>
    <cellStyle name="Normal 5 3 10 3" xfId="6464" xr:uid="{00000000-0005-0000-0000-00006E190000}"/>
    <cellStyle name="Normal 5 3 10 3 2" xfId="14914" xr:uid="{E69A1B45-3D3A-4458-806E-8E33B6E7EC80}"/>
    <cellStyle name="Normal 5 3 10 4" xfId="10696" xr:uid="{4A35D919-C3AE-4BDB-A608-06CFBAFDF596}"/>
    <cellStyle name="Normal 5 3 11" xfId="2594" xr:uid="{00000000-0005-0000-0000-00006F190000}"/>
    <cellStyle name="Normal 5 3 11 2" xfId="6877" xr:uid="{00000000-0005-0000-0000-000070190000}"/>
    <cellStyle name="Normal 5 3 11 2 2" xfId="15327" xr:uid="{9A33091C-8857-4F2F-AA6C-A1CCEAD46CE4}"/>
    <cellStyle name="Normal 5 3 11 3" xfId="11109" xr:uid="{E219F368-6CB9-42C6-8CBA-88E31BD2D09C}"/>
    <cellStyle name="Normal 5 3 12" xfId="4812" xr:uid="{00000000-0005-0000-0000-000071190000}"/>
    <cellStyle name="Normal 5 3 12 2" xfId="13262" xr:uid="{35E98EB3-7DA4-433A-B630-B0E66120C64A}"/>
    <cellStyle name="Normal 5 3 13" xfId="9044" xr:uid="{B9BAB868-0859-4F05-BBA0-B1FA3F406504}"/>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3263" xr:uid="{5398AAF0-4A5A-4E03-8C0A-A4A3F1ED2D0F}"/>
    <cellStyle name="Normal 5 3 3 11" xfId="9045" xr:uid="{C66B828F-23A5-40AF-91A2-EDF16496F552}"/>
    <cellStyle name="Normal 5 3 3 2" xfId="442" xr:uid="{00000000-0005-0000-0000-000076190000}"/>
    <cellStyle name="Normal 5 3 3 2 10" xfId="9046" xr:uid="{56F567FD-A39D-43FC-B0A9-1668F00B5CD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5824" xr:uid="{30A6E98C-9BAF-4A04-8907-AD32D98E0D2C}"/>
    <cellStyle name="Normal 5 3 3 2 2 2 2 2 3" xfId="11606" xr:uid="{3C21468D-0CBC-46F8-AB07-A043644163F9}"/>
    <cellStyle name="Normal 5 3 3 2 2 2 2 3" xfId="5229" xr:uid="{00000000-0005-0000-0000-00007C190000}"/>
    <cellStyle name="Normal 5 3 3 2 2 2 2 3 2" xfId="13679" xr:uid="{11F0A4EF-DD71-410E-A9F9-5D2E091E002F}"/>
    <cellStyle name="Normal 5 3 3 2 2 2 2 4" xfId="9461" xr:uid="{BC1C5228-648A-4EC0-877D-7BE6E28FCDB8}"/>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6237" xr:uid="{634FBFBC-9187-4080-A750-5801D8A0B79A}"/>
    <cellStyle name="Normal 5 3 3 2 2 2 3 2 3" xfId="12019" xr:uid="{BFAB6F86-9B79-4CAE-A3AF-0138E25EAB4D}"/>
    <cellStyle name="Normal 5 3 3 2 2 2 3 3" xfId="5642" xr:uid="{00000000-0005-0000-0000-000080190000}"/>
    <cellStyle name="Normal 5 3 3 2 2 2 3 3 2" xfId="14092" xr:uid="{87D021D4-B2EA-4F59-AA35-7537CA37F50B}"/>
    <cellStyle name="Normal 5 3 3 2 2 2 3 4" xfId="9874" xr:uid="{8D5C3EA8-D207-4DD7-B834-0984879A5E3F}"/>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6650" xr:uid="{32B788E1-BDD5-46D3-814D-CC73168C746A}"/>
    <cellStyle name="Normal 5 3 3 2 2 2 4 2 3" xfId="12432" xr:uid="{56FA8CAD-E6B4-4F0C-AFD4-809A0483D7E1}"/>
    <cellStyle name="Normal 5 3 3 2 2 2 4 3" xfId="6055" xr:uid="{00000000-0005-0000-0000-000084190000}"/>
    <cellStyle name="Normal 5 3 3 2 2 2 4 3 2" xfId="14505" xr:uid="{A1227AEF-35CF-423C-BA70-ADAD0ACB3658}"/>
    <cellStyle name="Normal 5 3 3 2 2 2 4 4" xfId="10287" xr:uid="{8A19B842-B12D-43D4-88DC-FF62CC8A4C78}"/>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063" xr:uid="{403D615D-1360-44D3-AB40-671FC9642CE5}"/>
    <cellStyle name="Normal 5 3 3 2 2 2 5 2 3" xfId="12845" xr:uid="{7E34214D-65F4-4E87-9B79-02A00F038FF8}"/>
    <cellStyle name="Normal 5 3 3 2 2 2 5 3" xfId="6468" xr:uid="{00000000-0005-0000-0000-000088190000}"/>
    <cellStyle name="Normal 5 3 3 2 2 2 5 3 2" xfId="14918" xr:uid="{F4516FD0-04E3-4262-825D-6A41F2A10A90}"/>
    <cellStyle name="Normal 5 3 3 2 2 2 5 4" xfId="10700" xr:uid="{BDF0B685-E04C-4213-97B6-3C5C39A0AF52}"/>
    <cellStyle name="Normal 5 3 3 2 2 2 6" xfId="2598" xr:uid="{00000000-0005-0000-0000-000089190000}"/>
    <cellStyle name="Normal 5 3 3 2 2 2 6 2" xfId="6881" xr:uid="{00000000-0005-0000-0000-00008A190000}"/>
    <cellStyle name="Normal 5 3 3 2 2 2 6 2 2" xfId="15331" xr:uid="{99542E03-EAAA-41E1-84CB-1AD9A2BF6053}"/>
    <cellStyle name="Normal 5 3 3 2 2 2 6 3" xfId="11113" xr:uid="{7C8EF8B4-E1BE-42F0-B778-48FB97F843D8}"/>
    <cellStyle name="Normal 5 3 3 2 2 2 7" xfId="4816" xr:uid="{00000000-0005-0000-0000-00008B190000}"/>
    <cellStyle name="Normal 5 3 3 2 2 2 7 2" xfId="13266" xr:uid="{441AF0BA-ECCD-4852-BACB-0C6DCE355F79}"/>
    <cellStyle name="Normal 5 3 3 2 2 2 8" xfId="9048" xr:uid="{078232E2-5B6D-416B-B262-51BDEE882638}"/>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5823" xr:uid="{FFAF3D6E-922D-4EAB-97A4-D4995C0EAB54}"/>
    <cellStyle name="Normal 5 3 3 2 2 3 2 3" xfId="11605" xr:uid="{F8A5BABF-5AB2-4BA4-B135-908D0B793EC1}"/>
    <cellStyle name="Normal 5 3 3 2 2 3 3" xfId="5228" xr:uid="{00000000-0005-0000-0000-00008F190000}"/>
    <cellStyle name="Normal 5 3 3 2 2 3 3 2" xfId="13678" xr:uid="{0A237263-EDAC-489B-987D-0965CDEE691F}"/>
    <cellStyle name="Normal 5 3 3 2 2 3 4" xfId="9460" xr:uid="{5755B537-D6CE-46C9-AFE5-6EED81BAEE55}"/>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6236" xr:uid="{694C6371-D84E-47DE-978A-7BA81D5E6A33}"/>
    <cellStyle name="Normal 5 3 3 2 2 4 2 3" xfId="12018" xr:uid="{60092E77-1891-434E-951A-D4209B991678}"/>
    <cellStyle name="Normal 5 3 3 2 2 4 3" xfId="5641" xr:uid="{00000000-0005-0000-0000-000093190000}"/>
    <cellStyle name="Normal 5 3 3 2 2 4 3 2" xfId="14091" xr:uid="{9C0A9999-746B-4586-8BDB-D4A57898C340}"/>
    <cellStyle name="Normal 5 3 3 2 2 4 4" xfId="9873" xr:uid="{F2B295D9-B489-43D0-B61B-2468224AC23E}"/>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6649" xr:uid="{037A528F-3E45-4BB6-B2D7-AD92CBD588A8}"/>
    <cellStyle name="Normal 5 3 3 2 2 5 2 3" xfId="12431" xr:uid="{86A723F1-756C-4A99-9050-5931F54EC974}"/>
    <cellStyle name="Normal 5 3 3 2 2 5 3" xfId="6054" xr:uid="{00000000-0005-0000-0000-000097190000}"/>
    <cellStyle name="Normal 5 3 3 2 2 5 3 2" xfId="14504" xr:uid="{EE7D487B-D122-4329-ACEC-B6AC41E209E2}"/>
    <cellStyle name="Normal 5 3 3 2 2 5 4" xfId="10286" xr:uid="{465256CE-B9C4-446A-BDFB-E6F2E7071F3B}"/>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062" xr:uid="{52FB829A-39E8-48BF-98AF-9301AE299C18}"/>
    <cellStyle name="Normal 5 3 3 2 2 6 2 3" xfId="12844" xr:uid="{E1B61308-00ED-44EC-8C3C-B860D25BF24E}"/>
    <cellStyle name="Normal 5 3 3 2 2 6 3" xfId="6467" xr:uid="{00000000-0005-0000-0000-00009B190000}"/>
    <cellStyle name="Normal 5 3 3 2 2 6 3 2" xfId="14917" xr:uid="{F102A009-DEE5-42A1-B39C-84D36F39180E}"/>
    <cellStyle name="Normal 5 3 3 2 2 6 4" xfId="10699" xr:uid="{FFE72A7B-A981-4384-B98C-1281C239CCF1}"/>
    <cellStyle name="Normal 5 3 3 2 2 7" xfId="2597" xr:uid="{00000000-0005-0000-0000-00009C190000}"/>
    <cellStyle name="Normal 5 3 3 2 2 7 2" xfId="6880" xr:uid="{00000000-0005-0000-0000-00009D190000}"/>
    <cellStyle name="Normal 5 3 3 2 2 7 2 2" xfId="15330" xr:uid="{AD35995F-392E-49A1-B3BE-9AE07C90A246}"/>
    <cellStyle name="Normal 5 3 3 2 2 7 3" xfId="11112" xr:uid="{66912505-3B7E-4FC2-BEC6-7A227AD2FABB}"/>
    <cellStyle name="Normal 5 3 3 2 2 8" xfId="4815" xr:uid="{00000000-0005-0000-0000-00009E190000}"/>
    <cellStyle name="Normal 5 3 3 2 2 8 2" xfId="13265" xr:uid="{A242DC4D-B035-46E6-ABAF-15576B2F8A92}"/>
    <cellStyle name="Normal 5 3 3 2 2 9" xfId="9047" xr:uid="{3CBAFA75-836F-4CF1-9502-E3174F778603}"/>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5825" xr:uid="{5C877566-6EAA-4F7B-AA16-C9BB0884E1D2}"/>
    <cellStyle name="Normal 5 3 3 2 3 2 2 3" xfId="11607" xr:uid="{49E456A4-18E8-4055-BD48-49ED185F77CC}"/>
    <cellStyle name="Normal 5 3 3 2 3 2 3" xfId="5230" xr:uid="{00000000-0005-0000-0000-0000A3190000}"/>
    <cellStyle name="Normal 5 3 3 2 3 2 3 2" xfId="13680" xr:uid="{B9D4D4EA-A85A-4A2D-84ED-E3385FBBC578}"/>
    <cellStyle name="Normal 5 3 3 2 3 2 4" xfId="9462" xr:uid="{CCFC0A91-C511-4588-8549-252B4D21847B}"/>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6238" xr:uid="{913090EF-F13D-41FC-9CF2-F39C2E9A7B4F}"/>
    <cellStyle name="Normal 5 3 3 2 3 3 2 3" xfId="12020" xr:uid="{4AE816D7-ADAF-472E-9507-18D954A37781}"/>
    <cellStyle name="Normal 5 3 3 2 3 3 3" xfId="5643" xr:uid="{00000000-0005-0000-0000-0000A7190000}"/>
    <cellStyle name="Normal 5 3 3 2 3 3 3 2" xfId="14093" xr:uid="{F265F013-94A9-4C80-9E12-DF343B18CF61}"/>
    <cellStyle name="Normal 5 3 3 2 3 3 4" xfId="9875" xr:uid="{8FB08137-C2DF-4839-813A-1185BF5555BE}"/>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6651" xr:uid="{03DDF0D6-7890-448E-8AC3-85ED6B2220D2}"/>
    <cellStyle name="Normal 5 3 3 2 3 4 2 3" xfId="12433" xr:uid="{EB6E16EE-F200-473C-BEC8-DDF1AEE88485}"/>
    <cellStyle name="Normal 5 3 3 2 3 4 3" xfId="6056" xr:uid="{00000000-0005-0000-0000-0000AB190000}"/>
    <cellStyle name="Normal 5 3 3 2 3 4 3 2" xfId="14506" xr:uid="{91394E6C-73C2-49BD-A1C0-568F55D22A5C}"/>
    <cellStyle name="Normal 5 3 3 2 3 4 4" xfId="10288" xr:uid="{6D304CE2-A397-4A54-8213-96E3820D0FDC}"/>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064" xr:uid="{5A23E87C-92F7-41D2-98D4-C19B5770E9C1}"/>
    <cellStyle name="Normal 5 3 3 2 3 5 2 3" xfId="12846" xr:uid="{DB2E3097-0FD6-4644-8189-7880D53D4857}"/>
    <cellStyle name="Normal 5 3 3 2 3 5 3" xfId="6469" xr:uid="{00000000-0005-0000-0000-0000AF190000}"/>
    <cellStyle name="Normal 5 3 3 2 3 5 3 2" xfId="14919" xr:uid="{4538D930-9909-4233-8C80-9C5E23CCCB0D}"/>
    <cellStyle name="Normal 5 3 3 2 3 5 4" xfId="10701" xr:uid="{0E0F9F79-C4C4-4078-9E6B-3C11522905B3}"/>
    <cellStyle name="Normal 5 3 3 2 3 6" xfId="2599" xr:uid="{00000000-0005-0000-0000-0000B0190000}"/>
    <cellStyle name="Normal 5 3 3 2 3 6 2" xfId="6882" xr:uid="{00000000-0005-0000-0000-0000B1190000}"/>
    <cellStyle name="Normal 5 3 3 2 3 6 2 2" xfId="15332" xr:uid="{3CAEEE71-4AAB-4082-B132-3311AB12D39D}"/>
    <cellStyle name="Normal 5 3 3 2 3 6 3" xfId="11114" xr:uid="{CA6D8EE8-8048-4610-98B6-1BF794202B36}"/>
    <cellStyle name="Normal 5 3 3 2 3 7" xfId="4817" xr:uid="{00000000-0005-0000-0000-0000B2190000}"/>
    <cellStyle name="Normal 5 3 3 2 3 7 2" xfId="13267" xr:uid="{B772A5F5-C611-40D1-B983-D301189F779A}"/>
    <cellStyle name="Normal 5 3 3 2 3 8" xfId="9049" xr:uid="{32F6F070-A7F0-4B72-A541-5E7549417D9C}"/>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5822" xr:uid="{E57D14CD-ED3F-407F-8A81-08AB85DEE952}"/>
    <cellStyle name="Normal 5 3 3 2 4 2 3" xfId="11604" xr:uid="{8DD540AF-F15C-43DE-850B-6AFCDF024B0A}"/>
    <cellStyle name="Normal 5 3 3 2 4 3" xfId="5227" xr:uid="{00000000-0005-0000-0000-0000B6190000}"/>
    <cellStyle name="Normal 5 3 3 2 4 3 2" xfId="13677" xr:uid="{3ADEAC4C-8C67-489A-92BA-7FDAC04F9388}"/>
    <cellStyle name="Normal 5 3 3 2 4 4" xfId="9459" xr:uid="{F01FEB7C-2C22-43E6-9BC4-30852F451962}"/>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6235" xr:uid="{6FA6D63C-905C-4548-A5F0-30B8D4AD6DB3}"/>
    <cellStyle name="Normal 5 3 3 2 5 2 3" xfId="12017" xr:uid="{18A7978E-AAD0-4FEF-9A2A-A6DB54AB1975}"/>
    <cellStyle name="Normal 5 3 3 2 5 3" xfId="5640" xr:uid="{00000000-0005-0000-0000-0000BA190000}"/>
    <cellStyle name="Normal 5 3 3 2 5 3 2" xfId="14090" xr:uid="{4C4D7ADD-BB8B-4139-9457-577BCA3DEE35}"/>
    <cellStyle name="Normal 5 3 3 2 5 4" xfId="9872" xr:uid="{46A83E0B-81F9-417E-9090-C0F326E5807B}"/>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6648" xr:uid="{67ECF02D-B218-41C6-99F3-E942C5B92344}"/>
    <cellStyle name="Normal 5 3 3 2 6 2 3" xfId="12430" xr:uid="{94C28FEF-D92B-44D7-8D84-043A41CC5AB9}"/>
    <cellStyle name="Normal 5 3 3 2 6 3" xfId="6053" xr:uid="{00000000-0005-0000-0000-0000BE190000}"/>
    <cellStyle name="Normal 5 3 3 2 6 3 2" xfId="14503" xr:uid="{13811A9B-4F12-46BF-8443-9FAB4885B9D4}"/>
    <cellStyle name="Normal 5 3 3 2 6 4" xfId="10285" xr:uid="{15C501CB-0E33-470E-B309-302F6B297AD7}"/>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061" xr:uid="{7FCDE7AE-870E-4295-BDDB-A0C7804FF81B}"/>
    <cellStyle name="Normal 5 3 3 2 7 2 3" xfId="12843" xr:uid="{D4F613E3-14D3-430C-933E-C6EE0ECF1053}"/>
    <cellStyle name="Normal 5 3 3 2 7 3" xfId="6466" xr:uid="{00000000-0005-0000-0000-0000C2190000}"/>
    <cellStyle name="Normal 5 3 3 2 7 3 2" xfId="14916" xr:uid="{D9B33EDD-CF57-447A-8BB2-A6C3089B2A18}"/>
    <cellStyle name="Normal 5 3 3 2 7 4" xfId="10698" xr:uid="{0EEFDCE9-B164-4FDC-AAF0-56E9A5AC85E8}"/>
    <cellStyle name="Normal 5 3 3 2 8" xfId="2596" xr:uid="{00000000-0005-0000-0000-0000C3190000}"/>
    <cellStyle name="Normal 5 3 3 2 8 2" xfId="6879" xr:uid="{00000000-0005-0000-0000-0000C4190000}"/>
    <cellStyle name="Normal 5 3 3 2 8 2 2" xfId="15329" xr:uid="{02DCCF56-7518-40FC-A645-043F06CFC56B}"/>
    <cellStyle name="Normal 5 3 3 2 8 3" xfId="11111" xr:uid="{61A11AAE-FC16-404C-8A22-6E015ADD20EC}"/>
    <cellStyle name="Normal 5 3 3 2 9" xfId="4814" xr:uid="{00000000-0005-0000-0000-0000C5190000}"/>
    <cellStyle name="Normal 5 3 3 2 9 2" xfId="13264" xr:uid="{E7FF57AD-8410-496F-B137-521A211BF98C}"/>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5827" xr:uid="{F8E1D1B8-C909-4890-A903-05272BEF22D0}"/>
    <cellStyle name="Normal 5 3 3 3 2 2 2 3" xfId="11609" xr:uid="{DB6B0FBD-F06C-46BE-BA28-DBF9B3F547A3}"/>
    <cellStyle name="Normal 5 3 3 3 2 2 3" xfId="5232" xr:uid="{00000000-0005-0000-0000-0000CB190000}"/>
    <cellStyle name="Normal 5 3 3 3 2 2 3 2" xfId="13682" xr:uid="{932FC412-5757-498C-99B0-A4D708BD8D51}"/>
    <cellStyle name="Normal 5 3 3 3 2 2 4" xfId="9464" xr:uid="{05A412F2-A4BB-40F3-87D0-0EBD955046ED}"/>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6240" xr:uid="{94570E46-5CFD-484E-B6D9-8F9EC48C3583}"/>
    <cellStyle name="Normal 5 3 3 3 2 3 2 3" xfId="12022" xr:uid="{88590C83-056E-4610-8F44-CD038ABFD670}"/>
    <cellStyle name="Normal 5 3 3 3 2 3 3" xfId="5645" xr:uid="{00000000-0005-0000-0000-0000CF190000}"/>
    <cellStyle name="Normal 5 3 3 3 2 3 3 2" xfId="14095" xr:uid="{22A14FAF-E175-4226-A68C-A563008D995A}"/>
    <cellStyle name="Normal 5 3 3 3 2 3 4" xfId="9877" xr:uid="{7FD48962-5276-405E-B9E1-EA2A84E0AB1D}"/>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6653" xr:uid="{18CDF8D7-0A3C-457E-9901-C7551DF18475}"/>
    <cellStyle name="Normal 5 3 3 3 2 4 2 3" xfId="12435" xr:uid="{0E75DC3E-DAA8-462F-8A69-E38D82BC9A1D}"/>
    <cellStyle name="Normal 5 3 3 3 2 4 3" xfId="6058" xr:uid="{00000000-0005-0000-0000-0000D3190000}"/>
    <cellStyle name="Normal 5 3 3 3 2 4 3 2" xfId="14508" xr:uid="{99CA69C2-829E-4EDC-A6E4-7B3541461DE4}"/>
    <cellStyle name="Normal 5 3 3 3 2 4 4" xfId="10290" xr:uid="{C148A9FF-C4D7-4A21-BC10-6A8FC662B67B}"/>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066" xr:uid="{44673C88-C258-4326-997B-1391FF8FDDB4}"/>
    <cellStyle name="Normal 5 3 3 3 2 5 2 3" xfId="12848" xr:uid="{FE21CF6A-2D19-4451-A946-44B83C554B56}"/>
    <cellStyle name="Normal 5 3 3 3 2 5 3" xfId="6471" xr:uid="{00000000-0005-0000-0000-0000D7190000}"/>
    <cellStyle name="Normal 5 3 3 3 2 5 3 2" xfId="14921" xr:uid="{7EA4D38B-6008-4CBD-947A-F7FD395564ED}"/>
    <cellStyle name="Normal 5 3 3 3 2 5 4" xfId="10703" xr:uid="{7CF9B7F1-708D-4E9E-A302-CB6B3EABB3D1}"/>
    <cellStyle name="Normal 5 3 3 3 2 6" xfId="2601" xr:uid="{00000000-0005-0000-0000-0000D8190000}"/>
    <cellStyle name="Normal 5 3 3 3 2 6 2" xfId="6884" xr:uid="{00000000-0005-0000-0000-0000D9190000}"/>
    <cellStyle name="Normal 5 3 3 3 2 6 2 2" xfId="15334" xr:uid="{B27CE410-F725-4491-8C37-FAE9785AD040}"/>
    <cellStyle name="Normal 5 3 3 3 2 6 3" xfId="11116" xr:uid="{79478002-29DC-4F6C-8185-0A187A96B9CC}"/>
    <cellStyle name="Normal 5 3 3 3 2 7" xfId="4819" xr:uid="{00000000-0005-0000-0000-0000DA190000}"/>
    <cellStyle name="Normal 5 3 3 3 2 7 2" xfId="13269" xr:uid="{F8C14922-E9D6-4ACA-864F-4821AA36EA90}"/>
    <cellStyle name="Normal 5 3 3 3 2 8" xfId="9051" xr:uid="{06E87215-30FC-46DB-A790-107317BBA644}"/>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5826" xr:uid="{C325D197-B264-45E6-BA52-64BB7F120CEA}"/>
    <cellStyle name="Normal 5 3 3 3 3 2 3" xfId="11608" xr:uid="{DC339A89-C3DF-45C0-A1F2-AECA3DC698DF}"/>
    <cellStyle name="Normal 5 3 3 3 3 3" xfId="5231" xr:uid="{00000000-0005-0000-0000-0000DE190000}"/>
    <cellStyle name="Normal 5 3 3 3 3 3 2" xfId="13681" xr:uid="{D650E6FB-F07A-4FD0-90E8-68434F4B7369}"/>
    <cellStyle name="Normal 5 3 3 3 3 4" xfId="9463" xr:uid="{191EA8CA-97FD-4FEE-B821-EEBBC1817FB1}"/>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6239" xr:uid="{C9E57536-3835-4DC9-ABDC-B76288847E91}"/>
    <cellStyle name="Normal 5 3 3 3 4 2 3" xfId="12021" xr:uid="{7DEC4B70-2D45-4479-B194-F81312014F67}"/>
    <cellStyle name="Normal 5 3 3 3 4 3" xfId="5644" xr:uid="{00000000-0005-0000-0000-0000E2190000}"/>
    <cellStyle name="Normal 5 3 3 3 4 3 2" xfId="14094" xr:uid="{CCD7FE83-D78F-4C5E-A690-3F91F68818A8}"/>
    <cellStyle name="Normal 5 3 3 3 4 4" xfId="9876" xr:uid="{9E0A476D-9A16-4C94-9D42-F6A1489BB0AF}"/>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6652" xr:uid="{E3972FEC-7D88-46BC-B9A4-BF53936218E2}"/>
    <cellStyle name="Normal 5 3 3 3 5 2 3" xfId="12434" xr:uid="{00395D00-2253-4943-8BE2-8D2D1A2B9470}"/>
    <cellStyle name="Normal 5 3 3 3 5 3" xfId="6057" xr:uid="{00000000-0005-0000-0000-0000E6190000}"/>
    <cellStyle name="Normal 5 3 3 3 5 3 2" xfId="14507" xr:uid="{62ABDED3-266B-4BD0-ADEC-B28628A8BA0E}"/>
    <cellStyle name="Normal 5 3 3 3 5 4" xfId="10289" xr:uid="{2C557919-4F8B-4822-8B9C-DEFB3DE357A2}"/>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065" xr:uid="{319CC92A-CE2B-45D1-B85C-ECB9458F7629}"/>
    <cellStyle name="Normal 5 3 3 3 6 2 3" xfId="12847" xr:uid="{B4F9EBBD-244F-40C6-A0F9-D5B2F0E0D421}"/>
    <cellStyle name="Normal 5 3 3 3 6 3" xfId="6470" xr:uid="{00000000-0005-0000-0000-0000EA190000}"/>
    <cellStyle name="Normal 5 3 3 3 6 3 2" xfId="14920" xr:uid="{ADECD2C7-6222-41C2-9F90-CABC88B83F40}"/>
    <cellStyle name="Normal 5 3 3 3 6 4" xfId="10702" xr:uid="{49A3C82D-2297-42F2-9872-6DE934D55A04}"/>
    <cellStyle name="Normal 5 3 3 3 7" xfId="2600" xr:uid="{00000000-0005-0000-0000-0000EB190000}"/>
    <cellStyle name="Normal 5 3 3 3 7 2" xfId="6883" xr:uid="{00000000-0005-0000-0000-0000EC190000}"/>
    <cellStyle name="Normal 5 3 3 3 7 2 2" xfId="15333" xr:uid="{62651B07-C1C7-4548-A354-C67BC76C83C0}"/>
    <cellStyle name="Normal 5 3 3 3 7 3" xfId="11115" xr:uid="{8D8AF83A-9DE0-4258-85BD-6A458A335F64}"/>
    <cellStyle name="Normal 5 3 3 3 8" xfId="4818" xr:uid="{00000000-0005-0000-0000-0000ED190000}"/>
    <cellStyle name="Normal 5 3 3 3 8 2" xfId="13268" xr:uid="{FC723112-620C-413E-80A5-C9F98A5761C1}"/>
    <cellStyle name="Normal 5 3 3 3 9" xfId="9050" xr:uid="{4468283E-71CD-4248-94E5-EF9A42A707C1}"/>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5828" xr:uid="{87E59A3F-BCC7-4C36-B9D8-3BE7789829AC}"/>
    <cellStyle name="Normal 5 3 3 4 2 2 3" xfId="11610" xr:uid="{62F1BAD8-9834-4A5C-9CCE-0C23F7289B24}"/>
    <cellStyle name="Normal 5 3 3 4 2 3" xfId="5233" xr:uid="{00000000-0005-0000-0000-0000F2190000}"/>
    <cellStyle name="Normal 5 3 3 4 2 3 2" xfId="13683" xr:uid="{57511B77-3F19-47CF-9133-AC02010F1EC4}"/>
    <cellStyle name="Normal 5 3 3 4 2 4" xfId="9465" xr:uid="{7FEDEB82-302E-4E97-BD74-7C8C1F5F332A}"/>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6241" xr:uid="{88925934-FB77-40A8-B484-062E5F14F600}"/>
    <cellStyle name="Normal 5 3 3 4 3 2 3" xfId="12023" xr:uid="{DF1B63CF-D865-4A0F-9C44-80EC178E2D4C}"/>
    <cellStyle name="Normal 5 3 3 4 3 3" xfId="5646" xr:uid="{00000000-0005-0000-0000-0000F6190000}"/>
    <cellStyle name="Normal 5 3 3 4 3 3 2" xfId="14096" xr:uid="{44052CFB-CDCA-42B9-A279-6AA4CB1629A3}"/>
    <cellStyle name="Normal 5 3 3 4 3 4" xfId="9878" xr:uid="{FCB309E9-BD28-487E-BE2E-F6899829DE43}"/>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6654" xr:uid="{52E7D6A5-99F6-451B-84AA-9CA7D053D27E}"/>
    <cellStyle name="Normal 5 3 3 4 4 2 3" xfId="12436" xr:uid="{5420106D-AE1C-4F5A-844A-157B6A194C43}"/>
    <cellStyle name="Normal 5 3 3 4 4 3" xfId="6059" xr:uid="{00000000-0005-0000-0000-0000FA190000}"/>
    <cellStyle name="Normal 5 3 3 4 4 3 2" xfId="14509" xr:uid="{D9FA42EE-2FDD-4DFF-AC20-3B806D9B743F}"/>
    <cellStyle name="Normal 5 3 3 4 4 4" xfId="10291" xr:uid="{E65ABA1E-A42B-4506-AABC-DDA2AAA9A957}"/>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067" xr:uid="{6AEF93AA-680F-45A5-B34E-8732A5626768}"/>
    <cellStyle name="Normal 5 3 3 4 5 2 3" xfId="12849" xr:uid="{D5A82D75-2B8E-487B-8386-130A06830008}"/>
    <cellStyle name="Normal 5 3 3 4 5 3" xfId="6472" xr:uid="{00000000-0005-0000-0000-0000FE190000}"/>
    <cellStyle name="Normal 5 3 3 4 5 3 2" xfId="14922" xr:uid="{4CEC56CC-81E5-4405-BB25-2B8F5D4882D9}"/>
    <cellStyle name="Normal 5 3 3 4 5 4" xfId="10704" xr:uid="{585B480A-42CF-490A-A2BE-8607A129C171}"/>
    <cellStyle name="Normal 5 3 3 4 6" xfId="2602" xr:uid="{00000000-0005-0000-0000-0000FF190000}"/>
    <cellStyle name="Normal 5 3 3 4 6 2" xfId="6885" xr:uid="{00000000-0005-0000-0000-0000001A0000}"/>
    <cellStyle name="Normal 5 3 3 4 6 2 2" xfId="15335" xr:uid="{F3C3F916-ED3D-4C5A-B946-4096DD0BF753}"/>
    <cellStyle name="Normal 5 3 3 4 6 3" xfId="11117" xr:uid="{A8512E82-602A-450B-824F-3BFBDDFF9D0F}"/>
    <cellStyle name="Normal 5 3 3 4 7" xfId="4820" xr:uid="{00000000-0005-0000-0000-0000011A0000}"/>
    <cellStyle name="Normal 5 3 3 4 7 2" xfId="13270" xr:uid="{15FCB7E0-47E5-4F2A-8A29-42E3072123F1}"/>
    <cellStyle name="Normal 5 3 3 4 8" xfId="9052" xr:uid="{FCCCC637-57BD-477C-9D74-567D81D147C2}"/>
    <cellStyle name="Normal 5 3 3 5" xfId="915" xr:uid="{00000000-0005-0000-0000-0000021A0000}"/>
    <cellStyle name="Normal 5 3 3 5 2" xfId="3149" xr:uid="{00000000-0005-0000-0000-0000031A0000}"/>
    <cellStyle name="Normal 5 3 3 5 2 2" xfId="7371" xr:uid="{00000000-0005-0000-0000-0000041A0000}"/>
    <cellStyle name="Normal 5 3 3 5 2 2 2" xfId="15821" xr:uid="{8BA00589-7114-4F43-9032-8BCAD50A8C80}"/>
    <cellStyle name="Normal 5 3 3 5 2 3" xfId="11603" xr:uid="{088A22BA-2417-462E-A030-3FA915653D5C}"/>
    <cellStyle name="Normal 5 3 3 5 3" xfId="5226" xr:uid="{00000000-0005-0000-0000-0000051A0000}"/>
    <cellStyle name="Normal 5 3 3 5 3 2" xfId="13676" xr:uid="{8093D35F-36F6-47AC-B407-2773CD28C437}"/>
    <cellStyle name="Normal 5 3 3 5 4" xfId="9458" xr:uid="{A872EB11-EF7D-49A8-A368-51BA59B07D21}"/>
    <cellStyle name="Normal 5 3 3 6" xfId="1332" xr:uid="{00000000-0005-0000-0000-0000061A0000}"/>
    <cellStyle name="Normal 5 3 3 6 2" xfId="3562" xr:uid="{00000000-0005-0000-0000-0000071A0000}"/>
    <cellStyle name="Normal 5 3 3 6 2 2" xfId="7784" xr:uid="{00000000-0005-0000-0000-0000081A0000}"/>
    <cellStyle name="Normal 5 3 3 6 2 2 2" xfId="16234" xr:uid="{41CDBB7D-E138-4DD6-A8CA-744688A837AB}"/>
    <cellStyle name="Normal 5 3 3 6 2 3" xfId="12016" xr:uid="{7488A607-756F-4BFF-8592-3A4DA79AE69D}"/>
    <cellStyle name="Normal 5 3 3 6 3" xfId="5639" xr:uid="{00000000-0005-0000-0000-0000091A0000}"/>
    <cellStyle name="Normal 5 3 3 6 3 2" xfId="14089" xr:uid="{E413AE32-15A6-402A-BE43-D2DE737B84B9}"/>
    <cellStyle name="Normal 5 3 3 6 4" xfId="9871" xr:uid="{951249BD-E246-4367-98D0-A4459AF162FD}"/>
    <cellStyle name="Normal 5 3 3 7" xfId="1745" xr:uid="{00000000-0005-0000-0000-00000A1A0000}"/>
    <cellStyle name="Normal 5 3 3 7 2" xfId="3975" xr:uid="{00000000-0005-0000-0000-00000B1A0000}"/>
    <cellStyle name="Normal 5 3 3 7 2 2" xfId="8197" xr:uid="{00000000-0005-0000-0000-00000C1A0000}"/>
    <cellStyle name="Normal 5 3 3 7 2 2 2" xfId="16647" xr:uid="{C1988F0C-532C-4469-80B9-50DF24968489}"/>
    <cellStyle name="Normal 5 3 3 7 2 3" xfId="12429" xr:uid="{78939360-7149-47A5-ACC5-3E69EFA20DC7}"/>
    <cellStyle name="Normal 5 3 3 7 3" xfId="6052" xr:uid="{00000000-0005-0000-0000-00000D1A0000}"/>
    <cellStyle name="Normal 5 3 3 7 3 2" xfId="14502" xr:uid="{E15CAE72-51F1-4CEB-92C6-99A4D896164B}"/>
    <cellStyle name="Normal 5 3 3 7 4" xfId="10284" xr:uid="{AAB5E4B3-CAB4-4D2B-B394-724075CA937D}"/>
    <cellStyle name="Normal 5 3 3 8" xfId="2159" xr:uid="{00000000-0005-0000-0000-00000E1A0000}"/>
    <cellStyle name="Normal 5 3 3 8 2" xfId="4388" xr:uid="{00000000-0005-0000-0000-00000F1A0000}"/>
    <cellStyle name="Normal 5 3 3 8 2 2" xfId="8610" xr:uid="{00000000-0005-0000-0000-0000101A0000}"/>
    <cellStyle name="Normal 5 3 3 8 2 2 2" xfId="17060" xr:uid="{B0EC4CB7-8FC5-45C0-B883-74501C7A551A}"/>
    <cellStyle name="Normal 5 3 3 8 2 3" xfId="12842" xr:uid="{818D9330-B1E2-4262-9A5F-C74550DD17C0}"/>
    <cellStyle name="Normal 5 3 3 8 3" xfId="6465" xr:uid="{00000000-0005-0000-0000-0000111A0000}"/>
    <cellStyle name="Normal 5 3 3 8 3 2" xfId="14915" xr:uid="{D6FDAE15-C41E-4C47-AF14-0EF2FCF13298}"/>
    <cellStyle name="Normal 5 3 3 8 4" xfId="10697" xr:uid="{5C01F34E-2E31-4B71-8578-C78746883B76}"/>
    <cellStyle name="Normal 5 3 3 9" xfId="2595" xr:uid="{00000000-0005-0000-0000-0000121A0000}"/>
    <cellStyle name="Normal 5 3 3 9 2" xfId="6878" xr:uid="{00000000-0005-0000-0000-0000131A0000}"/>
    <cellStyle name="Normal 5 3 3 9 2 2" xfId="15328" xr:uid="{CFBEEEF9-4663-4A9C-84F5-730858C38492}"/>
    <cellStyle name="Normal 5 3 3 9 3" xfId="11110" xr:uid="{3306828A-5EE0-4B9B-A609-E3C8FB08ACA4}"/>
    <cellStyle name="Normal 5 3 4" xfId="449" xr:uid="{00000000-0005-0000-0000-0000141A0000}"/>
    <cellStyle name="Normal 5 3 4 10" xfId="9053" xr:uid="{894167D9-5165-4FF2-BEC8-A918F9EDA6E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5831" xr:uid="{83F0DAF5-CFA8-4236-9FEB-3D375E1C7F83}"/>
    <cellStyle name="Normal 5 3 4 2 2 2 2 3" xfId="11613" xr:uid="{B2F76E9C-D889-416A-94F8-6055AFE45D9E}"/>
    <cellStyle name="Normal 5 3 4 2 2 2 3" xfId="5236" xr:uid="{00000000-0005-0000-0000-00001A1A0000}"/>
    <cellStyle name="Normal 5 3 4 2 2 2 3 2" xfId="13686" xr:uid="{3E775793-F9B8-4D20-A650-C550E4CA3AD8}"/>
    <cellStyle name="Normal 5 3 4 2 2 2 4" xfId="9468" xr:uid="{71BF870B-D5D8-4FCF-87B4-3F4D2C62DA2F}"/>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6244" xr:uid="{2A596BFF-AFB4-42E4-B0A9-891A0A9DE2C7}"/>
    <cellStyle name="Normal 5 3 4 2 2 3 2 3" xfId="12026" xr:uid="{4814F12A-8FE6-4AAF-8D22-3FF8F5B3CB2C}"/>
    <cellStyle name="Normal 5 3 4 2 2 3 3" xfId="5649" xr:uid="{00000000-0005-0000-0000-00001E1A0000}"/>
    <cellStyle name="Normal 5 3 4 2 2 3 3 2" xfId="14099" xr:uid="{649ECC16-AFFC-4908-A766-82C24815075F}"/>
    <cellStyle name="Normal 5 3 4 2 2 3 4" xfId="9881" xr:uid="{C87BCB13-D0F3-4223-984B-184189E97A23}"/>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6657" xr:uid="{BE7CCFC1-14B8-4EEE-84F7-B4BAC9A6CDC5}"/>
    <cellStyle name="Normal 5 3 4 2 2 4 2 3" xfId="12439" xr:uid="{FD3A81E5-19F2-4010-A26C-BA05EBF3A32D}"/>
    <cellStyle name="Normal 5 3 4 2 2 4 3" xfId="6062" xr:uid="{00000000-0005-0000-0000-0000221A0000}"/>
    <cellStyle name="Normal 5 3 4 2 2 4 3 2" xfId="14512" xr:uid="{9AC9FC3B-332D-4209-95D7-069312A61574}"/>
    <cellStyle name="Normal 5 3 4 2 2 4 4" xfId="10294" xr:uid="{08A3F089-EF77-4BFE-BD46-6923843CA3BA}"/>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070" xr:uid="{5612593E-E359-4BAE-85D8-9CB85E45DF7C}"/>
    <cellStyle name="Normal 5 3 4 2 2 5 2 3" xfId="12852" xr:uid="{A8209BD4-4B91-484E-9CEC-6B179B45E477}"/>
    <cellStyle name="Normal 5 3 4 2 2 5 3" xfId="6475" xr:uid="{00000000-0005-0000-0000-0000261A0000}"/>
    <cellStyle name="Normal 5 3 4 2 2 5 3 2" xfId="14925" xr:uid="{1533A01C-4DC4-45E3-92C9-5CFEC4EC99AE}"/>
    <cellStyle name="Normal 5 3 4 2 2 5 4" xfId="10707" xr:uid="{51225E04-73EB-47D9-A8F3-531BDFB3870F}"/>
    <cellStyle name="Normal 5 3 4 2 2 6" xfId="2605" xr:uid="{00000000-0005-0000-0000-0000271A0000}"/>
    <cellStyle name="Normal 5 3 4 2 2 6 2" xfId="6888" xr:uid="{00000000-0005-0000-0000-0000281A0000}"/>
    <cellStyle name="Normal 5 3 4 2 2 6 2 2" xfId="15338" xr:uid="{2C3D5112-CE4A-43E9-BA09-8C6E01A9AEB3}"/>
    <cellStyle name="Normal 5 3 4 2 2 6 3" xfId="11120" xr:uid="{2D4EB660-04DF-4A24-8DF3-678829580A47}"/>
    <cellStyle name="Normal 5 3 4 2 2 7" xfId="4823" xr:uid="{00000000-0005-0000-0000-0000291A0000}"/>
    <cellStyle name="Normal 5 3 4 2 2 7 2" xfId="13273" xr:uid="{B953F691-886F-4A62-B418-FB081684B5E8}"/>
    <cellStyle name="Normal 5 3 4 2 2 8" xfId="9055" xr:uid="{84A51DD2-B850-463E-8557-C5860F67BB2E}"/>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5830" xr:uid="{42277F2D-EAB3-443F-A81A-483540544354}"/>
    <cellStyle name="Normal 5 3 4 2 3 2 3" xfId="11612" xr:uid="{049F6CA6-EEFB-4EA5-AE8F-8B084FBC982A}"/>
    <cellStyle name="Normal 5 3 4 2 3 3" xfId="5235" xr:uid="{00000000-0005-0000-0000-00002D1A0000}"/>
    <cellStyle name="Normal 5 3 4 2 3 3 2" xfId="13685" xr:uid="{15F04815-BA44-4D4E-B4AD-426245041B54}"/>
    <cellStyle name="Normal 5 3 4 2 3 4" xfId="9467" xr:uid="{5B6D980E-F361-43B6-8DA7-B46CDA10219E}"/>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6243" xr:uid="{449EC10C-460A-4CBD-9755-DC0DA73F9C35}"/>
    <cellStyle name="Normal 5 3 4 2 4 2 3" xfId="12025" xr:uid="{3146B57E-AC87-4DCB-A097-2CE7C2E7EEEC}"/>
    <cellStyle name="Normal 5 3 4 2 4 3" xfId="5648" xr:uid="{00000000-0005-0000-0000-0000311A0000}"/>
    <cellStyle name="Normal 5 3 4 2 4 3 2" xfId="14098" xr:uid="{C1FD07FF-D9F1-4217-9534-88428B9B1FC0}"/>
    <cellStyle name="Normal 5 3 4 2 4 4" xfId="9880" xr:uid="{9AB82F35-15CF-4B27-BAF2-FE56AD8C8127}"/>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6656" xr:uid="{9184AD16-C8CB-4412-AD98-2A6F3CDE42CA}"/>
    <cellStyle name="Normal 5 3 4 2 5 2 3" xfId="12438" xr:uid="{9DAB2BC6-D83E-4037-BBC1-9864EC6FCDE3}"/>
    <cellStyle name="Normal 5 3 4 2 5 3" xfId="6061" xr:uid="{00000000-0005-0000-0000-0000351A0000}"/>
    <cellStyle name="Normal 5 3 4 2 5 3 2" xfId="14511" xr:uid="{384AF1EB-8F8B-4821-8AE9-866AA048F349}"/>
    <cellStyle name="Normal 5 3 4 2 5 4" xfId="10293" xr:uid="{891679A6-10D5-4DB7-80D3-0EC95A33CA07}"/>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069" xr:uid="{1C3C49F8-85B0-48B9-B3F6-B9D18AC8B8BB}"/>
    <cellStyle name="Normal 5 3 4 2 6 2 3" xfId="12851" xr:uid="{B7C6997B-4657-4629-9A6F-00E4DDADF4E6}"/>
    <cellStyle name="Normal 5 3 4 2 6 3" xfId="6474" xr:uid="{00000000-0005-0000-0000-0000391A0000}"/>
    <cellStyle name="Normal 5 3 4 2 6 3 2" xfId="14924" xr:uid="{5DBF07CD-8DE0-4A15-AE60-35A1FCC8F4C2}"/>
    <cellStyle name="Normal 5 3 4 2 6 4" xfId="10706" xr:uid="{41E4A199-AFA5-4B86-AAC2-9C0913E4AAA5}"/>
    <cellStyle name="Normal 5 3 4 2 7" xfId="2604" xr:uid="{00000000-0005-0000-0000-00003A1A0000}"/>
    <cellStyle name="Normal 5 3 4 2 7 2" xfId="6887" xr:uid="{00000000-0005-0000-0000-00003B1A0000}"/>
    <cellStyle name="Normal 5 3 4 2 7 2 2" xfId="15337" xr:uid="{472B9B71-7EB8-4DDB-8B91-DBEA33884F81}"/>
    <cellStyle name="Normal 5 3 4 2 7 3" xfId="11119" xr:uid="{3D56BED5-FE3C-4AD7-B3D9-31A0BF129F63}"/>
    <cellStyle name="Normal 5 3 4 2 8" xfId="4822" xr:uid="{00000000-0005-0000-0000-00003C1A0000}"/>
    <cellStyle name="Normal 5 3 4 2 8 2" xfId="13272" xr:uid="{DCA1A48E-15B3-4CCB-96EE-8802C1E9452A}"/>
    <cellStyle name="Normal 5 3 4 2 9" xfId="9054" xr:uid="{55928DF2-61EB-4A3E-A105-A2D0D2660A44}"/>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5832" xr:uid="{2EE0077C-795C-4857-A043-14B786BE8030}"/>
    <cellStyle name="Normal 5 3 4 3 2 2 3" xfId="11614" xr:uid="{2BDCE31F-F190-4D7A-8C79-11724279F665}"/>
    <cellStyle name="Normal 5 3 4 3 2 3" xfId="5237" xr:uid="{00000000-0005-0000-0000-0000411A0000}"/>
    <cellStyle name="Normal 5 3 4 3 2 3 2" xfId="13687" xr:uid="{2577C2F5-87E3-4337-9A0D-D7969EA56DA2}"/>
    <cellStyle name="Normal 5 3 4 3 2 4" xfId="9469" xr:uid="{FFC22384-B10D-43BB-BFCD-E66DB08D0FA0}"/>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6245" xr:uid="{19447C36-84F4-4DFE-B5AE-2107DEA1EE84}"/>
    <cellStyle name="Normal 5 3 4 3 3 2 3" xfId="12027" xr:uid="{AAA0F36A-5595-4377-96C8-859886E2948E}"/>
    <cellStyle name="Normal 5 3 4 3 3 3" xfId="5650" xr:uid="{00000000-0005-0000-0000-0000451A0000}"/>
    <cellStyle name="Normal 5 3 4 3 3 3 2" xfId="14100" xr:uid="{BE84A736-9950-4D6A-8477-5DDE2169133A}"/>
    <cellStyle name="Normal 5 3 4 3 3 4" xfId="9882" xr:uid="{2086E8D2-448F-45D0-9BBF-0035EAF1449B}"/>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6658" xr:uid="{468B0438-DD0B-4A99-B3E9-2960F58FA235}"/>
    <cellStyle name="Normal 5 3 4 3 4 2 3" xfId="12440" xr:uid="{5C932F65-FF0D-486B-A239-D0CE7ECDB374}"/>
    <cellStyle name="Normal 5 3 4 3 4 3" xfId="6063" xr:uid="{00000000-0005-0000-0000-0000491A0000}"/>
    <cellStyle name="Normal 5 3 4 3 4 3 2" xfId="14513" xr:uid="{945A82D5-8569-494C-9174-2F2142E7FC8A}"/>
    <cellStyle name="Normal 5 3 4 3 4 4" xfId="10295" xr:uid="{DA62F613-0D47-4C8B-90A5-F4804E24E582}"/>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071" xr:uid="{AE5C3ADA-15E3-4A17-BC2A-568161B098FE}"/>
    <cellStyle name="Normal 5 3 4 3 5 2 3" xfId="12853" xr:uid="{A356A1AE-1BE4-42AA-A79D-D9C3D1E74EBD}"/>
    <cellStyle name="Normal 5 3 4 3 5 3" xfId="6476" xr:uid="{00000000-0005-0000-0000-00004D1A0000}"/>
    <cellStyle name="Normal 5 3 4 3 5 3 2" xfId="14926" xr:uid="{142A54EE-0A88-44E7-89E4-BDE73A422473}"/>
    <cellStyle name="Normal 5 3 4 3 5 4" xfId="10708" xr:uid="{2BCAF82F-91D3-4F01-B3EF-6BCE1E9B5AF1}"/>
    <cellStyle name="Normal 5 3 4 3 6" xfId="2606" xr:uid="{00000000-0005-0000-0000-00004E1A0000}"/>
    <cellStyle name="Normal 5 3 4 3 6 2" xfId="6889" xr:uid="{00000000-0005-0000-0000-00004F1A0000}"/>
    <cellStyle name="Normal 5 3 4 3 6 2 2" xfId="15339" xr:uid="{DA7A6610-6224-46A6-B3B4-C334DC02081D}"/>
    <cellStyle name="Normal 5 3 4 3 6 3" xfId="11121" xr:uid="{3467825A-7273-4892-A217-0E044ED79E55}"/>
    <cellStyle name="Normal 5 3 4 3 7" xfId="4824" xr:uid="{00000000-0005-0000-0000-0000501A0000}"/>
    <cellStyle name="Normal 5 3 4 3 7 2" xfId="13274" xr:uid="{9E5EB5DB-7C3A-413E-ADF3-132C024836FE}"/>
    <cellStyle name="Normal 5 3 4 3 8" xfId="9056" xr:uid="{1383A4BE-A71B-433A-BB2D-22C2711AA023}"/>
    <cellStyle name="Normal 5 3 4 4" xfId="923" xr:uid="{00000000-0005-0000-0000-0000511A0000}"/>
    <cellStyle name="Normal 5 3 4 4 2" xfId="3157" xr:uid="{00000000-0005-0000-0000-0000521A0000}"/>
    <cellStyle name="Normal 5 3 4 4 2 2" xfId="7379" xr:uid="{00000000-0005-0000-0000-0000531A0000}"/>
    <cellStyle name="Normal 5 3 4 4 2 2 2" xfId="15829" xr:uid="{A468D392-DDDD-4584-9CBC-19EB0F9BA638}"/>
    <cellStyle name="Normal 5 3 4 4 2 3" xfId="11611" xr:uid="{0A59EEB2-2B26-441D-996E-597B50A8FCB7}"/>
    <cellStyle name="Normal 5 3 4 4 3" xfId="5234" xr:uid="{00000000-0005-0000-0000-0000541A0000}"/>
    <cellStyle name="Normal 5 3 4 4 3 2" xfId="13684" xr:uid="{CB2AD44D-AB70-4A03-B867-AD387EADD1D5}"/>
    <cellStyle name="Normal 5 3 4 4 4" xfId="9466" xr:uid="{131C3949-5D4C-4F68-9902-1AA2B09F0BE5}"/>
    <cellStyle name="Normal 5 3 4 5" xfId="1340" xr:uid="{00000000-0005-0000-0000-0000551A0000}"/>
    <cellStyle name="Normal 5 3 4 5 2" xfId="3570" xr:uid="{00000000-0005-0000-0000-0000561A0000}"/>
    <cellStyle name="Normal 5 3 4 5 2 2" xfId="7792" xr:uid="{00000000-0005-0000-0000-0000571A0000}"/>
    <cellStyle name="Normal 5 3 4 5 2 2 2" xfId="16242" xr:uid="{CAFA4D5B-166C-4F3D-A8F2-59624BA0CDCF}"/>
    <cellStyle name="Normal 5 3 4 5 2 3" xfId="12024" xr:uid="{E3097CF7-6228-4348-A160-991A32CE65C4}"/>
    <cellStyle name="Normal 5 3 4 5 3" xfId="5647" xr:uid="{00000000-0005-0000-0000-0000581A0000}"/>
    <cellStyle name="Normal 5 3 4 5 3 2" xfId="14097" xr:uid="{C269B81B-E4FE-412F-B8E4-12AE6CC639A5}"/>
    <cellStyle name="Normal 5 3 4 5 4" xfId="9879" xr:uid="{D8013B69-989F-4307-8063-46ABE03E234F}"/>
    <cellStyle name="Normal 5 3 4 6" xfId="1753" xr:uid="{00000000-0005-0000-0000-0000591A0000}"/>
    <cellStyle name="Normal 5 3 4 6 2" xfId="3983" xr:uid="{00000000-0005-0000-0000-00005A1A0000}"/>
    <cellStyle name="Normal 5 3 4 6 2 2" xfId="8205" xr:uid="{00000000-0005-0000-0000-00005B1A0000}"/>
    <cellStyle name="Normal 5 3 4 6 2 2 2" xfId="16655" xr:uid="{CF822F06-49A6-44E8-8D65-79247DAB273A}"/>
    <cellStyle name="Normal 5 3 4 6 2 3" xfId="12437" xr:uid="{A174EC3E-DBB1-45D7-A9E5-1E7042F3F1DF}"/>
    <cellStyle name="Normal 5 3 4 6 3" xfId="6060" xr:uid="{00000000-0005-0000-0000-00005C1A0000}"/>
    <cellStyle name="Normal 5 3 4 6 3 2" xfId="14510" xr:uid="{4E9DDD92-9E2C-4C6E-81C8-C0115CE7C87A}"/>
    <cellStyle name="Normal 5 3 4 6 4" xfId="10292" xr:uid="{834D6CDE-A4C6-4B7F-A4EC-0BBFC8DB8C55}"/>
    <cellStyle name="Normal 5 3 4 7" xfId="2167" xr:uid="{00000000-0005-0000-0000-00005D1A0000}"/>
    <cellStyle name="Normal 5 3 4 7 2" xfId="4396" xr:uid="{00000000-0005-0000-0000-00005E1A0000}"/>
    <cellStyle name="Normal 5 3 4 7 2 2" xfId="8618" xr:uid="{00000000-0005-0000-0000-00005F1A0000}"/>
    <cellStyle name="Normal 5 3 4 7 2 2 2" xfId="17068" xr:uid="{10E6768F-181E-45B9-955F-2A8CCEBFE2E1}"/>
    <cellStyle name="Normal 5 3 4 7 2 3" xfId="12850" xr:uid="{FF8257B5-7B41-4B8C-9252-1CB0A6547F92}"/>
    <cellStyle name="Normal 5 3 4 7 3" xfId="6473" xr:uid="{00000000-0005-0000-0000-0000601A0000}"/>
    <cellStyle name="Normal 5 3 4 7 3 2" xfId="14923" xr:uid="{EC8B9141-6360-4527-BE23-EC20E4CD4329}"/>
    <cellStyle name="Normal 5 3 4 7 4" xfId="10705" xr:uid="{FA043B29-EC86-4427-A013-78D23DAB0259}"/>
    <cellStyle name="Normal 5 3 4 8" xfId="2603" xr:uid="{00000000-0005-0000-0000-0000611A0000}"/>
    <cellStyle name="Normal 5 3 4 8 2" xfId="6886" xr:uid="{00000000-0005-0000-0000-0000621A0000}"/>
    <cellStyle name="Normal 5 3 4 8 2 2" xfId="15336" xr:uid="{5FBA6913-5588-4814-85BD-A60140F70F5C}"/>
    <cellStyle name="Normal 5 3 4 8 3" xfId="11118" xr:uid="{8C8B65B8-06C5-4EAC-862B-0980678D53C2}"/>
    <cellStyle name="Normal 5 3 4 9" xfId="4821" xr:uid="{00000000-0005-0000-0000-0000631A0000}"/>
    <cellStyle name="Normal 5 3 4 9 2" xfId="13271" xr:uid="{5C9B7470-4F25-433F-B947-00FAA43A5588}"/>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5834" xr:uid="{DB4FCCBC-E16F-4249-8EB8-76A1A78B2987}"/>
    <cellStyle name="Normal 5 3 5 2 2 2 3" xfId="11616" xr:uid="{CE19A953-F7F8-4744-9D47-5B5C9EF41FAF}"/>
    <cellStyle name="Normal 5 3 5 2 2 3" xfId="5239" xr:uid="{00000000-0005-0000-0000-0000691A0000}"/>
    <cellStyle name="Normal 5 3 5 2 2 3 2" xfId="13689" xr:uid="{9128FF8C-2EF0-4371-A3F4-8D6E0800ADAC}"/>
    <cellStyle name="Normal 5 3 5 2 2 4" xfId="9471" xr:uid="{94B747C6-61C8-4920-82D0-78C9F7C86ABD}"/>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6247" xr:uid="{AEF8E3C3-5B2C-4FDB-A431-576E8996FFD6}"/>
    <cellStyle name="Normal 5 3 5 2 3 2 3" xfId="12029" xr:uid="{496163EE-274B-428E-96F8-3615F9EFAB39}"/>
    <cellStyle name="Normal 5 3 5 2 3 3" xfId="5652" xr:uid="{00000000-0005-0000-0000-00006D1A0000}"/>
    <cellStyle name="Normal 5 3 5 2 3 3 2" xfId="14102" xr:uid="{4EB80DD3-5B48-40C8-A1FF-A303CEECD805}"/>
    <cellStyle name="Normal 5 3 5 2 3 4" xfId="9884" xr:uid="{9A2DCCAD-299A-4718-AFF0-EE9748BE4DA7}"/>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6660" xr:uid="{BF25BB2F-27E8-4A54-A142-37D3AC518EDF}"/>
    <cellStyle name="Normal 5 3 5 2 4 2 3" xfId="12442" xr:uid="{D3E4190B-6E7D-4839-9F74-2E3E73C36EB3}"/>
    <cellStyle name="Normal 5 3 5 2 4 3" xfId="6065" xr:uid="{00000000-0005-0000-0000-0000711A0000}"/>
    <cellStyle name="Normal 5 3 5 2 4 3 2" xfId="14515" xr:uid="{35F786C0-78A7-435F-8307-64DFDE19D0A6}"/>
    <cellStyle name="Normal 5 3 5 2 4 4" xfId="10297" xr:uid="{B02AA622-0A62-4495-A1C5-8F1400F1BB45}"/>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073" xr:uid="{5A647746-446F-4273-B31C-525F1755191A}"/>
    <cellStyle name="Normal 5 3 5 2 5 2 3" xfId="12855" xr:uid="{0CB5C58F-CE66-41A6-BD41-113E66F9946E}"/>
    <cellStyle name="Normal 5 3 5 2 5 3" xfId="6478" xr:uid="{00000000-0005-0000-0000-0000751A0000}"/>
    <cellStyle name="Normal 5 3 5 2 5 3 2" xfId="14928" xr:uid="{0A65230F-ED3B-4E30-8072-9E3FB4E492D0}"/>
    <cellStyle name="Normal 5 3 5 2 5 4" xfId="10710" xr:uid="{39BFB2BB-277B-4AF1-ACD0-2CF8B5960B74}"/>
    <cellStyle name="Normal 5 3 5 2 6" xfId="2608" xr:uid="{00000000-0005-0000-0000-0000761A0000}"/>
    <cellStyle name="Normal 5 3 5 2 6 2" xfId="6891" xr:uid="{00000000-0005-0000-0000-0000771A0000}"/>
    <cellStyle name="Normal 5 3 5 2 6 2 2" xfId="15341" xr:uid="{29B7D049-C6ED-4C56-9514-2D38E2392555}"/>
    <cellStyle name="Normal 5 3 5 2 6 3" xfId="11123" xr:uid="{FDFB57AF-497F-424C-9918-C6A14EDFB1D9}"/>
    <cellStyle name="Normal 5 3 5 2 7" xfId="4826" xr:uid="{00000000-0005-0000-0000-0000781A0000}"/>
    <cellStyle name="Normal 5 3 5 2 7 2" xfId="13276" xr:uid="{66DD7102-FEB2-40CD-9E88-D14C4063B831}"/>
    <cellStyle name="Normal 5 3 5 2 8" xfId="9058" xr:uid="{EB58F39B-F753-45D5-A551-EAF113793755}"/>
    <cellStyle name="Normal 5 3 5 3" xfId="927" xr:uid="{00000000-0005-0000-0000-0000791A0000}"/>
    <cellStyle name="Normal 5 3 5 3 2" xfId="3161" xr:uid="{00000000-0005-0000-0000-00007A1A0000}"/>
    <cellStyle name="Normal 5 3 5 3 2 2" xfId="7383" xr:uid="{00000000-0005-0000-0000-00007B1A0000}"/>
    <cellStyle name="Normal 5 3 5 3 2 2 2" xfId="15833" xr:uid="{C6DBE42F-AF83-4C41-AFB5-66E7F6179288}"/>
    <cellStyle name="Normal 5 3 5 3 2 3" xfId="11615" xr:uid="{1606DA7D-257A-43EF-B1A8-AA3FA699267C}"/>
    <cellStyle name="Normal 5 3 5 3 3" xfId="5238" xr:uid="{00000000-0005-0000-0000-00007C1A0000}"/>
    <cellStyle name="Normal 5 3 5 3 3 2" xfId="13688" xr:uid="{F540E225-4785-47FF-9308-7052F47C5632}"/>
    <cellStyle name="Normal 5 3 5 3 4" xfId="9470" xr:uid="{A0B4821D-F92E-4A73-B0F5-10A23672E0DB}"/>
    <cellStyle name="Normal 5 3 5 4" xfId="1344" xr:uid="{00000000-0005-0000-0000-00007D1A0000}"/>
    <cellStyle name="Normal 5 3 5 4 2" xfId="3574" xr:uid="{00000000-0005-0000-0000-00007E1A0000}"/>
    <cellStyle name="Normal 5 3 5 4 2 2" xfId="7796" xr:uid="{00000000-0005-0000-0000-00007F1A0000}"/>
    <cellStyle name="Normal 5 3 5 4 2 2 2" xfId="16246" xr:uid="{C02707D5-5AA5-4B7E-AFFE-FCDEB56D2D5E}"/>
    <cellStyle name="Normal 5 3 5 4 2 3" xfId="12028" xr:uid="{644977A8-108A-4458-88F6-47F275554984}"/>
    <cellStyle name="Normal 5 3 5 4 3" xfId="5651" xr:uid="{00000000-0005-0000-0000-0000801A0000}"/>
    <cellStyle name="Normal 5 3 5 4 3 2" xfId="14101" xr:uid="{BB50282C-ED09-4F1D-A687-068D42B08035}"/>
    <cellStyle name="Normal 5 3 5 4 4" xfId="9883" xr:uid="{049E4DC7-428E-4474-98AD-15A4D9DD4AF0}"/>
    <cellStyle name="Normal 5 3 5 5" xfId="1757" xr:uid="{00000000-0005-0000-0000-0000811A0000}"/>
    <cellStyle name="Normal 5 3 5 5 2" xfId="3987" xr:uid="{00000000-0005-0000-0000-0000821A0000}"/>
    <cellStyle name="Normal 5 3 5 5 2 2" xfId="8209" xr:uid="{00000000-0005-0000-0000-0000831A0000}"/>
    <cellStyle name="Normal 5 3 5 5 2 2 2" xfId="16659" xr:uid="{023C1533-934D-4C90-B931-49066D663CA5}"/>
    <cellStyle name="Normal 5 3 5 5 2 3" xfId="12441" xr:uid="{2AE5D5FF-896E-452C-814E-654DAA5A0135}"/>
    <cellStyle name="Normal 5 3 5 5 3" xfId="6064" xr:uid="{00000000-0005-0000-0000-0000841A0000}"/>
    <cellStyle name="Normal 5 3 5 5 3 2" xfId="14514" xr:uid="{ACAA631F-2E2A-406C-8541-90F14A54A8BB}"/>
    <cellStyle name="Normal 5 3 5 5 4" xfId="10296" xr:uid="{285B5884-7B09-4C59-A8A6-B0F2B80C13E0}"/>
    <cellStyle name="Normal 5 3 5 6" xfId="2171" xr:uid="{00000000-0005-0000-0000-0000851A0000}"/>
    <cellStyle name="Normal 5 3 5 6 2" xfId="4400" xr:uid="{00000000-0005-0000-0000-0000861A0000}"/>
    <cellStyle name="Normal 5 3 5 6 2 2" xfId="8622" xr:uid="{00000000-0005-0000-0000-0000871A0000}"/>
    <cellStyle name="Normal 5 3 5 6 2 2 2" xfId="17072" xr:uid="{8B1261A6-B253-450B-8B77-5C1283A872C2}"/>
    <cellStyle name="Normal 5 3 5 6 2 3" xfId="12854" xr:uid="{501E93B8-A56A-4D58-A3E5-404197B2F2D5}"/>
    <cellStyle name="Normal 5 3 5 6 3" xfId="6477" xr:uid="{00000000-0005-0000-0000-0000881A0000}"/>
    <cellStyle name="Normal 5 3 5 6 3 2" xfId="14927" xr:uid="{AD9135D3-6621-40B6-8559-C9B52D2AE5DF}"/>
    <cellStyle name="Normal 5 3 5 6 4" xfId="10709" xr:uid="{517E7C74-5A20-4A92-9F59-3EBEFBD444ED}"/>
    <cellStyle name="Normal 5 3 5 7" xfId="2607" xr:uid="{00000000-0005-0000-0000-0000891A0000}"/>
    <cellStyle name="Normal 5 3 5 7 2" xfId="6890" xr:uid="{00000000-0005-0000-0000-00008A1A0000}"/>
    <cellStyle name="Normal 5 3 5 7 2 2" xfId="15340" xr:uid="{DB285E69-DBC9-430C-9FB2-DB223B2E47D1}"/>
    <cellStyle name="Normal 5 3 5 7 3" xfId="11122" xr:uid="{3A1102DF-7A69-4A01-B691-137809980702}"/>
    <cellStyle name="Normal 5 3 5 8" xfId="4825" xr:uid="{00000000-0005-0000-0000-00008B1A0000}"/>
    <cellStyle name="Normal 5 3 5 8 2" xfId="13275" xr:uid="{2DEEC44D-0E42-4E59-9907-31F2CEF15443}"/>
    <cellStyle name="Normal 5 3 5 9" xfId="9057" xr:uid="{DAB7571B-B0FE-4BE9-88F1-D1751BF6B23C}"/>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5835" xr:uid="{F4263570-7D2C-4AA2-9FE2-0EA01C243DDB}"/>
    <cellStyle name="Normal 5 3 6 2 2 3" xfId="11617" xr:uid="{E2D1187B-F6D1-47A5-A868-DE26777940BF}"/>
    <cellStyle name="Normal 5 3 6 2 3" xfId="5240" xr:uid="{00000000-0005-0000-0000-0000901A0000}"/>
    <cellStyle name="Normal 5 3 6 2 3 2" xfId="13690" xr:uid="{FB80E724-E2E3-41A4-ADB4-F664ADA10801}"/>
    <cellStyle name="Normal 5 3 6 2 4" xfId="9472" xr:uid="{5A67BAE7-0E17-4D25-88BC-376C05C54FF0}"/>
    <cellStyle name="Normal 5 3 6 3" xfId="1346" xr:uid="{00000000-0005-0000-0000-0000911A0000}"/>
    <cellStyle name="Normal 5 3 6 3 2" xfId="3576" xr:uid="{00000000-0005-0000-0000-0000921A0000}"/>
    <cellStyle name="Normal 5 3 6 3 2 2" xfId="7798" xr:uid="{00000000-0005-0000-0000-0000931A0000}"/>
    <cellStyle name="Normal 5 3 6 3 2 2 2" xfId="16248" xr:uid="{A7CFD7FF-302C-42A9-80D4-01343E0FF1A0}"/>
    <cellStyle name="Normal 5 3 6 3 2 3" xfId="12030" xr:uid="{7B4FB3A2-FE0A-4CD2-8120-8D0FDC8E05E5}"/>
    <cellStyle name="Normal 5 3 6 3 3" xfId="5653" xr:uid="{00000000-0005-0000-0000-0000941A0000}"/>
    <cellStyle name="Normal 5 3 6 3 3 2" xfId="14103" xr:uid="{1A925FC1-24AC-4890-94B0-A955B3022007}"/>
    <cellStyle name="Normal 5 3 6 3 4" xfId="9885" xr:uid="{5AA5AF8D-E9BC-4605-B8BE-6F022372C97C}"/>
    <cellStyle name="Normal 5 3 6 4" xfId="1759" xr:uid="{00000000-0005-0000-0000-0000951A0000}"/>
    <cellStyle name="Normal 5 3 6 4 2" xfId="3989" xr:uid="{00000000-0005-0000-0000-0000961A0000}"/>
    <cellStyle name="Normal 5 3 6 4 2 2" xfId="8211" xr:uid="{00000000-0005-0000-0000-0000971A0000}"/>
    <cellStyle name="Normal 5 3 6 4 2 2 2" xfId="16661" xr:uid="{9E584B28-0A30-42AB-9EC2-68869B681022}"/>
    <cellStyle name="Normal 5 3 6 4 2 3" xfId="12443" xr:uid="{55802704-4E54-4D00-A6CD-345C05115394}"/>
    <cellStyle name="Normal 5 3 6 4 3" xfId="6066" xr:uid="{00000000-0005-0000-0000-0000981A0000}"/>
    <cellStyle name="Normal 5 3 6 4 3 2" xfId="14516" xr:uid="{2CA17C83-B16C-45D9-8E78-3C5D71146507}"/>
    <cellStyle name="Normal 5 3 6 4 4" xfId="10298" xr:uid="{4ED7A191-E665-4425-A2F7-6831D53BE916}"/>
    <cellStyle name="Normal 5 3 6 5" xfId="2173" xr:uid="{00000000-0005-0000-0000-0000991A0000}"/>
    <cellStyle name="Normal 5 3 6 5 2" xfId="4402" xr:uid="{00000000-0005-0000-0000-00009A1A0000}"/>
    <cellStyle name="Normal 5 3 6 5 2 2" xfId="8624" xr:uid="{00000000-0005-0000-0000-00009B1A0000}"/>
    <cellStyle name="Normal 5 3 6 5 2 2 2" xfId="17074" xr:uid="{C391C854-6B17-4CCA-94A0-774744E7C992}"/>
    <cellStyle name="Normal 5 3 6 5 2 3" xfId="12856" xr:uid="{1B4420F0-5E12-413E-977F-E4346AE6498C}"/>
    <cellStyle name="Normal 5 3 6 5 3" xfId="6479" xr:uid="{00000000-0005-0000-0000-00009C1A0000}"/>
    <cellStyle name="Normal 5 3 6 5 3 2" xfId="14929" xr:uid="{22A1C85C-CD49-4370-B365-0F9705B92731}"/>
    <cellStyle name="Normal 5 3 6 5 4" xfId="10711" xr:uid="{FD00507D-18F7-450A-909E-06679A494FFD}"/>
    <cellStyle name="Normal 5 3 6 6" xfId="2609" xr:uid="{00000000-0005-0000-0000-00009D1A0000}"/>
    <cellStyle name="Normal 5 3 6 6 2" xfId="6892" xr:uid="{00000000-0005-0000-0000-00009E1A0000}"/>
    <cellStyle name="Normal 5 3 6 6 2 2" xfId="15342" xr:uid="{CF98AD25-560D-4FE5-90A5-4C82798E7144}"/>
    <cellStyle name="Normal 5 3 6 6 3" xfId="11124" xr:uid="{97D40E9C-C773-4E3D-9DE1-8F3991230580}"/>
    <cellStyle name="Normal 5 3 6 7" xfId="4827" xr:uid="{00000000-0005-0000-0000-00009F1A0000}"/>
    <cellStyle name="Normal 5 3 6 7 2" xfId="13277" xr:uid="{A6E7DE53-FDCF-46DA-A573-373BAE188458}"/>
    <cellStyle name="Normal 5 3 6 8" xfId="9059" xr:uid="{9280019A-42E5-449E-8250-6F57209E11F4}"/>
    <cellStyle name="Normal 5 3 7" xfId="913" xr:uid="{00000000-0005-0000-0000-0000A01A0000}"/>
    <cellStyle name="Normal 5 3 7 2" xfId="3148" xr:uid="{00000000-0005-0000-0000-0000A11A0000}"/>
    <cellStyle name="Normal 5 3 7 2 2" xfId="7370" xr:uid="{00000000-0005-0000-0000-0000A21A0000}"/>
    <cellStyle name="Normal 5 3 7 2 2 2" xfId="15820" xr:uid="{62A1ED65-401C-49EC-82F5-5A7BB476E043}"/>
    <cellStyle name="Normal 5 3 7 2 3" xfId="11602" xr:uid="{85EF7AD1-DA03-45B4-BE11-8905F4A834B1}"/>
    <cellStyle name="Normal 5 3 7 3" xfId="5225" xr:uid="{00000000-0005-0000-0000-0000A31A0000}"/>
    <cellStyle name="Normal 5 3 7 3 2" xfId="13675" xr:uid="{AD4BE4DE-2EF6-452F-A47F-EA0AF904E192}"/>
    <cellStyle name="Normal 5 3 7 4" xfId="9457" xr:uid="{2B8D7FD3-610B-4F0B-AA8C-EEFC27D56AA4}"/>
    <cellStyle name="Normal 5 3 8" xfId="1331" xr:uid="{00000000-0005-0000-0000-0000A41A0000}"/>
    <cellStyle name="Normal 5 3 8 2" xfId="3561" xr:uid="{00000000-0005-0000-0000-0000A51A0000}"/>
    <cellStyle name="Normal 5 3 8 2 2" xfId="7783" xr:uid="{00000000-0005-0000-0000-0000A61A0000}"/>
    <cellStyle name="Normal 5 3 8 2 2 2" xfId="16233" xr:uid="{F80D041F-2656-4C07-AC73-46814BE1DA78}"/>
    <cellStyle name="Normal 5 3 8 2 3" xfId="12015" xr:uid="{927E1A1B-B6EE-4A75-B964-F6E200E2E712}"/>
    <cellStyle name="Normal 5 3 8 3" xfId="5638" xr:uid="{00000000-0005-0000-0000-0000A71A0000}"/>
    <cellStyle name="Normal 5 3 8 3 2" xfId="14088" xr:uid="{0008D065-D4F7-43BA-A34F-160D134B9346}"/>
    <cellStyle name="Normal 5 3 8 4" xfId="9870" xr:uid="{C10A3E53-745B-45AA-94D5-FF760512923B}"/>
    <cellStyle name="Normal 5 3 9" xfId="1744" xr:uid="{00000000-0005-0000-0000-0000A81A0000}"/>
    <cellStyle name="Normal 5 3 9 2" xfId="3974" xr:uid="{00000000-0005-0000-0000-0000A91A0000}"/>
    <cellStyle name="Normal 5 3 9 2 2" xfId="8196" xr:uid="{00000000-0005-0000-0000-0000AA1A0000}"/>
    <cellStyle name="Normal 5 3 9 2 2 2" xfId="16646" xr:uid="{AB1A05ED-F5A3-41DA-812A-86F01343CF8C}"/>
    <cellStyle name="Normal 5 3 9 2 3" xfId="12428" xr:uid="{0764186A-5EBD-4E6D-99FA-D69C82F40E7B}"/>
    <cellStyle name="Normal 5 3 9 3" xfId="6051" xr:uid="{00000000-0005-0000-0000-0000AB1A0000}"/>
    <cellStyle name="Normal 5 3 9 3 2" xfId="14501" xr:uid="{FEBDA48A-D211-46B4-B0DC-94E443721D13}"/>
    <cellStyle name="Normal 5 3 9 4" xfId="10283" xr:uid="{91895F48-5B78-4F55-BBF1-28C33654EF41}"/>
    <cellStyle name="Normal 5 4" xfId="456" xr:uid="{00000000-0005-0000-0000-0000AC1A0000}"/>
    <cellStyle name="Normal 5 4 10" xfId="4828" xr:uid="{00000000-0005-0000-0000-0000AD1A0000}"/>
    <cellStyle name="Normal 5 4 10 2" xfId="13278" xr:uid="{624F3979-5464-4A9E-8BDB-2963BE03E8A4}"/>
    <cellStyle name="Normal 5 4 11" xfId="9060" xr:uid="{361682D2-868C-4FAF-9D25-73194A7E36CC}"/>
    <cellStyle name="Normal 5 4 2" xfId="457" xr:uid="{00000000-0005-0000-0000-0000AE1A0000}"/>
    <cellStyle name="Normal 5 4 2 10" xfId="9061" xr:uid="{57A8E5FA-F89B-45C8-B684-E5BD0D3DC763}"/>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5839" xr:uid="{047E1588-0F0E-4ED9-9CE9-640FB101D69E}"/>
    <cellStyle name="Normal 5 4 2 2 2 2 2 3" xfId="11621" xr:uid="{F616F9A5-91E7-40FF-976B-20BA6D2361F0}"/>
    <cellStyle name="Normal 5 4 2 2 2 2 3" xfId="5244" xr:uid="{00000000-0005-0000-0000-0000B41A0000}"/>
    <cellStyle name="Normal 5 4 2 2 2 2 3 2" xfId="13694" xr:uid="{00543B24-A3B8-4642-A6CB-B7AD7F9DA294}"/>
    <cellStyle name="Normal 5 4 2 2 2 2 4" xfId="9476" xr:uid="{05E92548-F95E-49E0-B4D4-44FB371D85F8}"/>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6252" xr:uid="{9140A0F1-9291-4AFD-A89A-B42F8FF1B72B}"/>
    <cellStyle name="Normal 5 4 2 2 2 3 2 3" xfId="12034" xr:uid="{B32ACE77-2947-40E7-9563-CD023564B269}"/>
    <cellStyle name="Normal 5 4 2 2 2 3 3" xfId="5657" xr:uid="{00000000-0005-0000-0000-0000B81A0000}"/>
    <cellStyle name="Normal 5 4 2 2 2 3 3 2" xfId="14107" xr:uid="{3535B65E-6321-4859-9845-2C3DC8A58778}"/>
    <cellStyle name="Normal 5 4 2 2 2 3 4" xfId="9889" xr:uid="{9C891D7A-8D1B-42A0-934B-6A32FC711F4C}"/>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6665" xr:uid="{9158AF06-C7F0-40CC-BEED-31EE7D9AFABD}"/>
    <cellStyle name="Normal 5 4 2 2 2 4 2 3" xfId="12447" xr:uid="{FFD8DBF2-9CFC-4CA5-9B8A-A79601C8F4B3}"/>
    <cellStyle name="Normal 5 4 2 2 2 4 3" xfId="6070" xr:uid="{00000000-0005-0000-0000-0000BC1A0000}"/>
    <cellStyle name="Normal 5 4 2 2 2 4 3 2" xfId="14520" xr:uid="{5A00F832-8962-42E7-8D84-D9FB4F974EBF}"/>
    <cellStyle name="Normal 5 4 2 2 2 4 4" xfId="10302" xr:uid="{DACCDA61-1A87-4A0A-B7F9-53C9D531EDFB}"/>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078" xr:uid="{B25F3AC1-83EF-4298-8C43-BEE6AAAAEC46}"/>
    <cellStyle name="Normal 5 4 2 2 2 5 2 3" xfId="12860" xr:uid="{3B92FE32-9FFB-4D68-9CFC-B5FE2F418E41}"/>
    <cellStyle name="Normal 5 4 2 2 2 5 3" xfId="6483" xr:uid="{00000000-0005-0000-0000-0000C01A0000}"/>
    <cellStyle name="Normal 5 4 2 2 2 5 3 2" xfId="14933" xr:uid="{100B1CD5-DBF6-430E-83F8-89BBC145B803}"/>
    <cellStyle name="Normal 5 4 2 2 2 5 4" xfId="10715" xr:uid="{B8E2E33B-4933-480B-AB81-33C0AD667512}"/>
    <cellStyle name="Normal 5 4 2 2 2 6" xfId="2613" xr:uid="{00000000-0005-0000-0000-0000C11A0000}"/>
    <cellStyle name="Normal 5 4 2 2 2 6 2" xfId="6896" xr:uid="{00000000-0005-0000-0000-0000C21A0000}"/>
    <cellStyle name="Normal 5 4 2 2 2 6 2 2" xfId="15346" xr:uid="{60440D3F-211B-4621-A92F-61257228D4B4}"/>
    <cellStyle name="Normal 5 4 2 2 2 6 3" xfId="11128" xr:uid="{72E332D9-E5CB-4E75-97C3-15C1B95798B3}"/>
    <cellStyle name="Normal 5 4 2 2 2 7" xfId="4831" xr:uid="{00000000-0005-0000-0000-0000C31A0000}"/>
    <cellStyle name="Normal 5 4 2 2 2 7 2" xfId="13281" xr:uid="{77A7D952-1A55-415A-BAE5-10A88E632AFD}"/>
    <cellStyle name="Normal 5 4 2 2 2 8" xfId="9063" xr:uid="{5C538821-3265-4332-A090-03967ED5C4D0}"/>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5838" xr:uid="{C38ADDE3-5C82-4FC2-92D1-DD84BA30A385}"/>
    <cellStyle name="Normal 5 4 2 2 3 2 3" xfId="11620" xr:uid="{92AE7F2A-BF40-4CAD-9281-2EFEBCBCEF0F}"/>
    <cellStyle name="Normal 5 4 2 2 3 3" xfId="5243" xr:uid="{00000000-0005-0000-0000-0000C71A0000}"/>
    <cellStyle name="Normal 5 4 2 2 3 3 2" xfId="13693" xr:uid="{30847F10-C3E6-4CEC-96B1-81D44FB135EC}"/>
    <cellStyle name="Normal 5 4 2 2 3 4" xfId="9475" xr:uid="{E635951B-F0EB-4DA7-9E11-FD33F33F6A67}"/>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6251" xr:uid="{5B3EEA8B-F94C-4DF4-8DBA-5F61DDA520E3}"/>
    <cellStyle name="Normal 5 4 2 2 4 2 3" xfId="12033" xr:uid="{7DA9BE4C-832D-4BFB-9864-E7453DEF6AA6}"/>
    <cellStyle name="Normal 5 4 2 2 4 3" xfId="5656" xr:uid="{00000000-0005-0000-0000-0000CB1A0000}"/>
    <cellStyle name="Normal 5 4 2 2 4 3 2" xfId="14106" xr:uid="{2945CF82-7352-466E-9F89-A94056DB2F78}"/>
    <cellStyle name="Normal 5 4 2 2 4 4" xfId="9888" xr:uid="{097A3A69-EEF9-4513-9247-4949C3CDA94A}"/>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6664" xr:uid="{6CCCE9DF-F357-4A0E-9E1C-08B7574920C3}"/>
    <cellStyle name="Normal 5 4 2 2 5 2 3" xfId="12446" xr:uid="{CDA39888-5D50-4A1E-AB7E-44CF2D03D303}"/>
    <cellStyle name="Normal 5 4 2 2 5 3" xfId="6069" xr:uid="{00000000-0005-0000-0000-0000CF1A0000}"/>
    <cellStyle name="Normal 5 4 2 2 5 3 2" xfId="14519" xr:uid="{DF815E44-9A9E-4A03-A6D3-98EFD4D6FABD}"/>
    <cellStyle name="Normal 5 4 2 2 5 4" xfId="10301" xr:uid="{C81322D7-1C18-4CCB-8993-06E80C71764A}"/>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077" xr:uid="{9CA669F9-08DC-4E34-B3FF-3818D63B8994}"/>
    <cellStyle name="Normal 5 4 2 2 6 2 3" xfId="12859" xr:uid="{B514168A-171E-4B29-978A-126A6D3AB3E1}"/>
    <cellStyle name="Normal 5 4 2 2 6 3" xfId="6482" xr:uid="{00000000-0005-0000-0000-0000D31A0000}"/>
    <cellStyle name="Normal 5 4 2 2 6 3 2" xfId="14932" xr:uid="{3FD5D2F9-D138-4B69-B333-442E72FE65FD}"/>
    <cellStyle name="Normal 5 4 2 2 6 4" xfId="10714" xr:uid="{355DEA91-BA89-4B7D-9620-0A4907D9E961}"/>
    <cellStyle name="Normal 5 4 2 2 7" xfId="2612" xr:uid="{00000000-0005-0000-0000-0000D41A0000}"/>
    <cellStyle name="Normal 5 4 2 2 7 2" xfId="6895" xr:uid="{00000000-0005-0000-0000-0000D51A0000}"/>
    <cellStyle name="Normal 5 4 2 2 7 2 2" xfId="15345" xr:uid="{B1C9BA4A-E305-4CBA-97A2-1BAB9BC344E7}"/>
    <cellStyle name="Normal 5 4 2 2 7 3" xfId="11127" xr:uid="{4D7C6E23-B5BE-4EE6-B5B8-8CF52F2F5678}"/>
    <cellStyle name="Normal 5 4 2 2 8" xfId="4830" xr:uid="{00000000-0005-0000-0000-0000D61A0000}"/>
    <cellStyle name="Normal 5 4 2 2 8 2" xfId="13280" xr:uid="{31922A5E-FA85-405C-BA11-AA8D67790339}"/>
    <cellStyle name="Normal 5 4 2 2 9" xfId="9062" xr:uid="{48AE84E3-3E53-4EC7-880B-4A680F8EDC45}"/>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5840" xr:uid="{2164A921-D6C9-43A1-A344-F40A7EF385A0}"/>
    <cellStyle name="Normal 5 4 2 3 2 2 3" xfId="11622" xr:uid="{DAEB4CB1-08B7-474B-A12B-83F53C02B23C}"/>
    <cellStyle name="Normal 5 4 2 3 2 3" xfId="5245" xr:uid="{00000000-0005-0000-0000-0000DB1A0000}"/>
    <cellStyle name="Normal 5 4 2 3 2 3 2" xfId="13695" xr:uid="{06C08750-284A-4EB6-8B95-CE0B95037B2C}"/>
    <cellStyle name="Normal 5 4 2 3 2 4" xfId="9477" xr:uid="{46907EEA-550F-4FF8-B727-4FB5F5F63A42}"/>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6253" xr:uid="{A38490A6-C43E-4CD9-BECB-53FCB73536DB}"/>
    <cellStyle name="Normal 5 4 2 3 3 2 3" xfId="12035" xr:uid="{058C6B4C-96D4-4287-BAD0-85BF993897FE}"/>
    <cellStyle name="Normal 5 4 2 3 3 3" xfId="5658" xr:uid="{00000000-0005-0000-0000-0000DF1A0000}"/>
    <cellStyle name="Normal 5 4 2 3 3 3 2" xfId="14108" xr:uid="{BE3A99BA-4A3E-47A0-9EB5-CA318D557594}"/>
    <cellStyle name="Normal 5 4 2 3 3 4" xfId="9890" xr:uid="{3581643B-2499-4897-8A17-2F0F71C91149}"/>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6666" xr:uid="{06767399-51FF-4B1E-AC75-03750F12DEF4}"/>
    <cellStyle name="Normal 5 4 2 3 4 2 3" xfId="12448" xr:uid="{06FF66A0-699D-4253-A148-2C5578C2A533}"/>
    <cellStyle name="Normal 5 4 2 3 4 3" xfId="6071" xr:uid="{00000000-0005-0000-0000-0000E31A0000}"/>
    <cellStyle name="Normal 5 4 2 3 4 3 2" xfId="14521" xr:uid="{4F762EF2-2B0D-4638-8449-14D54EB30964}"/>
    <cellStyle name="Normal 5 4 2 3 4 4" xfId="10303" xr:uid="{E5EE4F70-15CC-442F-98F0-C2C258BA5AC7}"/>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079" xr:uid="{4A835958-EF10-4C43-83B4-73D0202387DE}"/>
    <cellStyle name="Normal 5 4 2 3 5 2 3" xfId="12861" xr:uid="{42C2B3B3-DA37-4997-BA20-DE4DB021F91B}"/>
    <cellStyle name="Normal 5 4 2 3 5 3" xfId="6484" xr:uid="{00000000-0005-0000-0000-0000E71A0000}"/>
    <cellStyle name="Normal 5 4 2 3 5 3 2" xfId="14934" xr:uid="{26BF6834-54C3-43CF-B4CD-69E97218C07F}"/>
    <cellStyle name="Normal 5 4 2 3 5 4" xfId="10716" xr:uid="{7AF687E8-22C4-42BA-A6BF-DFD35939BE85}"/>
    <cellStyle name="Normal 5 4 2 3 6" xfId="2614" xr:uid="{00000000-0005-0000-0000-0000E81A0000}"/>
    <cellStyle name="Normal 5 4 2 3 6 2" xfId="6897" xr:uid="{00000000-0005-0000-0000-0000E91A0000}"/>
    <cellStyle name="Normal 5 4 2 3 6 2 2" xfId="15347" xr:uid="{B33A0E6A-9B10-4612-BF94-B07823CECB1D}"/>
    <cellStyle name="Normal 5 4 2 3 6 3" xfId="11129" xr:uid="{2089EAFB-32AC-4EAD-85D9-964A753E346E}"/>
    <cellStyle name="Normal 5 4 2 3 7" xfId="4832" xr:uid="{00000000-0005-0000-0000-0000EA1A0000}"/>
    <cellStyle name="Normal 5 4 2 3 7 2" xfId="13282" xr:uid="{ECEC5E4F-8C81-4799-99C0-D5A6C885A799}"/>
    <cellStyle name="Normal 5 4 2 3 8" xfId="9064" xr:uid="{0B7D5E65-02CC-44CD-9E9C-5CFA3B3A474E}"/>
    <cellStyle name="Normal 5 4 2 4" xfId="931" xr:uid="{00000000-0005-0000-0000-0000EB1A0000}"/>
    <cellStyle name="Normal 5 4 2 4 2" xfId="3165" xr:uid="{00000000-0005-0000-0000-0000EC1A0000}"/>
    <cellStyle name="Normal 5 4 2 4 2 2" xfId="7387" xr:uid="{00000000-0005-0000-0000-0000ED1A0000}"/>
    <cellStyle name="Normal 5 4 2 4 2 2 2" xfId="15837" xr:uid="{A04C9FB0-E250-44E7-B922-A9F896E5A6FC}"/>
    <cellStyle name="Normal 5 4 2 4 2 3" xfId="11619" xr:uid="{91748806-317F-448F-B13F-E85C7A68E5EB}"/>
    <cellStyle name="Normal 5 4 2 4 3" xfId="5242" xr:uid="{00000000-0005-0000-0000-0000EE1A0000}"/>
    <cellStyle name="Normal 5 4 2 4 3 2" xfId="13692" xr:uid="{3F04F52F-C153-455A-A7B6-A50524630F0A}"/>
    <cellStyle name="Normal 5 4 2 4 4" xfId="9474" xr:uid="{D29441B8-49C6-480B-B5A0-9ABED938C5F4}"/>
    <cellStyle name="Normal 5 4 2 5" xfId="1348" xr:uid="{00000000-0005-0000-0000-0000EF1A0000}"/>
    <cellStyle name="Normal 5 4 2 5 2" xfId="3578" xr:uid="{00000000-0005-0000-0000-0000F01A0000}"/>
    <cellStyle name="Normal 5 4 2 5 2 2" xfId="7800" xr:uid="{00000000-0005-0000-0000-0000F11A0000}"/>
    <cellStyle name="Normal 5 4 2 5 2 2 2" xfId="16250" xr:uid="{ED267BEB-A613-480D-890A-C1C754BAB306}"/>
    <cellStyle name="Normal 5 4 2 5 2 3" xfId="12032" xr:uid="{BA350FE3-7316-4BD0-97A5-FC902F0CF0BE}"/>
    <cellStyle name="Normal 5 4 2 5 3" xfId="5655" xr:uid="{00000000-0005-0000-0000-0000F21A0000}"/>
    <cellStyle name="Normal 5 4 2 5 3 2" xfId="14105" xr:uid="{7E9E9E50-4255-47E7-8898-8F9675B6D216}"/>
    <cellStyle name="Normal 5 4 2 5 4" xfId="9887" xr:uid="{A93B267C-54E9-4334-AB7D-8F0A9BB98A5C}"/>
    <cellStyle name="Normal 5 4 2 6" xfId="1761" xr:uid="{00000000-0005-0000-0000-0000F31A0000}"/>
    <cellStyle name="Normal 5 4 2 6 2" xfId="3991" xr:uid="{00000000-0005-0000-0000-0000F41A0000}"/>
    <cellStyle name="Normal 5 4 2 6 2 2" xfId="8213" xr:uid="{00000000-0005-0000-0000-0000F51A0000}"/>
    <cellStyle name="Normal 5 4 2 6 2 2 2" xfId="16663" xr:uid="{58079333-1B3D-4594-AFFC-B6FD8057FAE3}"/>
    <cellStyle name="Normal 5 4 2 6 2 3" xfId="12445" xr:uid="{C86262CF-34B1-4A07-B248-225C925B5862}"/>
    <cellStyle name="Normal 5 4 2 6 3" xfId="6068" xr:uid="{00000000-0005-0000-0000-0000F61A0000}"/>
    <cellStyle name="Normal 5 4 2 6 3 2" xfId="14518" xr:uid="{C3A64EAB-159B-4B9D-B51E-4BA33D8D8145}"/>
    <cellStyle name="Normal 5 4 2 6 4" xfId="10300" xr:uid="{9C2AD669-FEE2-4A9F-96B7-87222116AD6F}"/>
    <cellStyle name="Normal 5 4 2 7" xfId="2175" xr:uid="{00000000-0005-0000-0000-0000F71A0000}"/>
    <cellStyle name="Normal 5 4 2 7 2" xfId="4404" xr:uid="{00000000-0005-0000-0000-0000F81A0000}"/>
    <cellStyle name="Normal 5 4 2 7 2 2" xfId="8626" xr:uid="{00000000-0005-0000-0000-0000F91A0000}"/>
    <cellStyle name="Normal 5 4 2 7 2 2 2" xfId="17076" xr:uid="{9480C516-03BE-47D9-BD81-8A4E0EDC73CE}"/>
    <cellStyle name="Normal 5 4 2 7 2 3" xfId="12858" xr:uid="{83A4EB03-50F8-4915-BEFD-EFDD72F3E2A0}"/>
    <cellStyle name="Normal 5 4 2 7 3" xfId="6481" xr:uid="{00000000-0005-0000-0000-0000FA1A0000}"/>
    <cellStyle name="Normal 5 4 2 7 3 2" xfId="14931" xr:uid="{4E72A63D-F8C4-490D-919A-A7E2D8F3F37C}"/>
    <cellStyle name="Normal 5 4 2 7 4" xfId="10713" xr:uid="{BAFA5A2F-83F0-4CE4-AA76-8DC2F5559F27}"/>
    <cellStyle name="Normal 5 4 2 8" xfId="2611" xr:uid="{00000000-0005-0000-0000-0000FB1A0000}"/>
    <cellStyle name="Normal 5 4 2 8 2" xfId="6894" xr:uid="{00000000-0005-0000-0000-0000FC1A0000}"/>
    <cellStyle name="Normal 5 4 2 8 2 2" xfId="15344" xr:uid="{ED08019B-376B-4163-B804-0FA52B87D488}"/>
    <cellStyle name="Normal 5 4 2 8 3" xfId="11126" xr:uid="{074936F3-BC28-40D0-97E4-14DC68357C13}"/>
    <cellStyle name="Normal 5 4 2 9" xfId="4829" xr:uid="{00000000-0005-0000-0000-0000FD1A0000}"/>
    <cellStyle name="Normal 5 4 2 9 2" xfId="13279" xr:uid="{1362D401-ED1F-4465-891D-38C391946BFB}"/>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5842" xr:uid="{D5ACFC74-EA0E-40E9-8741-1D900E56A25E}"/>
    <cellStyle name="Normal 5 4 3 2 2 2 3" xfId="11624" xr:uid="{B39F82A6-28CC-4A19-A1FD-A5CEC6DDEB8F}"/>
    <cellStyle name="Normal 5 4 3 2 2 3" xfId="5247" xr:uid="{00000000-0005-0000-0000-0000031B0000}"/>
    <cellStyle name="Normal 5 4 3 2 2 3 2" xfId="13697" xr:uid="{8433DC76-A26B-4A26-8D5E-BE60F1F542BC}"/>
    <cellStyle name="Normal 5 4 3 2 2 4" xfId="9479" xr:uid="{09F19D4A-C9DE-4D5B-87E7-7EB45176C9AA}"/>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6255" xr:uid="{0519A033-1056-4365-9BF4-E7ACEC194555}"/>
    <cellStyle name="Normal 5 4 3 2 3 2 3" xfId="12037" xr:uid="{5E44BA97-0E9A-4099-87F5-3D3563C3EBBC}"/>
    <cellStyle name="Normal 5 4 3 2 3 3" xfId="5660" xr:uid="{00000000-0005-0000-0000-0000071B0000}"/>
    <cellStyle name="Normal 5 4 3 2 3 3 2" xfId="14110" xr:uid="{BC251771-1E4C-4BA5-9E78-CBAD57AA6B58}"/>
    <cellStyle name="Normal 5 4 3 2 3 4" xfId="9892" xr:uid="{CE009D1B-6228-4CEE-81B8-5BB1DE857898}"/>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6668" xr:uid="{81DF8837-A148-4B8F-84B8-C13C9E3D12C2}"/>
    <cellStyle name="Normal 5 4 3 2 4 2 3" xfId="12450" xr:uid="{8B8C99C2-162A-4BBD-B08C-44416E1DA6FD}"/>
    <cellStyle name="Normal 5 4 3 2 4 3" xfId="6073" xr:uid="{00000000-0005-0000-0000-00000B1B0000}"/>
    <cellStyle name="Normal 5 4 3 2 4 3 2" xfId="14523" xr:uid="{FA5A8E88-3F64-4834-BEEE-99805C8A4728}"/>
    <cellStyle name="Normal 5 4 3 2 4 4" xfId="10305" xr:uid="{1399E6F1-432B-4AC7-B75D-EA87FE05A939}"/>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081" xr:uid="{FD54C511-5F09-4DEA-8C50-33B17BA39167}"/>
    <cellStyle name="Normal 5 4 3 2 5 2 3" xfId="12863" xr:uid="{36757150-9157-4A6A-A035-D57236B1C5FF}"/>
    <cellStyle name="Normal 5 4 3 2 5 3" xfId="6486" xr:uid="{00000000-0005-0000-0000-00000F1B0000}"/>
    <cellStyle name="Normal 5 4 3 2 5 3 2" xfId="14936" xr:uid="{29831D7A-A0ED-494B-853A-13A32510CA4E}"/>
    <cellStyle name="Normal 5 4 3 2 5 4" xfId="10718" xr:uid="{4AEEEE08-7FB1-4EAF-9E52-6E026DB46C19}"/>
    <cellStyle name="Normal 5 4 3 2 6" xfId="2616" xr:uid="{00000000-0005-0000-0000-0000101B0000}"/>
    <cellStyle name="Normal 5 4 3 2 6 2" xfId="6899" xr:uid="{00000000-0005-0000-0000-0000111B0000}"/>
    <cellStyle name="Normal 5 4 3 2 6 2 2" xfId="15349" xr:uid="{6BB8608A-48B8-4E48-89E6-F846FADD1851}"/>
    <cellStyle name="Normal 5 4 3 2 6 3" xfId="11131" xr:uid="{7BBFB5D1-2AB1-4A20-9EED-AC2C8A01C1DD}"/>
    <cellStyle name="Normal 5 4 3 2 7" xfId="4834" xr:uid="{00000000-0005-0000-0000-0000121B0000}"/>
    <cellStyle name="Normal 5 4 3 2 7 2" xfId="13284" xr:uid="{C624FEAF-DD9F-4E06-A4D8-F6B149F5A3C1}"/>
    <cellStyle name="Normal 5 4 3 2 8" xfId="9066" xr:uid="{C0F57170-82A2-4715-9D3C-CAD599249E70}"/>
    <cellStyle name="Normal 5 4 3 3" xfId="935" xr:uid="{00000000-0005-0000-0000-0000131B0000}"/>
    <cellStyle name="Normal 5 4 3 3 2" xfId="3169" xr:uid="{00000000-0005-0000-0000-0000141B0000}"/>
    <cellStyle name="Normal 5 4 3 3 2 2" xfId="7391" xr:uid="{00000000-0005-0000-0000-0000151B0000}"/>
    <cellStyle name="Normal 5 4 3 3 2 2 2" xfId="15841" xr:uid="{A60E1516-6543-49E5-A079-AB825D3C35E5}"/>
    <cellStyle name="Normal 5 4 3 3 2 3" xfId="11623" xr:uid="{748B2FA5-533A-409A-8386-DD573574DC22}"/>
    <cellStyle name="Normal 5 4 3 3 3" xfId="5246" xr:uid="{00000000-0005-0000-0000-0000161B0000}"/>
    <cellStyle name="Normal 5 4 3 3 3 2" xfId="13696" xr:uid="{8B9DDF8B-1D45-403B-9575-411EE9E5A6E0}"/>
    <cellStyle name="Normal 5 4 3 3 4" xfId="9478" xr:uid="{D2012A85-2253-41FF-8248-FE4E3313AD72}"/>
    <cellStyle name="Normal 5 4 3 4" xfId="1352" xr:uid="{00000000-0005-0000-0000-0000171B0000}"/>
    <cellStyle name="Normal 5 4 3 4 2" xfId="3582" xr:uid="{00000000-0005-0000-0000-0000181B0000}"/>
    <cellStyle name="Normal 5 4 3 4 2 2" xfId="7804" xr:uid="{00000000-0005-0000-0000-0000191B0000}"/>
    <cellStyle name="Normal 5 4 3 4 2 2 2" xfId="16254" xr:uid="{AB21610B-505C-4970-9E75-169279FCC034}"/>
    <cellStyle name="Normal 5 4 3 4 2 3" xfId="12036" xr:uid="{15D3F530-BF73-4C07-91CF-03E764921E6F}"/>
    <cellStyle name="Normal 5 4 3 4 3" xfId="5659" xr:uid="{00000000-0005-0000-0000-00001A1B0000}"/>
    <cellStyle name="Normal 5 4 3 4 3 2" xfId="14109" xr:uid="{0B49E1A8-0D26-42F4-A42D-044B832BEA29}"/>
    <cellStyle name="Normal 5 4 3 4 4" xfId="9891" xr:uid="{E4701A34-D68D-47D6-9960-EB763152EB82}"/>
    <cellStyle name="Normal 5 4 3 5" xfId="1765" xr:uid="{00000000-0005-0000-0000-00001B1B0000}"/>
    <cellStyle name="Normal 5 4 3 5 2" xfId="3995" xr:uid="{00000000-0005-0000-0000-00001C1B0000}"/>
    <cellStyle name="Normal 5 4 3 5 2 2" xfId="8217" xr:uid="{00000000-0005-0000-0000-00001D1B0000}"/>
    <cellStyle name="Normal 5 4 3 5 2 2 2" xfId="16667" xr:uid="{6C6274CF-577E-4F37-BDDF-038C1F5BAAEB}"/>
    <cellStyle name="Normal 5 4 3 5 2 3" xfId="12449" xr:uid="{5EFD63E7-09DD-483E-AEF3-14A3FA88F29B}"/>
    <cellStyle name="Normal 5 4 3 5 3" xfId="6072" xr:uid="{00000000-0005-0000-0000-00001E1B0000}"/>
    <cellStyle name="Normal 5 4 3 5 3 2" xfId="14522" xr:uid="{F58B3465-2986-4A0A-8A51-6FDC8DE397B7}"/>
    <cellStyle name="Normal 5 4 3 5 4" xfId="10304" xr:uid="{545BE174-EE86-41BC-B22C-E5109CCD91A7}"/>
    <cellStyle name="Normal 5 4 3 6" xfId="2179" xr:uid="{00000000-0005-0000-0000-00001F1B0000}"/>
    <cellStyle name="Normal 5 4 3 6 2" xfId="4408" xr:uid="{00000000-0005-0000-0000-0000201B0000}"/>
    <cellStyle name="Normal 5 4 3 6 2 2" xfId="8630" xr:uid="{00000000-0005-0000-0000-0000211B0000}"/>
    <cellStyle name="Normal 5 4 3 6 2 2 2" xfId="17080" xr:uid="{AFD2FE9C-54FD-4E6E-BD00-B310EE70F305}"/>
    <cellStyle name="Normal 5 4 3 6 2 3" xfId="12862" xr:uid="{33624257-900D-4A44-9DF9-7EC7029AED58}"/>
    <cellStyle name="Normal 5 4 3 6 3" xfId="6485" xr:uid="{00000000-0005-0000-0000-0000221B0000}"/>
    <cellStyle name="Normal 5 4 3 6 3 2" xfId="14935" xr:uid="{DEC57E3F-BF56-4F67-8CD5-4D41C51FEC13}"/>
    <cellStyle name="Normal 5 4 3 6 4" xfId="10717" xr:uid="{ED63FCD7-FD45-49D5-BADF-C9CEA6DADEF9}"/>
    <cellStyle name="Normal 5 4 3 7" xfId="2615" xr:uid="{00000000-0005-0000-0000-0000231B0000}"/>
    <cellStyle name="Normal 5 4 3 7 2" xfId="6898" xr:uid="{00000000-0005-0000-0000-0000241B0000}"/>
    <cellStyle name="Normal 5 4 3 7 2 2" xfId="15348" xr:uid="{3A23A7C4-C5AD-440F-91C6-3666D0F7E8A2}"/>
    <cellStyle name="Normal 5 4 3 7 3" xfId="11130" xr:uid="{BC481998-2536-467A-A4D1-C2B17A360E2A}"/>
    <cellStyle name="Normal 5 4 3 8" xfId="4833" xr:uid="{00000000-0005-0000-0000-0000251B0000}"/>
    <cellStyle name="Normal 5 4 3 8 2" xfId="13283" xr:uid="{E1FC36B4-E4DA-4466-B1AE-D663D15B047B}"/>
    <cellStyle name="Normal 5 4 3 9" xfId="9065" xr:uid="{7424D73D-A92A-4A67-82FE-A9E532884EF4}"/>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5843" xr:uid="{6C752758-0E2D-4F42-B84F-B64BBCCBA930}"/>
    <cellStyle name="Normal 5 4 4 2 2 3" xfId="11625" xr:uid="{A1FC546D-DDAB-4AD4-8AD2-5497BCA4BFD0}"/>
    <cellStyle name="Normal 5 4 4 2 3" xfId="5248" xr:uid="{00000000-0005-0000-0000-00002A1B0000}"/>
    <cellStyle name="Normal 5 4 4 2 3 2" xfId="13698" xr:uid="{85028CDD-1377-42F2-A800-FF0AC7D41390}"/>
    <cellStyle name="Normal 5 4 4 2 4" xfId="9480" xr:uid="{E7D2786C-58CA-4C0B-B98E-35714B715F1E}"/>
    <cellStyle name="Normal 5 4 4 3" xfId="1354" xr:uid="{00000000-0005-0000-0000-00002B1B0000}"/>
    <cellStyle name="Normal 5 4 4 3 2" xfId="3584" xr:uid="{00000000-0005-0000-0000-00002C1B0000}"/>
    <cellStyle name="Normal 5 4 4 3 2 2" xfId="7806" xr:uid="{00000000-0005-0000-0000-00002D1B0000}"/>
    <cellStyle name="Normal 5 4 4 3 2 2 2" xfId="16256" xr:uid="{76440E5B-DD2B-4CBE-87DC-6E53392873FE}"/>
    <cellStyle name="Normal 5 4 4 3 2 3" xfId="12038" xr:uid="{4C8A7039-5A6E-4D07-83EE-053CA55CC1ED}"/>
    <cellStyle name="Normal 5 4 4 3 3" xfId="5661" xr:uid="{00000000-0005-0000-0000-00002E1B0000}"/>
    <cellStyle name="Normal 5 4 4 3 3 2" xfId="14111" xr:uid="{1F7D7E4F-53B2-4ECA-B3FF-F9B81F75B111}"/>
    <cellStyle name="Normal 5 4 4 3 4" xfId="9893" xr:uid="{917FD9AE-F6FA-4A07-A145-EE9F48D8FCAE}"/>
    <cellStyle name="Normal 5 4 4 4" xfId="1767" xr:uid="{00000000-0005-0000-0000-00002F1B0000}"/>
    <cellStyle name="Normal 5 4 4 4 2" xfId="3997" xr:uid="{00000000-0005-0000-0000-0000301B0000}"/>
    <cellStyle name="Normal 5 4 4 4 2 2" xfId="8219" xr:uid="{00000000-0005-0000-0000-0000311B0000}"/>
    <cellStyle name="Normal 5 4 4 4 2 2 2" xfId="16669" xr:uid="{CF9E23A9-4670-4742-8DA4-27F74747BDEE}"/>
    <cellStyle name="Normal 5 4 4 4 2 3" xfId="12451" xr:uid="{51A5C988-5445-4928-A069-D3EBCF9E9876}"/>
    <cellStyle name="Normal 5 4 4 4 3" xfId="6074" xr:uid="{00000000-0005-0000-0000-0000321B0000}"/>
    <cellStyle name="Normal 5 4 4 4 3 2" xfId="14524" xr:uid="{13B3B879-EAE0-498A-A328-B6DC7C33ACAD}"/>
    <cellStyle name="Normal 5 4 4 4 4" xfId="10306" xr:uid="{4816E425-EBBA-48E5-9245-B68152A9FB15}"/>
    <cellStyle name="Normal 5 4 4 5" xfId="2181" xr:uid="{00000000-0005-0000-0000-0000331B0000}"/>
    <cellStyle name="Normal 5 4 4 5 2" xfId="4410" xr:uid="{00000000-0005-0000-0000-0000341B0000}"/>
    <cellStyle name="Normal 5 4 4 5 2 2" xfId="8632" xr:uid="{00000000-0005-0000-0000-0000351B0000}"/>
    <cellStyle name="Normal 5 4 4 5 2 2 2" xfId="17082" xr:uid="{3BBF1FC2-2C49-4A01-A9E5-24E23ABFDCCD}"/>
    <cellStyle name="Normal 5 4 4 5 2 3" xfId="12864" xr:uid="{BF617C1F-AC3F-455A-A6C9-FAD670A725F1}"/>
    <cellStyle name="Normal 5 4 4 5 3" xfId="6487" xr:uid="{00000000-0005-0000-0000-0000361B0000}"/>
    <cellStyle name="Normal 5 4 4 5 3 2" xfId="14937" xr:uid="{9EF6DC72-E177-49D4-A390-3C1112F633C6}"/>
    <cellStyle name="Normal 5 4 4 5 4" xfId="10719" xr:uid="{49D2B973-72E9-42C8-B9D2-9891F68DB863}"/>
    <cellStyle name="Normal 5 4 4 6" xfId="2617" xr:uid="{00000000-0005-0000-0000-0000371B0000}"/>
    <cellStyle name="Normal 5 4 4 6 2" xfId="6900" xr:uid="{00000000-0005-0000-0000-0000381B0000}"/>
    <cellStyle name="Normal 5 4 4 6 2 2" xfId="15350" xr:uid="{5C0D4578-E27B-4249-AFD3-D78B311C00D2}"/>
    <cellStyle name="Normal 5 4 4 6 3" xfId="11132" xr:uid="{CF195C05-F98C-4F60-BA14-10AEBA3996AD}"/>
    <cellStyle name="Normal 5 4 4 7" xfId="4835" xr:uid="{00000000-0005-0000-0000-0000391B0000}"/>
    <cellStyle name="Normal 5 4 4 7 2" xfId="13285" xr:uid="{B40AB368-86E2-450F-8FB4-3B81A1983A6C}"/>
    <cellStyle name="Normal 5 4 4 8" xfId="9067" xr:uid="{C029E7BF-2D35-4A9C-B943-C92C96C5C8E1}"/>
    <cellStyle name="Normal 5 4 5" xfId="930" xr:uid="{00000000-0005-0000-0000-00003A1B0000}"/>
    <cellStyle name="Normal 5 4 5 2" xfId="3164" xr:uid="{00000000-0005-0000-0000-00003B1B0000}"/>
    <cellStyle name="Normal 5 4 5 2 2" xfId="7386" xr:uid="{00000000-0005-0000-0000-00003C1B0000}"/>
    <cellStyle name="Normal 5 4 5 2 2 2" xfId="15836" xr:uid="{4B7E4C71-1210-403F-89CF-E56C6A4A818A}"/>
    <cellStyle name="Normal 5 4 5 2 3" xfId="11618" xr:uid="{F5A696EF-9FAD-4E2B-873F-5FD03868BB44}"/>
    <cellStyle name="Normal 5 4 5 3" xfId="5241" xr:uid="{00000000-0005-0000-0000-00003D1B0000}"/>
    <cellStyle name="Normal 5 4 5 3 2" xfId="13691" xr:uid="{0816EDD8-B9E5-4334-9454-50F47E8847D7}"/>
    <cellStyle name="Normal 5 4 5 4" xfId="9473" xr:uid="{C1BA10C8-737F-4117-BB88-CB2B8D3DA0F6}"/>
    <cellStyle name="Normal 5 4 6" xfId="1347" xr:uid="{00000000-0005-0000-0000-00003E1B0000}"/>
    <cellStyle name="Normal 5 4 6 2" xfId="3577" xr:uid="{00000000-0005-0000-0000-00003F1B0000}"/>
    <cellStyle name="Normal 5 4 6 2 2" xfId="7799" xr:uid="{00000000-0005-0000-0000-0000401B0000}"/>
    <cellStyle name="Normal 5 4 6 2 2 2" xfId="16249" xr:uid="{5C3A5FB3-663E-4C6E-992F-CCAA8231AAD1}"/>
    <cellStyle name="Normal 5 4 6 2 3" xfId="12031" xr:uid="{81D36881-1DCB-4CF3-8ACE-6A972AD1A0C7}"/>
    <cellStyle name="Normal 5 4 6 3" xfId="5654" xr:uid="{00000000-0005-0000-0000-0000411B0000}"/>
    <cellStyle name="Normal 5 4 6 3 2" xfId="14104" xr:uid="{ABA6404F-1F02-46D4-82A9-1B6CC25A5E6D}"/>
    <cellStyle name="Normal 5 4 6 4" xfId="9886" xr:uid="{450C4CB8-225B-4EFC-AAA7-442176910C4D}"/>
    <cellStyle name="Normal 5 4 7" xfId="1760" xr:uid="{00000000-0005-0000-0000-0000421B0000}"/>
    <cellStyle name="Normal 5 4 7 2" xfId="3990" xr:uid="{00000000-0005-0000-0000-0000431B0000}"/>
    <cellStyle name="Normal 5 4 7 2 2" xfId="8212" xr:uid="{00000000-0005-0000-0000-0000441B0000}"/>
    <cellStyle name="Normal 5 4 7 2 2 2" xfId="16662" xr:uid="{C49DB839-24AF-41C2-B373-5B6C807E208D}"/>
    <cellStyle name="Normal 5 4 7 2 3" xfId="12444" xr:uid="{BCEFF71D-5ED4-435F-B72A-F5FB256192B1}"/>
    <cellStyle name="Normal 5 4 7 3" xfId="6067" xr:uid="{00000000-0005-0000-0000-0000451B0000}"/>
    <cellStyle name="Normal 5 4 7 3 2" xfId="14517" xr:uid="{CEBF19D6-3391-4833-BEA9-9C5B323D76EF}"/>
    <cellStyle name="Normal 5 4 7 4" xfId="10299" xr:uid="{0E126AC3-9389-4DE8-A96D-2D5945F645C9}"/>
    <cellStyle name="Normal 5 4 8" xfId="2174" xr:uid="{00000000-0005-0000-0000-0000461B0000}"/>
    <cellStyle name="Normal 5 4 8 2" xfId="4403" xr:uid="{00000000-0005-0000-0000-0000471B0000}"/>
    <cellStyle name="Normal 5 4 8 2 2" xfId="8625" xr:uid="{00000000-0005-0000-0000-0000481B0000}"/>
    <cellStyle name="Normal 5 4 8 2 2 2" xfId="17075" xr:uid="{4E9A549B-0F68-437E-9973-3E8958306282}"/>
    <cellStyle name="Normal 5 4 8 2 3" xfId="12857" xr:uid="{B753705F-1888-4D0F-9221-AAC95F7E155E}"/>
    <cellStyle name="Normal 5 4 8 3" xfId="6480" xr:uid="{00000000-0005-0000-0000-0000491B0000}"/>
    <cellStyle name="Normal 5 4 8 3 2" xfId="14930" xr:uid="{F94A50A7-1F83-4054-8DA0-EEA0CB75FCCD}"/>
    <cellStyle name="Normal 5 4 8 4" xfId="10712" xr:uid="{CFBE757E-95C7-423F-8C03-49FC9A56FBD6}"/>
    <cellStyle name="Normal 5 4 9" xfId="2610" xr:uid="{00000000-0005-0000-0000-00004A1B0000}"/>
    <cellStyle name="Normal 5 4 9 2" xfId="6893" xr:uid="{00000000-0005-0000-0000-00004B1B0000}"/>
    <cellStyle name="Normal 5 4 9 2 2" xfId="15343" xr:uid="{BE415FD3-AFD3-451D-8675-5E5324C685C2}"/>
    <cellStyle name="Normal 5 4 9 3" xfId="11125" xr:uid="{05703FA2-7236-4786-A602-741F7AA8FD15}"/>
    <cellStyle name="Normal 5 5" xfId="464" xr:uid="{00000000-0005-0000-0000-00004C1B0000}"/>
    <cellStyle name="Normal 5 5 10" xfId="9068" xr:uid="{AFBC8FB2-90DD-4814-9E3F-724880AD10AE}"/>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5846" xr:uid="{0768F9BA-B0D2-4821-86CB-A0DA99BED36E}"/>
    <cellStyle name="Normal 5 5 2 2 2 2 3" xfId="11628" xr:uid="{48298E3E-5FF9-4031-A4CF-96615ECE379C}"/>
    <cellStyle name="Normal 5 5 2 2 2 3" xfId="5251" xr:uid="{00000000-0005-0000-0000-0000521B0000}"/>
    <cellStyle name="Normal 5 5 2 2 2 3 2" xfId="13701" xr:uid="{35911F63-E16F-4BAE-9BE5-738870EF74BF}"/>
    <cellStyle name="Normal 5 5 2 2 2 4" xfId="9483" xr:uid="{CDB90845-F1C4-45A6-B6D3-D4C257F5EB81}"/>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6259" xr:uid="{9F23E3F9-F156-4C84-B60B-C4B54656C3E3}"/>
    <cellStyle name="Normal 5 5 2 2 3 2 3" xfId="12041" xr:uid="{43C6643B-A6DD-47E4-BE38-672801BAFF0A}"/>
    <cellStyle name="Normal 5 5 2 2 3 3" xfId="5664" xr:uid="{00000000-0005-0000-0000-0000561B0000}"/>
    <cellStyle name="Normal 5 5 2 2 3 3 2" xfId="14114" xr:uid="{0826C040-4F47-4A35-ADCC-1E143BCF9EA0}"/>
    <cellStyle name="Normal 5 5 2 2 3 4" xfId="9896" xr:uid="{F9F0965F-4010-4BD2-9B7E-B76CA95EE665}"/>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6672" xr:uid="{6EF1ECB5-C0A2-443D-9450-282676F5390E}"/>
    <cellStyle name="Normal 5 5 2 2 4 2 3" xfId="12454" xr:uid="{D2E618FB-CEF8-4F72-817C-7888F9436AD8}"/>
    <cellStyle name="Normal 5 5 2 2 4 3" xfId="6077" xr:uid="{00000000-0005-0000-0000-00005A1B0000}"/>
    <cellStyle name="Normal 5 5 2 2 4 3 2" xfId="14527" xr:uid="{F7E5B229-049A-4760-9767-D66622AB275F}"/>
    <cellStyle name="Normal 5 5 2 2 4 4" xfId="10309" xr:uid="{92996A42-3567-4F51-B495-D0615E5BD5B0}"/>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085" xr:uid="{E995752B-97FD-409C-8D64-3FE30B2778F6}"/>
    <cellStyle name="Normal 5 5 2 2 5 2 3" xfId="12867" xr:uid="{E20FC165-6574-4C4A-A4A2-7174DA5B607C}"/>
    <cellStyle name="Normal 5 5 2 2 5 3" xfId="6490" xr:uid="{00000000-0005-0000-0000-00005E1B0000}"/>
    <cellStyle name="Normal 5 5 2 2 5 3 2" xfId="14940" xr:uid="{79CA99DF-D2BA-445A-87DE-1C9F30505062}"/>
    <cellStyle name="Normal 5 5 2 2 5 4" xfId="10722" xr:uid="{CBB1A4B9-8663-4DA2-B18B-158FD3345484}"/>
    <cellStyle name="Normal 5 5 2 2 6" xfId="2620" xr:uid="{00000000-0005-0000-0000-00005F1B0000}"/>
    <cellStyle name="Normal 5 5 2 2 6 2" xfId="6903" xr:uid="{00000000-0005-0000-0000-0000601B0000}"/>
    <cellStyle name="Normal 5 5 2 2 6 2 2" xfId="15353" xr:uid="{AB438A0F-A591-478D-A5A8-311BD5B20F4D}"/>
    <cellStyle name="Normal 5 5 2 2 6 3" xfId="11135" xr:uid="{9F59A970-E19E-45F9-A6CF-D6028A5376C5}"/>
    <cellStyle name="Normal 5 5 2 2 7" xfId="4838" xr:uid="{00000000-0005-0000-0000-0000611B0000}"/>
    <cellStyle name="Normal 5 5 2 2 7 2" xfId="13288" xr:uid="{1F44FC85-C347-4A81-B69E-00B5A78251EE}"/>
    <cellStyle name="Normal 5 5 2 2 8" xfId="9070" xr:uid="{34C83D33-9E5C-4FE9-A263-0A414E75436F}"/>
    <cellStyle name="Normal 5 5 2 3" xfId="939" xr:uid="{00000000-0005-0000-0000-0000621B0000}"/>
    <cellStyle name="Normal 5 5 2 3 2" xfId="3173" xr:uid="{00000000-0005-0000-0000-0000631B0000}"/>
    <cellStyle name="Normal 5 5 2 3 2 2" xfId="7395" xr:uid="{00000000-0005-0000-0000-0000641B0000}"/>
    <cellStyle name="Normal 5 5 2 3 2 2 2" xfId="15845" xr:uid="{121EE723-488D-4E5E-86C9-480D5799EC5E}"/>
    <cellStyle name="Normal 5 5 2 3 2 3" xfId="11627" xr:uid="{4B5C8C88-2F8C-43D5-A337-3A8144B33813}"/>
    <cellStyle name="Normal 5 5 2 3 3" xfId="5250" xr:uid="{00000000-0005-0000-0000-0000651B0000}"/>
    <cellStyle name="Normal 5 5 2 3 3 2" xfId="13700" xr:uid="{7A8EEF3D-C4E0-4D92-A2E7-671E3C8D5318}"/>
    <cellStyle name="Normal 5 5 2 3 4" xfId="9482" xr:uid="{6DC40F1F-9178-41A7-BE53-BB521B6F8B55}"/>
    <cellStyle name="Normal 5 5 2 4" xfId="1356" xr:uid="{00000000-0005-0000-0000-0000661B0000}"/>
    <cellStyle name="Normal 5 5 2 4 2" xfId="3586" xr:uid="{00000000-0005-0000-0000-0000671B0000}"/>
    <cellStyle name="Normal 5 5 2 4 2 2" xfId="7808" xr:uid="{00000000-0005-0000-0000-0000681B0000}"/>
    <cellStyle name="Normal 5 5 2 4 2 2 2" xfId="16258" xr:uid="{26CCE6CA-30BF-4223-A6A5-954D3DA197CC}"/>
    <cellStyle name="Normal 5 5 2 4 2 3" xfId="12040" xr:uid="{998C2792-2F59-4A0D-AA36-B38A10DBD983}"/>
    <cellStyle name="Normal 5 5 2 4 3" xfId="5663" xr:uid="{00000000-0005-0000-0000-0000691B0000}"/>
    <cellStyle name="Normal 5 5 2 4 3 2" xfId="14113" xr:uid="{F4EC7F10-CFE3-46CC-8159-A265CAB7B48F}"/>
    <cellStyle name="Normal 5 5 2 4 4" xfId="9895" xr:uid="{0CD0F96F-851C-4ED3-97C9-71DF50182A78}"/>
    <cellStyle name="Normal 5 5 2 5" xfId="1769" xr:uid="{00000000-0005-0000-0000-00006A1B0000}"/>
    <cellStyle name="Normal 5 5 2 5 2" xfId="3999" xr:uid="{00000000-0005-0000-0000-00006B1B0000}"/>
    <cellStyle name="Normal 5 5 2 5 2 2" xfId="8221" xr:uid="{00000000-0005-0000-0000-00006C1B0000}"/>
    <cellStyle name="Normal 5 5 2 5 2 2 2" xfId="16671" xr:uid="{8AB7940F-8B80-404D-AF4D-2CAE575D55F1}"/>
    <cellStyle name="Normal 5 5 2 5 2 3" xfId="12453" xr:uid="{1F2E55EC-C6C3-4231-975E-1A28EABDEAC9}"/>
    <cellStyle name="Normal 5 5 2 5 3" xfId="6076" xr:uid="{00000000-0005-0000-0000-00006D1B0000}"/>
    <cellStyle name="Normal 5 5 2 5 3 2" xfId="14526" xr:uid="{4DCFED10-4CED-4F9C-BA93-896791D22E2E}"/>
    <cellStyle name="Normal 5 5 2 5 4" xfId="10308" xr:uid="{70298A32-B50D-4516-8473-8FD3945825E9}"/>
    <cellStyle name="Normal 5 5 2 6" xfId="2183" xr:uid="{00000000-0005-0000-0000-00006E1B0000}"/>
    <cellStyle name="Normal 5 5 2 6 2" xfId="4412" xr:uid="{00000000-0005-0000-0000-00006F1B0000}"/>
    <cellStyle name="Normal 5 5 2 6 2 2" xfId="8634" xr:uid="{00000000-0005-0000-0000-0000701B0000}"/>
    <cellStyle name="Normal 5 5 2 6 2 2 2" xfId="17084" xr:uid="{BE5B0D0C-A2B4-4CDC-97C6-1956141B370C}"/>
    <cellStyle name="Normal 5 5 2 6 2 3" xfId="12866" xr:uid="{47C8A7B9-3254-4F7E-A72A-0E1038EC11C4}"/>
    <cellStyle name="Normal 5 5 2 6 3" xfId="6489" xr:uid="{00000000-0005-0000-0000-0000711B0000}"/>
    <cellStyle name="Normal 5 5 2 6 3 2" xfId="14939" xr:uid="{5BF76179-31F9-4489-B030-A7F58F6D2194}"/>
    <cellStyle name="Normal 5 5 2 6 4" xfId="10721" xr:uid="{971552EA-185D-4A48-86CD-908887AF16F8}"/>
    <cellStyle name="Normal 5 5 2 7" xfId="2619" xr:uid="{00000000-0005-0000-0000-0000721B0000}"/>
    <cellStyle name="Normal 5 5 2 7 2" xfId="6902" xr:uid="{00000000-0005-0000-0000-0000731B0000}"/>
    <cellStyle name="Normal 5 5 2 7 2 2" xfId="15352" xr:uid="{3FC248C2-151E-4A7C-A305-AE8BD3CC18E2}"/>
    <cellStyle name="Normal 5 5 2 7 3" xfId="11134" xr:uid="{37D91228-1DFC-444B-B4C4-F71FEDAABC46}"/>
    <cellStyle name="Normal 5 5 2 8" xfId="4837" xr:uid="{00000000-0005-0000-0000-0000741B0000}"/>
    <cellStyle name="Normal 5 5 2 8 2" xfId="13287" xr:uid="{C7DF0F03-5B6F-4E23-9936-380C096FB4EB}"/>
    <cellStyle name="Normal 5 5 2 9" xfId="9069" xr:uid="{B8C99FF7-CD90-4812-87DA-85537625246A}"/>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5847" xr:uid="{3B639741-3AF4-40DD-A081-1915055C857D}"/>
    <cellStyle name="Normal 5 5 3 2 2 3" xfId="11629" xr:uid="{59BC2E00-1BD4-4E09-945A-2FDE92D62BC6}"/>
    <cellStyle name="Normal 5 5 3 2 3" xfId="5252" xr:uid="{00000000-0005-0000-0000-0000791B0000}"/>
    <cellStyle name="Normal 5 5 3 2 3 2" xfId="13702" xr:uid="{3AE1772B-E273-47A5-87E0-93C559E25513}"/>
    <cellStyle name="Normal 5 5 3 2 4" xfId="9484" xr:uid="{FF8AD132-3194-46C9-AB8A-D9D7D952DC3D}"/>
    <cellStyle name="Normal 5 5 3 3" xfId="1358" xr:uid="{00000000-0005-0000-0000-00007A1B0000}"/>
    <cellStyle name="Normal 5 5 3 3 2" xfId="3588" xr:uid="{00000000-0005-0000-0000-00007B1B0000}"/>
    <cellStyle name="Normal 5 5 3 3 2 2" xfId="7810" xr:uid="{00000000-0005-0000-0000-00007C1B0000}"/>
    <cellStyle name="Normal 5 5 3 3 2 2 2" xfId="16260" xr:uid="{31F50B4A-E492-4240-A98E-7517802A217F}"/>
    <cellStyle name="Normal 5 5 3 3 2 3" xfId="12042" xr:uid="{29C81387-491C-48C2-8CB2-7AD1F8A6E9C4}"/>
    <cellStyle name="Normal 5 5 3 3 3" xfId="5665" xr:uid="{00000000-0005-0000-0000-00007D1B0000}"/>
    <cellStyle name="Normal 5 5 3 3 3 2" xfId="14115" xr:uid="{D0CC90B9-89B7-48E8-A528-3D237225DCEB}"/>
    <cellStyle name="Normal 5 5 3 3 4" xfId="9897" xr:uid="{B467D73C-2456-4A1A-A609-34254B6F9976}"/>
    <cellStyle name="Normal 5 5 3 4" xfId="1771" xr:uid="{00000000-0005-0000-0000-00007E1B0000}"/>
    <cellStyle name="Normal 5 5 3 4 2" xfId="4001" xr:uid="{00000000-0005-0000-0000-00007F1B0000}"/>
    <cellStyle name="Normal 5 5 3 4 2 2" xfId="8223" xr:uid="{00000000-0005-0000-0000-0000801B0000}"/>
    <cellStyle name="Normal 5 5 3 4 2 2 2" xfId="16673" xr:uid="{14E27CD2-BAED-4254-BC67-E3D6AB707F7C}"/>
    <cellStyle name="Normal 5 5 3 4 2 3" xfId="12455" xr:uid="{7C9715B2-6406-4E6E-BA16-91E52AC55226}"/>
    <cellStyle name="Normal 5 5 3 4 3" xfId="6078" xr:uid="{00000000-0005-0000-0000-0000811B0000}"/>
    <cellStyle name="Normal 5 5 3 4 3 2" xfId="14528" xr:uid="{3943BA3B-C1D9-41C3-A346-6A0C289D9B23}"/>
    <cellStyle name="Normal 5 5 3 4 4" xfId="10310" xr:uid="{8D6FDCFF-77A3-4A6B-91AE-80B16286DCF7}"/>
    <cellStyle name="Normal 5 5 3 5" xfId="2185" xr:uid="{00000000-0005-0000-0000-0000821B0000}"/>
    <cellStyle name="Normal 5 5 3 5 2" xfId="4414" xr:uid="{00000000-0005-0000-0000-0000831B0000}"/>
    <cellStyle name="Normal 5 5 3 5 2 2" xfId="8636" xr:uid="{00000000-0005-0000-0000-0000841B0000}"/>
    <cellStyle name="Normal 5 5 3 5 2 2 2" xfId="17086" xr:uid="{FDF09C25-7631-4C5F-A7EB-EBFDFA49A5E6}"/>
    <cellStyle name="Normal 5 5 3 5 2 3" xfId="12868" xr:uid="{8BCBA74A-B5C3-4207-A525-D48571E9CF3C}"/>
    <cellStyle name="Normal 5 5 3 5 3" xfId="6491" xr:uid="{00000000-0005-0000-0000-0000851B0000}"/>
    <cellStyle name="Normal 5 5 3 5 3 2" xfId="14941" xr:uid="{BB17B72B-8377-4B09-B55E-41513887714E}"/>
    <cellStyle name="Normal 5 5 3 5 4" xfId="10723" xr:uid="{B0F04045-DC4E-43D3-9724-3355B9F067FA}"/>
    <cellStyle name="Normal 5 5 3 6" xfId="2621" xr:uid="{00000000-0005-0000-0000-0000861B0000}"/>
    <cellStyle name="Normal 5 5 3 6 2" xfId="6904" xr:uid="{00000000-0005-0000-0000-0000871B0000}"/>
    <cellStyle name="Normal 5 5 3 6 2 2" xfId="15354" xr:uid="{3617FB52-EF55-4B23-B40F-7742EE5A266A}"/>
    <cellStyle name="Normal 5 5 3 6 3" xfId="11136" xr:uid="{F50C4A02-9E97-4A5B-AEBE-A22A5293B846}"/>
    <cellStyle name="Normal 5 5 3 7" xfId="4839" xr:uid="{00000000-0005-0000-0000-0000881B0000}"/>
    <cellStyle name="Normal 5 5 3 7 2" xfId="13289" xr:uid="{9292D551-659A-4C65-A281-B393E3783A87}"/>
    <cellStyle name="Normal 5 5 3 8" xfId="9071" xr:uid="{8F9599B4-1C84-48D4-96BE-4FE33686D330}"/>
    <cellStyle name="Normal 5 5 4" xfId="938" xr:uid="{00000000-0005-0000-0000-0000891B0000}"/>
    <cellStyle name="Normal 5 5 4 2" xfId="3172" xr:uid="{00000000-0005-0000-0000-00008A1B0000}"/>
    <cellStyle name="Normal 5 5 4 2 2" xfId="7394" xr:uid="{00000000-0005-0000-0000-00008B1B0000}"/>
    <cellStyle name="Normal 5 5 4 2 2 2" xfId="15844" xr:uid="{88F73FFB-1EC6-40AC-A807-3960EBD72604}"/>
    <cellStyle name="Normal 5 5 4 2 3" xfId="11626" xr:uid="{58A968D7-D152-4924-B2A7-7C487E616080}"/>
    <cellStyle name="Normal 5 5 4 3" xfId="5249" xr:uid="{00000000-0005-0000-0000-00008C1B0000}"/>
    <cellStyle name="Normal 5 5 4 3 2" xfId="13699" xr:uid="{1139D23C-F3F5-4641-8D66-A2C6A5E1B778}"/>
    <cellStyle name="Normal 5 5 4 4" xfId="9481" xr:uid="{0C699719-9F9B-4353-8679-2C14C4047309}"/>
    <cellStyle name="Normal 5 5 5" xfId="1355" xr:uid="{00000000-0005-0000-0000-00008D1B0000}"/>
    <cellStyle name="Normal 5 5 5 2" xfId="3585" xr:uid="{00000000-0005-0000-0000-00008E1B0000}"/>
    <cellStyle name="Normal 5 5 5 2 2" xfId="7807" xr:uid="{00000000-0005-0000-0000-00008F1B0000}"/>
    <cellStyle name="Normal 5 5 5 2 2 2" xfId="16257" xr:uid="{923BB78F-1134-4B39-A0E7-3B2C35CF0688}"/>
    <cellStyle name="Normal 5 5 5 2 3" xfId="12039" xr:uid="{00F452DB-A096-411C-9CAF-3ECF11BA2E8A}"/>
    <cellStyle name="Normal 5 5 5 3" xfId="5662" xr:uid="{00000000-0005-0000-0000-0000901B0000}"/>
    <cellStyle name="Normal 5 5 5 3 2" xfId="14112" xr:uid="{033ECBE0-8DFF-4301-A016-67A6CADE79E6}"/>
    <cellStyle name="Normal 5 5 5 4" xfId="9894" xr:uid="{1E66969C-268E-46D4-BBD0-25DE75ACD13E}"/>
    <cellStyle name="Normal 5 5 6" xfId="1768" xr:uid="{00000000-0005-0000-0000-0000911B0000}"/>
    <cellStyle name="Normal 5 5 6 2" xfId="3998" xr:uid="{00000000-0005-0000-0000-0000921B0000}"/>
    <cellStyle name="Normal 5 5 6 2 2" xfId="8220" xr:uid="{00000000-0005-0000-0000-0000931B0000}"/>
    <cellStyle name="Normal 5 5 6 2 2 2" xfId="16670" xr:uid="{D2D087E5-2814-47A8-9E19-63A188A5023D}"/>
    <cellStyle name="Normal 5 5 6 2 3" xfId="12452" xr:uid="{C864261E-68EA-483B-95E0-6B972C3E754B}"/>
    <cellStyle name="Normal 5 5 6 3" xfId="6075" xr:uid="{00000000-0005-0000-0000-0000941B0000}"/>
    <cellStyle name="Normal 5 5 6 3 2" xfId="14525" xr:uid="{D02244B4-8500-4312-A056-9C413E8F5537}"/>
    <cellStyle name="Normal 5 5 6 4" xfId="10307" xr:uid="{D0C268B9-0BC0-4182-B812-53B9D63288BD}"/>
    <cellStyle name="Normal 5 5 7" xfId="2182" xr:uid="{00000000-0005-0000-0000-0000951B0000}"/>
    <cellStyle name="Normal 5 5 7 2" xfId="4411" xr:uid="{00000000-0005-0000-0000-0000961B0000}"/>
    <cellStyle name="Normal 5 5 7 2 2" xfId="8633" xr:uid="{00000000-0005-0000-0000-0000971B0000}"/>
    <cellStyle name="Normal 5 5 7 2 2 2" xfId="17083" xr:uid="{20F42D86-22F5-44E5-8033-871E5560CA8E}"/>
    <cellStyle name="Normal 5 5 7 2 3" xfId="12865" xr:uid="{E963895B-B7C7-4E0C-8536-71A44FAACBF9}"/>
    <cellStyle name="Normal 5 5 7 3" xfId="6488" xr:uid="{00000000-0005-0000-0000-0000981B0000}"/>
    <cellStyle name="Normal 5 5 7 3 2" xfId="14938" xr:uid="{34B241A2-133F-4304-A334-5AFDB02E7F43}"/>
    <cellStyle name="Normal 5 5 7 4" xfId="10720" xr:uid="{554B5519-0B6C-4EF6-A2FE-FFC5D6AE73FC}"/>
    <cellStyle name="Normal 5 5 8" xfId="2618" xr:uid="{00000000-0005-0000-0000-0000991B0000}"/>
    <cellStyle name="Normal 5 5 8 2" xfId="6901" xr:uid="{00000000-0005-0000-0000-00009A1B0000}"/>
    <cellStyle name="Normal 5 5 8 2 2" xfId="15351" xr:uid="{8B45A86E-6A2F-4F9A-A884-86A666BAFF91}"/>
    <cellStyle name="Normal 5 5 8 3" xfId="11133" xr:uid="{EDDF00DB-9BB9-4B9A-9E7B-7BF6A50EB4AC}"/>
    <cellStyle name="Normal 5 5 9" xfId="4836" xr:uid="{00000000-0005-0000-0000-00009B1B0000}"/>
    <cellStyle name="Normal 5 5 9 2" xfId="13286" xr:uid="{A34C8E20-DFF9-48A6-A556-A730C10FC5EC}"/>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5849" xr:uid="{97CF7A64-CB47-4DD7-90A9-353E3701F318}"/>
    <cellStyle name="Normal 5 6 2 2 2 3" xfId="11631" xr:uid="{DD396F2E-310D-4547-8B4D-E756F71A514F}"/>
    <cellStyle name="Normal 5 6 2 2 3" xfId="5254" xr:uid="{00000000-0005-0000-0000-0000A11B0000}"/>
    <cellStyle name="Normal 5 6 2 2 3 2" xfId="13704" xr:uid="{BB137713-AEF5-4E78-80D4-21E289359B66}"/>
    <cellStyle name="Normal 5 6 2 2 4" xfId="9486" xr:uid="{88A6EC3C-D303-4BED-9D1B-A39859E94785}"/>
    <cellStyle name="Normal 5 6 2 3" xfId="1360" xr:uid="{00000000-0005-0000-0000-0000A21B0000}"/>
    <cellStyle name="Normal 5 6 2 3 2" xfId="3590" xr:uid="{00000000-0005-0000-0000-0000A31B0000}"/>
    <cellStyle name="Normal 5 6 2 3 2 2" xfId="7812" xr:uid="{00000000-0005-0000-0000-0000A41B0000}"/>
    <cellStyle name="Normal 5 6 2 3 2 2 2" xfId="16262" xr:uid="{85130EE9-50A9-47AE-989F-345AC2914E71}"/>
    <cellStyle name="Normal 5 6 2 3 2 3" xfId="12044" xr:uid="{8792DBEC-E171-490C-994F-3891E60E26D9}"/>
    <cellStyle name="Normal 5 6 2 3 3" xfId="5667" xr:uid="{00000000-0005-0000-0000-0000A51B0000}"/>
    <cellStyle name="Normal 5 6 2 3 3 2" xfId="14117" xr:uid="{3FA034DC-1844-4F77-9C09-EE7C258311A2}"/>
    <cellStyle name="Normal 5 6 2 3 4" xfId="9899" xr:uid="{3D791845-839B-4A7E-974D-B0512B9D299C}"/>
    <cellStyle name="Normal 5 6 2 4" xfId="1773" xr:uid="{00000000-0005-0000-0000-0000A61B0000}"/>
    <cellStyle name="Normal 5 6 2 4 2" xfId="4003" xr:uid="{00000000-0005-0000-0000-0000A71B0000}"/>
    <cellStyle name="Normal 5 6 2 4 2 2" xfId="8225" xr:uid="{00000000-0005-0000-0000-0000A81B0000}"/>
    <cellStyle name="Normal 5 6 2 4 2 2 2" xfId="16675" xr:uid="{14F211EC-1688-44DE-9234-1F826BC9128B}"/>
    <cellStyle name="Normal 5 6 2 4 2 3" xfId="12457" xr:uid="{78BA3BC0-DEA0-42B9-965B-3F9681B0FA68}"/>
    <cellStyle name="Normal 5 6 2 4 3" xfId="6080" xr:uid="{00000000-0005-0000-0000-0000A91B0000}"/>
    <cellStyle name="Normal 5 6 2 4 3 2" xfId="14530" xr:uid="{CD5225E6-ECAD-4A35-8CA5-6BDD5A2120C8}"/>
    <cellStyle name="Normal 5 6 2 4 4" xfId="10312" xr:uid="{50EA2DDC-B7EE-4057-9103-EE22EAA9F8D2}"/>
    <cellStyle name="Normal 5 6 2 5" xfId="2187" xr:uid="{00000000-0005-0000-0000-0000AA1B0000}"/>
    <cellStyle name="Normal 5 6 2 5 2" xfId="4416" xr:uid="{00000000-0005-0000-0000-0000AB1B0000}"/>
    <cellStyle name="Normal 5 6 2 5 2 2" xfId="8638" xr:uid="{00000000-0005-0000-0000-0000AC1B0000}"/>
    <cellStyle name="Normal 5 6 2 5 2 2 2" xfId="17088" xr:uid="{DD94ECD6-7E81-4384-855D-118409D80A4A}"/>
    <cellStyle name="Normal 5 6 2 5 2 3" xfId="12870" xr:uid="{3EB9FDA1-695B-475F-9443-282561AABB9D}"/>
    <cellStyle name="Normal 5 6 2 5 3" xfId="6493" xr:uid="{00000000-0005-0000-0000-0000AD1B0000}"/>
    <cellStyle name="Normal 5 6 2 5 3 2" xfId="14943" xr:uid="{C081D0FC-71A1-4D10-8BDF-AD119D7B22C4}"/>
    <cellStyle name="Normal 5 6 2 5 4" xfId="10725" xr:uid="{241D2D91-DB7B-4524-BA30-AE4D2D9AEEF3}"/>
    <cellStyle name="Normal 5 6 2 6" xfId="2623" xr:uid="{00000000-0005-0000-0000-0000AE1B0000}"/>
    <cellStyle name="Normal 5 6 2 6 2" xfId="6906" xr:uid="{00000000-0005-0000-0000-0000AF1B0000}"/>
    <cellStyle name="Normal 5 6 2 6 2 2" xfId="15356" xr:uid="{D317B33A-5565-43DA-B7A1-BF943D1D8A50}"/>
    <cellStyle name="Normal 5 6 2 6 3" xfId="11138" xr:uid="{5751F0C5-A917-4B00-B772-7C1956F6B8F5}"/>
    <cellStyle name="Normal 5 6 2 7" xfId="4841" xr:uid="{00000000-0005-0000-0000-0000B01B0000}"/>
    <cellStyle name="Normal 5 6 2 7 2" xfId="13291" xr:uid="{760B3E2D-B77B-4E9D-8923-AD19EF7CEA1D}"/>
    <cellStyle name="Normal 5 6 2 8" xfId="9073" xr:uid="{C7276085-4C10-4D9B-97DB-052AAA566F17}"/>
    <cellStyle name="Normal 5 6 3" xfId="942" xr:uid="{00000000-0005-0000-0000-0000B11B0000}"/>
    <cellStyle name="Normal 5 6 3 2" xfId="3176" xr:uid="{00000000-0005-0000-0000-0000B21B0000}"/>
    <cellStyle name="Normal 5 6 3 2 2" xfId="7398" xr:uid="{00000000-0005-0000-0000-0000B31B0000}"/>
    <cellStyle name="Normal 5 6 3 2 2 2" xfId="15848" xr:uid="{0BC5AAB3-9D89-4584-959E-6FBF8FD6350C}"/>
    <cellStyle name="Normal 5 6 3 2 3" xfId="11630" xr:uid="{EE4B486E-FBC4-4A4D-B64A-CA9FC18616D2}"/>
    <cellStyle name="Normal 5 6 3 3" xfId="5253" xr:uid="{00000000-0005-0000-0000-0000B41B0000}"/>
    <cellStyle name="Normal 5 6 3 3 2" xfId="13703" xr:uid="{2A2AB2B7-5F68-4B27-A31A-BFE3A3DEF1B4}"/>
    <cellStyle name="Normal 5 6 3 4" xfId="9485" xr:uid="{813D206B-6C78-4CA1-8BB7-3161C45B1E8D}"/>
    <cellStyle name="Normal 5 6 4" xfId="1359" xr:uid="{00000000-0005-0000-0000-0000B51B0000}"/>
    <cellStyle name="Normal 5 6 4 2" xfId="3589" xr:uid="{00000000-0005-0000-0000-0000B61B0000}"/>
    <cellStyle name="Normal 5 6 4 2 2" xfId="7811" xr:uid="{00000000-0005-0000-0000-0000B71B0000}"/>
    <cellStyle name="Normal 5 6 4 2 2 2" xfId="16261" xr:uid="{D5529AFB-2C7F-45D2-94BF-7F42B9BBC760}"/>
    <cellStyle name="Normal 5 6 4 2 3" xfId="12043" xr:uid="{5CF4C216-B11A-4C44-9102-2FAEA80607E7}"/>
    <cellStyle name="Normal 5 6 4 3" xfId="5666" xr:uid="{00000000-0005-0000-0000-0000B81B0000}"/>
    <cellStyle name="Normal 5 6 4 3 2" xfId="14116" xr:uid="{A695499B-F0BF-48D1-9A4C-56D29890E430}"/>
    <cellStyle name="Normal 5 6 4 4" xfId="9898" xr:uid="{559008EC-498D-40B1-9E23-9A362C716843}"/>
    <cellStyle name="Normal 5 6 5" xfId="1772" xr:uid="{00000000-0005-0000-0000-0000B91B0000}"/>
    <cellStyle name="Normal 5 6 5 2" xfId="4002" xr:uid="{00000000-0005-0000-0000-0000BA1B0000}"/>
    <cellStyle name="Normal 5 6 5 2 2" xfId="8224" xr:uid="{00000000-0005-0000-0000-0000BB1B0000}"/>
    <cellStyle name="Normal 5 6 5 2 2 2" xfId="16674" xr:uid="{09A7428D-4363-4EE8-B62B-E4B90A6BD3C0}"/>
    <cellStyle name="Normal 5 6 5 2 3" xfId="12456" xr:uid="{AC6B2AAA-416C-434F-81B4-A07255827F0A}"/>
    <cellStyle name="Normal 5 6 5 3" xfId="6079" xr:uid="{00000000-0005-0000-0000-0000BC1B0000}"/>
    <cellStyle name="Normal 5 6 5 3 2" xfId="14529" xr:uid="{FB9B6D25-298C-4FE5-9C60-F034ED80CCC7}"/>
    <cellStyle name="Normal 5 6 5 4" xfId="10311" xr:uid="{E37B181C-C626-49D2-80B8-B213FB5EFFC6}"/>
    <cellStyle name="Normal 5 6 6" xfId="2186" xr:uid="{00000000-0005-0000-0000-0000BD1B0000}"/>
    <cellStyle name="Normal 5 6 6 2" xfId="4415" xr:uid="{00000000-0005-0000-0000-0000BE1B0000}"/>
    <cellStyle name="Normal 5 6 6 2 2" xfId="8637" xr:uid="{00000000-0005-0000-0000-0000BF1B0000}"/>
    <cellStyle name="Normal 5 6 6 2 2 2" xfId="17087" xr:uid="{7E359218-ABD0-4D98-BBE7-3B14E510E169}"/>
    <cellStyle name="Normal 5 6 6 2 3" xfId="12869" xr:uid="{BBA62668-1DBE-4D50-9ED5-4A3565F761EC}"/>
    <cellStyle name="Normal 5 6 6 3" xfId="6492" xr:uid="{00000000-0005-0000-0000-0000C01B0000}"/>
    <cellStyle name="Normal 5 6 6 3 2" xfId="14942" xr:uid="{891BD99B-2C81-4C32-93EC-F742C5662867}"/>
    <cellStyle name="Normal 5 6 6 4" xfId="10724" xr:uid="{270E561A-EB9A-44B6-BE6E-5CAF09F04AA7}"/>
    <cellStyle name="Normal 5 6 7" xfId="2622" xr:uid="{00000000-0005-0000-0000-0000C11B0000}"/>
    <cellStyle name="Normal 5 6 7 2" xfId="6905" xr:uid="{00000000-0005-0000-0000-0000C21B0000}"/>
    <cellStyle name="Normal 5 6 7 2 2" xfId="15355" xr:uid="{CE2BA65C-61FB-4267-B653-CF85D0EFD83D}"/>
    <cellStyle name="Normal 5 6 7 3" xfId="11137" xr:uid="{9E194B57-1DCA-4019-9CC2-F125D247AC82}"/>
    <cellStyle name="Normal 5 6 8" xfId="4840" xr:uid="{00000000-0005-0000-0000-0000C31B0000}"/>
    <cellStyle name="Normal 5 6 8 2" xfId="13290" xr:uid="{3560D3EF-31AA-401C-9AC1-F373503C784B}"/>
    <cellStyle name="Normal 5 6 9" xfId="9072" xr:uid="{F51E36CB-7999-422F-99CD-31EAF17373CA}"/>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5850" xr:uid="{B488F963-65E3-42DC-9119-B37304EB1888}"/>
    <cellStyle name="Normal 5 7 2 2 3" xfId="11632" xr:uid="{BC4CBDC5-DDB9-4E6C-A3B3-27866AC1BC6B}"/>
    <cellStyle name="Normal 5 7 2 3" xfId="5255" xr:uid="{00000000-0005-0000-0000-0000C81B0000}"/>
    <cellStyle name="Normal 5 7 2 3 2" xfId="13705" xr:uid="{75B45884-A427-48A5-BDFD-C2FC70527DCE}"/>
    <cellStyle name="Normal 5 7 2 4" xfId="9487" xr:uid="{F485F66A-4C60-49CE-99E1-95DB09B8FD69}"/>
    <cellStyle name="Normal 5 7 3" xfId="1361" xr:uid="{00000000-0005-0000-0000-0000C91B0000}"/>
    <cellStyle name="Normal 5 7 3 2" xfId="3591" xr:uid="{00000000-0005-0000-0000-0000CA1B0000}"/>
    <cellStyle name="Normal 5 7 3 2 2" xfId="7813" xr:uid="{00000000-0005-0000-0000-0000CB1B0000}"/>
    <cellStyle name="Normal 5 7 3 2 2 2" xfId="16263" xr:uid="{301207D5-01DD-4B5A-851A-899720D05A89}"/>
    <cellStyle name="Normal 5 7 3 2 3" xfId="12045" xr:uid="{A08E9787-65CD-4C36-BB67-70BB739E95FB}"/>
    <cellStyle name="Normal 5 7 3 3" xfId="5668" xr:uid="{00000000-0005-0000-0000-0000CC1B0000}"/>
    <cellStyle name="Normal 5 7 3 3 2" xfId="14118" xr:uid="{533EA8FC-669A-46FF-8408-F82D261063EE}"/>
    <cellStyle name="Normal 5 7 3 4" xfId="9900" xr:uid="{78EF0AD6-36A3-4488-9BFE-2DC86156B439}"/>
    <cellStyle name="Normal 5 7 4" xfId="1774" xr:uid="{00000000-0005-0000-0000-0000CD1B0000}"/>
    <cellStyle name="Normal 5 7 4 2" xfId="4004" xr:uid="{00000000-0005-0000-0000-0000CE1B0000}"/>
    <cellStyle name="Normal 5 7 4 2 2" xfId="8226" xr:uid="{00000000-0005-0000-0000-0000CF1B0000}"/>
    <cellStyle name="Normal 5 7 4 2 2 2" xfId="16676" xr:uid="{3891E737-9FE3-4D80-9620-0DCC8551AD3E}"/>
    <cellStyle name="Normal 5 7 4 2 3" xfId="12458" xr:uid="{40318862-72F0-4351-9DD0-13030AB65299}"/>
    <cellStyle name="Normal 5 7 4 3" xfId="6081" xr:uid="{00000000-0005-0000-0000-0000D01B0000}"/>
    <cellStyle name="Normal 5 7 4 3 2" xfId="14531" xr:uid="{154D130D-3362-4F54-9BD7-5F5F9D8ED5FD}"/>
    <cellStyle name="Normal 5 7 4 4" xfId="10313" xr:uid="{2951E381-0929-4BC1-9D9D-A273DB44CFE0}"/>
    <cellStyle name="Normal 5 7 5" xfId="2188" xr:uid="{00000000-0005-0000-0000-0000D11B0000}"/>
    <cellStyle name="Normal 5 7 5 2" xfId="4417" xr:uid="{00000000-0005-0000-0000-0000D21B0000}"/>
    <cellStyle name="Normal 5 7 5 2 2" xfId="8639" xr:uid="{00000000-0005-0000-0000-0000D31B0000}"/>
    <cellStyle name="Normal 5 7 5 2 2 2" xfId="17089" xr:uid="{187C97C2-6DCA-4482-ADEB-C8398B4D21F6}"/>
    <cellStyle name="Normal 5 7 5 2 3" xfId="12871" xr:uid="{AB740242-0ABE-482E-9001-5DCA844823B4}"/>
    <cellStyle name="Normal 5 7 5 3" xfId="6494" xr:uid="{00000000-0005-0000-0000-0000D41B0000}"/>
    <cellStyle name="Normal 5 7 5 3 2" xfId="14944" xr:uid="{5267E3B6-2D41-4A66-AE85-9104F5359AB3}"/>
    <cellStyle name="Normal 5 7 5 4" xfId="10726" xr:uid="{E8E34772-D6D0-4EBC-8864-C37A228B8C86}"/>
    <cellStyle name="Normal 5 7 6" xfId="2624" xr:uid="{00000000-0005-0000-0000-0000D51B0000}"/>
    <cellStyle name="Normal 5 7 6 2" xfId="6907" xr:uid="{00000000-0005-0000-0000-0000D61B0000}"/>
    <cellStyle name="Normal 5 7 6 2 2" xfId="15357" xr:uid="{786BFD05-8D4D-4EE1-A3A4-0E3A006EE738}"/>
    <cellStyle name="Normal 5 7 6 3" xfId="11139" xr:uid="{87F80775-B2BF-47E7-9A3B-F3112597BFD6}"/>
    <cellStyle name="Normal 5 7 7" xfId="4842" xr:uid="{00000000-0005-0000-0000-0000D71B0000}"/>
    <cellStyle name="Normal 5 7 7 2" xfId="13292" xr:uid="{296415B0-68DA-4E75-B834-24695B948386}"/>
    <cellStyle name="Normal 5 7 8" xfId="9074" xr:uid="{483138EA-3086-41F8-A629-38D8CBFDDF5E}"/>
    <cellStyle name="Normal 5 8" xfId="880" xr:uid="{00000000-0005-0000-0000-0000D81B0000}"/>
    <cellStyle name="Normal 5 8 2" xfId="3115" xr:uid="{00000000-0005-0000-0000-0000D91B0000}"/>
    <cellStyle name="Normal 5 8 2 2" xfId="7337" xr:uid="{00000000-0005-0000-0000-0000DA1B0000}"/>
    <cellStyle name="Normal 5 8 2 2 2" xfId="15787" xr:uid="{33FDC56C-06B5-43A8-9E42-65026E1D02AB}"/>
    <cellStyle name="Normal 5 8 2 3" xfId="11569" xr:uid="{765E995E-635B-4FC1-9687-B9F4DB8CEFA3}"/>
    <cellStyle name="Normal 5 8 3" xfId="5192" xr:uid="{00000000-0005-0000-0000-0000DB1B0000}"/>
    <cellStyle name="Normal 5 8 3 2" xfId="13642" xr:uid="{F3F47D22-093E-47A5-A4CB-D66981B5F7BC}"/>
    <cellStyle name="Normal 5 8 4" xfId="9424" xr:uid="{18EB3082-6736-4A0F-A0C3-2C0D5523DEC0}"/>
    <cellStyle name="Normal 5 9" xfId="1298" xr:uid="{00000000-0005-0000-0000-0000DC1B0000}"/>
    <cellStyle name="Normal 5 9 2" xfId="3528" xr:uid="{00000000-0005-0000-0000-0000DD1B0000}"/>
    <cellStyle name="Normal 5 9 2 2" xfId="7750" xr:uid="{00000000-0005-0000-0000-0000DE1B0000}"/>
    <cellStyle name="Normal 5 9 2 2 2" xfId="16200" xr:uid="{3EB6DB17-4EE6-47CD-A1FE-FFF802CD34EA}"/>
    <cellStyle name="Normal 5 9 2 3" xfId="11982" xr:uid="{6B0B64EA-1A8E-4DDE-81BE-106A67F6CDB2}"/>
    <cellStyle name="Normal 5 9 3" xfId="5605" xr:uid="{00000000-0005-0000-0000-0000DF1B0000}"/>
    <cellStyle name="Normal 5 9 3 2" xfId="14055" xr:uid="{3778C20B-8CFF-4445-9D5A-FC8BD5031B15}"/>
    <cellStyle name="Normal 5 9 4" xfId="9837" xr:uid="{E4220E08-5601-4EF7-B4EA-822203DDA72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090" xr:uid="{50EA08FD-42F0-41A0-B739-95618203C2FD}"/>
    <cellStyle name="Normal 8 10 2 3" xfId="12872" xr:uid="{B4291D7B-CAB8-4DF1-BF13-123FF9B905D6}"/>
    <cellStyle name="Normal 8 10 3" xfId="6495" xr:uid="{00000000-0005-0000-0000-0000EB1B0000}"/>
    <cellStyle name="Normal 8 10 3 2" xfId="14945" xr:uid="{A2F7ED01-352F-4F17-AC67-E2EB12AE963C}"/>
    <cellStyle name="Normal 8 10 4" xfId="10727" xr:uid="{7AD7C0FF-CCAE-47DC-BF8D-E313BBBB594A}"/>
    <cellStyle name="Normal 8 11" xfId="2625" xr:uid="{00000000-0005-0000-0000-0000EC1B0000}"/>
    <cellStyle name="Normal 8 11 2" xfId="6908" xr:uid="{00000000-0005-0000-0000-0000ED1B0000}"/>
    <cellStyle name="Normal 8 11 2 2" xfId="15358" xr:uid="{58444292-5ED0-49B8-BE3D-97FC446806AA}"/>
    <cellStyle name="Normal 8 11 3" xfId="11140" xr:uid="{61D4D691-DE07-4015-A468-B6D7C61C72AF}"/>
    <cellStyle name="Normal 8 12" xfId="4843" xr:uid="{00000000-0005-0000-0000-0000EE1B0000}"/>
    <cellStyle name="Normal 8 12 2" xfId="13293" xr:uid="{0F7C7EE7-1422-4A0C-BD0F-417996FFF810}"/>
    <cellStyle name="Normal 8 13" xfId="9075" xr:uid="{440623BB-D61B-4B03-9C4C-F4798813C009}"/>
    <cellStyle name="Normal 8 2" xfId="479" xr:uid="{00000000-0005-0000-0000-0000EF1B0000}"/>
    <cellStyle name="Normal 8 2 10" xfId="2626" xr:uid="{00000000-0005-0000-0000-0000F01B0000}"/>
    <cellStyle name="Normal 8 2 10 2" xfId="6909" xr:uid="{00000000-0005-0000-0000-0000F11B0000}"/>
    <cellStyle name="Normal 8 2 10 2 2" xfId="15359" xr:uid="{F25501DF-5F08-4DE8-9168-6284A4D60F2D}"/>
    <cellStyle name="Normal 8 2 10 3" xfId="11141" xr:uid="{96D50309-DC5E-4461-A464-F9C902F4C3AD}"/>
    <cellStyle name="Normal 8 2 11" xfId="4844" xr:uid="{00000000-0005-0000-0000-0000F21B0000}"/>
    <cellStyle name="Normal 8 2 11 2" xfId="13294" xr:uid="{9A81436E-1261-48D1-AA8D-2E368284570A}"/>
    <cellStyle name="Normal 8 2 12" xfId="9076" xr:uid="{0F994D5A-B5A0-4FEA-80E0-473D830B1519}"/>
    <cellStyle name="Normal 8 2 2" xfId="480" xr:uid="{00000000-0005-0000-0000-0000F31B0000}"/>
    <cellStyle name="Normal 8 2 2 10" xfId="4845" xr:uid="{00000000-0005-0000-0000-0000F41B0000}"/>
    <cellStyle name="Normal 8 2 2 10 2" xfId="13295" xr:uid="{8A9EEA80-5495-4F74-8A7E-CD26173A73A1}"/>
    <cellStyle name="Normal 8 2 2 11" xfId="9077" xr:uid="{948008CE-F1CC-40A8-8CD4-9A40F7750411}"/>
    <cellStyle name="Normal 8 2 2 2" xfId="481" xr:uid="{00000000-0005-0000-0000-0000F51B0000}"/>
    <cellStyle name="Normal 8 2 2 2 10" xfId="9078" xr:uid="{BF3D7449-077F-4E44-8F9B-18523319B84F}"/>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5856" xr:uid="{37D6CC4A-ED52-48E8-90DE-93E85EFE61FA}"/>
    <cellStyle name="Normal 8 2 2 2 2 2 2 2 3" xfId="11638" xr:uid="{1C83A38A-33B3-4D9A-B70D-A3AC2D5E3B3B}"/>
    <cellStyle name="Normal 8 2 2 2 2 2 2 3" xfId="5261" xr:uid="{00000000-0005-0000-0000-0000FB1B0000}"/>
    <cellStyle name="Normal 8 2 2 2 2 2 2 3 2" xfId="13711" xr:uid="{B76404C0-FEE1-4A99-A0C8-47B04152815C}"/>
    <cellStyle name="Normal 8 2 2 2 2 2 2 4" xfId="9493" xr:uid="{5FC774D8-261A-46CF-A86E-89A5C5E87F63}"/>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6269" xr:uid="{8657A5F1-834F-4B26-9B8A-3951F52BB6F9}"/>
    <cellStyle name="Normal 8 2 2 2 2 2 3 2 3" xfId="12051" xr:uid="{A300E9AC-3AD8-40C9-B8AD-38B55EE99CDB}"/>
    <cellStyle name="Normal 8 2 2 2 2 2 3 3" xfId="5674" xr:uid="{00000000-0005-0000-0000-0000FF1B0000}"/>
    <cellStyle name="Normal 8 2 2 2 2 2 3 3 2" xfId="14124" xr:uid="{8A5E819A-3844-4E89-9076-46CF1E58E844}"/>
    <cellStyle name="Normal 8 2 2 2 2 2 3 4" xfId="9906" xr:uid="{5038F58A-60C3-42F2-A431-F648D9038A7D}"/>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6682" xr:uid="{62BD490A-394D-4C9F-9D2B-750182A3C748}"/>
    <cellStyle name="Normal 8 2 2 2 2 2 4 2 3" xfId="12464" xr:uid="{1B59DFD2-1FE2-4107-9C96-823639D15A76}"/>
    <cellStyle name="Normal 8 2 2 2 2 2 4 3" xfId="6087" xr:uid="{00000000-0005-0000-0000-0000031C0000}"/>
    <cellStyle name="Normal 8 2 2 2 2 2 4 3 2" xfId="14537" xr:uid="{07CDA8B9-8622-44D4-B31E-91DD8606BC48}"/>
    <cellStyle name="Normal 8 2 2 2 2 2 4 4" xfId="10319" xr:uid="{5BA40468-2DB1-4ED7-96C0-5E43CABBC492}"/>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095" xr:uid="{36300314-446E-4594-AACD-0ABB76DBEF0C}"/>
    <cellStyle name="Normal 8 2 2 2 2 2 5 2 3" xfId="12877" xr:uid="{27F1162A-10E8-4A2B-AE1A-0114AB1FF4F0}"/>
    <cellStyle name="Normal 8 2 2 2 2 2 5 3" xfId="6500" xr:uid="{00000000-0005-0000-0000-0000071C0000}"/>
    <cellStyle name="Normal 8 2 2 2 2 2 5 3 2" xfId="14950" xr:uid="{D67C0DC2-C3F2-4527-B56F-B3B5EF060079}"/>
    <cellStyle name="Normal 8 2 2 2 2 2 5 4" xfId="10732" xr:uid="{3581CB8D-0CEC-480F-9127-514BDFA8BBA0}"/>
    <cellStyle name="Normal 8 2 2 2 2 2 6" xfId="2630" xr:uid="{00000000-0005-0000-0000-0000081C0000}"/>
    <cellStyle name="Normal 8 2 2 2 2 2 6 2" xfId="6913" xr:uid="{00000000-0005-0000-0000-0000091C0000}"/>
    <cellStyle name="Normal 8 2 2 2 2 2 6 2 2" xfId="15363" xr:uid="{4E3D0A4E-BEEC-4D61-A2B4-84497211547E}"/>
    <cellStyle name="Normal 8 2 2 2 2 2 6 3" xfId="11145" xr:uid="{C8DBAE6B-955E-45EC-B0D9-BFB19F279C0F}"/>
    <cellStyle name="Normal 8 2 2 2 2 2 7" xfId="4848" xr:uid="{00000000-0005-0000-0000-00000A1C0000}"/>
    <cellStyle name="Normal 8 2 2 2 2 2 7 2" xfId="13298" xr:uid="{2A37DFB1-838A-497C-9B98-4064690C961C}"/>
    <cellStyle name="Normal 8 2 2 2 2 2 8" xfId="9080" xr:uid="{CF300C69-E8A0-41DD-88CD-2A2C2A4F0A2D}"/>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5855" xr:uid="{1A280323-CF86-40CF-BB7C-C9BDD269E5A0}"/>
    <cellStyle name="Normal 8 2 2 2 2 3 2 3" xfId="11637" xr:uid="{3B43B437-C09F-48D0-AE9C-48B9F7AAC286}"/>
    <cellStyle name="Normal 8 2 2 2 2 3 3" xfId="5260" xr:uid="{00000000-0005-0000-0000-00000E1C0000}"/>
    <cellStyle name="Normal 8 2 2 2 2 3 3 2" xfId="13710" xr:uid="{B918ACCB-B33E-49BB-9D68-DAA2FDF9C1C6}"/>
    <cellStyle name="Normal 8 2 2 2 2 3 4" xfId="9492" xr:uid="{E85CBA25-4FF8-47AC-84B1-12AF984331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6268" xr:uid="{7AD0A60D-97EC-4CDB-80E6-3B810105152A}"/>
    <cellStyle name="Normal 8 2 2 2 2 4 2 3" xfId="12050" xr:uid="{4F4FC9F7-2ACA-478F-AC7B-5BC279271879}"/>
    <cellStyle name="Normal 8 2 2 2 2 4 3" xfId="5673" xr:uid="{00000000-0005-0000-0000-0000121C0000}"/>
    <cellStyle name="Normal 8 2 2 2 2 4 3 2" xfId="14123" xr:uid="{7E0994B0-9426-449C-AC86-295CF13FD948}"/>
    <cellStyle name="Normal 8 2 2 2 2 4 4" xfId="9905" xr:uid="{4EA51AD8-D7D7-4CE0-93A5-F0CE620D167A}"/>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6681" xr:uid="{D0EF932A-8C6B-4316-8AAC-FE21730E9577}"/>
    <cellStyle name="Normal 8 2 2 2 2 5 2 3" xfId="12463" xr:uid="{760DEFB8-4D9B-426D-9166-4BD92AA658B3}"/>
    <cellStyle name="Normal 8 2 2 2 2 5 3" xfId="6086" xr:uid="{00000000-0005-0000-0000-0000161C0000}"/>
    <cellStyle name="Normal 8 2 2 2 2 5 3 2" xfId="14536" xr:uid="{E4A86B9A-4408-401C-9975-D18FC5348118}"/>
    <cellStyle name="Normal 8 2 2 2 2 5 4" xfId="10318" xr:uid="{51C749DC-A112-47D8-80BC-6CA121EBA2BC}"/>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094" xr:uid="{F948DBE0-96A8-4021-9646-EDD05E413826}"/>
    <cellStyle name="Normal 8 2 2 2 2 6 2 3" xfId="12876" xr:uid="{DAC7C381-E4D1-4F40-842E-1E0FA641C469}"/>
    <cellStyle name="Normal 8 2 2 2 2 6 3" xfId="6499" xr:uid="{00000000-0005-0000-0000-00001A1C0000}"/>
    <cellStyle name="Normal 8 2 2 2 2 6 3 2" xfId="14949" xr:uid="{A9D5A966-FBDD-4F8A-9920-E79BBB92A7D4}"/>
    <cellStyle name="Normal 8 2 2 2 2 6 4" xfId="10731" xr:uid="{CA795B52-6E7F-435E-A90D-9A4BE70C0EAF}"/>
    <cellStyle name="Normal 8 2 2 2 2 7" xfId="2629" xr:uid="{00000000-0005-0000-0000-00001B1C0000}"/>
    <cellStyle name="Normal 8 2 2 2 2 7 2" xfId="6912" xr:uid="{00000000-0005-0000-0000-00001C1C0000}"/>
    <cellStyle name="Normal 8 2 2 2 2 7 2 2" xfId="15362" xr:uid="{0DC922DA-0FE2-4007-AF5D-3FD813623968}"/>
    <cellStyle name="Normal 8 2 2 2 2 7 3" xfId="11144" xr:uid="{D2055D83-9B25-4E6E-9CE8-ED964B7FA4B9}"/>
    <cellStyle name="Normal 8 2 2 2 2 8" xfId="4847" xr:uid="{00000000-0005-0000-0000-00001D1C0000}"/>
    <cellStyle name="Normal 8 2 2 2 2 8 2" xfId="13297" xr:uid="{D5CE4FA1-BBF3-48DA-B782-4F488861306E}"/>
    <cellStyle name="Normal 8 2 2 2 2 9" xfId="9079" xr:uid="{FFF44C1D-F8DE-4D1D-BEB2-44CAF3C90A58}"/>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5857" xr:uid="{6417C8D5-5F4E-43EF-9B21-6C7371C8C1D7}"/>
    <cellStyle name="Normal 8 2 2 2 3 2 2 3" xfId="11639" xr:uid="{B341A424-D046-4B25-B6F2-316D5DA854FE}"/>
    <cellStyle name="Normal 8 2 2 2 3 2 3" xfId="5262" xr:uid="{00000000-0005-0000-0000-0000221C0000}"/>
    <cellStyle name="Normal 8 2 2 2 3 2 3 2" xfId="13712" xr:uid="{F154ECD2-F0F5-4904-8000-614FF5A6E93B}"/>
    <cellStyle name="Normal 8 2 2 2 3 2 4" xfId="9494" xr:uid="{CA99A834-949D-4582-91C5-59F73690989A}"/>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6270" xr:uid="{C245E561-555B-4203-9EF0-37F9737F494B}"/>
    <cellStyle name="Normal 8 2 2 2 3 3 2 3" xfId="12052" xr:uid="{EE5A24AA-6BF2-4C28-ADA7-7C7A184587D5}"/>
    <cellStyle name="Normal 8 2 2 2 3 3 3" xfId="5675" xr:uid="{00000000-0005-0000-0000-0000261C0000}"/>
    <cellStyle name="Normal 8 2 2 2 3 3 3 2" xfId="14125" xr:uid="{52467863-9B85-4DEF-9AC0-93E87EC6892A}"/>
    <cellStyle name="Normal 8 2 2 2 3 3 4" xfId="9907" xr:uid="{E88AB2DA-EC87-4FE8-BA50-B24DA6CB8552}"/>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6683" xr:uid="{89ED9694-445A-485A-B6E2-6E3ADE7922EB}"/>
    <cellStyle name="Normal 8 2 2 2 3 4 2 3" xfId="12465" xr:uid="{423923B4-6EDC-43FB-95CA-C7668C6C6E7A}"/>
    <cellStyle name="Normal 8 2 2 2 3 4 3" xfId="6088" xr:uid="{00000000-0005-0000-0000-00002A1C0000}"/>
    <cellStyle name="Normal 8 2 2 2 3 4 3 2" xfId="14538" xr:uid="{FF897E48-7FE2-4D6C-8375-1BF2E555AF0B}"/>
    <cellStyle name="Normal 8 2 2 2 3 4 4" xfId="10320" xr:uid="{641C5D89-CE80-4976-A0C7-C102BCAFEAEC}"/>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096" xr:uid="{E1F856F3-B684-4B4E-BE5E-B1015145AA40}"/>
    <cellStyle name="Normal 8 2 2 2 3 5 2 3" xfId="12878" xr:uid="{9C671F37-38DC-4F18-8545-51C36F2A3818}"/>
    <cellStyle name="Normal 8 2 2 2 3 5 3" xfId="6501" xr:uid="{00000000-0005-0000-0000-00002E1C0000}"/>
    <cellStyle name="Normal 8 2 2 2 3 5 3 2" xfId="14951" xr:uid="{5041CB00-2647-4574-801B-B08596EA2DFB}"/>
    <cellStyle name="Normal 8 2 2 2 3 5 4" xfId="10733" xr:uid="{3DA778AB-750F-4508-B4F8-9BD0E22D14AD}"/>
    <cellStyle name="Normal 8 2 2 2 3 6" xfId="2631" xr:uid="{00000000-0005-0000-0000-00002F1C0000}"/>
    <cellStyle name="Normal 8 2 2 2 3 6 2" xfId="6914" xr:uid="{00000000-0005-0000-0000-0000301C0000}"/>
    <cellStyle name="Normal 8 2 2 2 3 6 2 2" xfId="15364" xr:uid="{6209CD28-2614-4869-871B-3276E24E9177}"/>
    <cellStyle name="Normal 8 2 2 2 3 6 3" xfId="11146" xr:uid="{1C574EF8-CBE8-4324-9D2A-F3C7D425CFED}"/>
    <cellStyle name="Normal 8 2 2 2 3 7" xfId="4849" xr:uid="{00000000-0005-0000-0000-0000311C0000}"/>
    <cellStyle name="Normal 8 2 2 2 3 7 2" xfId="13299" xr:uid="{47DCF732-6015-4650-8AF3-E39F3428B4F8}"/>
    <cellStyle name="Normal 8 2 2 2 3 8" xfId="9081" xr:uid="{F6592F5C-893B-41C5-BAF1-146959AE9E53}"/>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5854" xr:uid="{668E208B-4082-46ED-B465-B0A843F7370F}"/>
    <cellStyle name="Normal 8 2 2 2 4 2 3" xfId="11636" xr:uid="{7AF97DD8-9260-4DA8-BDDD-BC7ED345619D}"/>
    <cellStyle name="Normal 8 2 2 2 4 3" xfId="5259" xr:uid="{00000000-0005-0000-0000-0000351C0000}"/>
    <cellStyle name="Normal 8 2 2 2 4 3 2" xfId="13709" xr:uid="{1BF799BB-D128-430F-B50B-C6ABDAF172FF}"/>
    <cellStyle name="Normal 8 2 2 2 4 4" xfId="9491" xr:uid="{6045490E-3B48-4849-8F99-DC31D5FD1C54}"/>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6267" xr:uid="{258ECBCA-480D-474B-89D5-139A0584E9A4}"/>
    <cellStyle name="Normal 8 2 2 2 5 2 3" xfId="12049" xr:uid="{BCEBF1C8-3518-4FCC-95A8-A5FF3B8B6C5F}"/>
    <cellStyle name="Normal 8 2 2 2 5 3" xfId="5672" xr:uid="{00000000-0005-0000-0000-0000391C0000}"/>
    <cellStyle name="Normal 8 2 2 2 5 3 2" xfId="14122" xr:uid="{DD1D3FC2-D7DC-4663-B508-33D67EE86858}"/>
    <cellStyle name="Normal 8 2 2 2 5 4" xfId="9904" xr:uid="{E1E47466-7C5A-405D-A73A-01E59633D6B3}"/>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6680" xr:uid="{D6F64E05-62E2-4A09-8361-5FDCBF17F3F7}"/>
    <cellStyle name="Normal 8 2 2 2 6 2 3" xfId="12462" xr:uid="{86D981A6-19FD-49F2-B344-6405110F904D}"/>
    <cellStyle name="Normal 8 2 2 2 6 3" xfId="6085" xr:uid="{00000000-0005-0000-0000-00003D1C0000}"/>
    <cellStyle name="Normal 8 2 2 2 6 3 2" xfId="14535" xr:uid="{C3B6C43A-1A34-45D0-8969-CC9F482FD68E}"/>
    <cellStyle name="Normal 8 2 2 2 6 4" xfId="10317" xr:uid="{9964CD5B-6ECF-4030-B913-EE914FEDC7F0}"/>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093" xr:uid="{D1C964C8-9EB3-41E8-92DF-A81A2261D05A}"/>
    <cellStyle name="Normal 8 2 2 2 7 2 3" xfId="12875" xr:uid="{A6CD00A2-294E-4FDF-8340-40E9FB214676}"/>
    <cellStyle name="Normal 8 2 2 2 7 3" xfId="6498" xr:uid="{00000000-0005-0000-0000-0000411C0000}"/>
    <cellStyle name="Normal 8 2 2 2 7 3 2" xfId="14948" xr:uid="{7294F91F-E60E-46ED-A8AD-D8124DBB03C6}"/>
    <cellStyle name="Normal 8 2 2 2 7 4" xfId="10730" xr:uid="{557CB880-24E1-467F-95B8-049D9F8B1F26}"/>
    <cellStyle name="Normal 8 2 2 2 8" xfId="2628" xr:uid="{00000000-0005-0000-0000-0000421C0000}"/>
    <cellStyle name="Normal 8 2 2 2 8 2" xfId="6911" xr:uid="{00000000-0005-0000-0000-0000431C0000}"/>
    <cellStyle name="Normal 8 2 2 2 8 2 2" xfId="15361" xr:uid="{3EE2AFB6-48C5-4DDE-8761-414AB4BE2DE0}"/>
    <cellStyle name="Normal 8 2 2 2 8 3" xfId="11143" xr:uid="{C5500F4C-3D46-4D16-A555-E6C2785DAED9}"/>
    <cellStyle name="Normal 8 2 2 2 9" xfId="4846" xr:uid="{00000000-0005-0000-0000-0000441C0000}"/>
    <cellStyle name="Normal 8 2 2 2 9 2" xfId="13296" xr:uid="{5E735431-E753-4922-A8F2-4CB652B8EE16}"/>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5859" xr:uid="{21AA74F6-EF21-48C2-A3FA-186E0B6F60AD}"/>
    <cellStyle name="Normal 8 2 2 3 2 2 2 3" xfId="11641" xr:uid="{D1BC2678-E95B-42A6-9F95-B3D9E15447CA}"/>
    <cellStyle name="Normal 8 2 2 3 2 2 3" xfId="5264" xr:uid="{00000000-0005-0000-0000-00004A1C0000}"/>
    <cellStyle name="Normal 8 2 2 3 2 2 3 2" xfId="13714" xr:uid="{93B67455-95DD-49F9-9922-2FC3F265C897}"/>
    <cellStyle name="Normal 8 2 2 3 2 2 4" xfId="9496" xr:uid="{E763457D-2F13-4097-AF50-A86030C95366}"/>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6272" xr:uid="{619973C7-8A2C-4A83-AD94-88EE75D8DA62}"/>
    <cellStyle name="Normal 8 2 2 3 2 3 2 3" xfId="12054" xr:uid="{14925B5A-19CF-4472-AA2C-3FEBDD298D38}"/>
    <cellStyle name="Normal 8 2 2 3 2 3 3" xfId="5677" xr:uid="{00000000-0005-0000-0000-00004E1C0000}"/>
    <cellStyle name="Normal 8 2 2 3 2 3 3 2" xfId="14127" xr:uid="{D169DA77-E395-4A31-ABE9-395784DEAA05}"/>
    <cellStyle name="Normal 8 2 2 3 2 3 4" xfId="9909" xr:uid="{62E3620B-601F-41B8-8B9A-3E768704B8C2}"/>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6685" xr:uid="{1368D348-CD2A-4F10-AA45-914E695ED662}"/>
    <cellStyle name="Normal 8 2 2 3 2 4 2 3" xfId="12467" xr:uid="{69B5B845-43FF-4087-B167-173E6C9D3C5A}"/>
    <cellStyle name="Normal 8 2 2 3 2 4 3" xfId="6090" xr:uid="{00000000-0005-0000-0000-0000521C0000}"/>
    <cellStyle name="Normal 8 2 2 3 2 4 3 2" xfId="14540" xr:uid="{E28EB120-FFC8-4A64-A8FC-FB482AF06E32}"/>
    <cellStyle name="Normal 8 2 2 3 2 4 4" xfId="10322" xr:uid="{0802C0F6-4F9D-45E4-9829-59E3892BAA01}"/>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098" xr:uid="{CF82D1F1-FBAE-43DB-A813-7CDB5111CCE6}"/>
    <cellStyle name="Normal 8 2 2 3 2 5 2 3" xfId="12880" xr:uid="{36982F87-EBCE-4844-9A83-A02F3954FA56}"/>
    <cellStyle name="Normal 8 2 2 3 2 5 3" xfId="6503" xr:uid="{00000000-0005-0000-0000-0000561C0000}"/>
    <cellStyle name="Normal 8 2 2 3 2 5 3 2" xfId="14953" xr:uid="{44E693AF-BBF2-405C-971B-359497B389BF}"/>
    <cellStyle name="Normal 8 2 2 3 2 5 4" xfId="10735" xr:uid="{CD15A7D0-5A77-4941-ACA7-18D20F51DCE1}"/>
    <cellStyle name="Normal 8 2 2 3 2 6" xfId="2633" xr:uid="{00000000-0005-0000-0000-0000571C0000}"/>
    <cellStyle name="Normal 8 2 2 3 2 6 2" xfId="6916" xr:uid="{00000000-0005-0000-0000-0000581C0000}"/>
    <cellStyle name="Normal 8 2 2 3 2 6 2 2" xfId="15366" xr:uid="{55C94F3F-1338-4407-9CD1-F6A41EB73F3B}"/>
    <cellStyle name="Normal 8 2 2 3 2 6 3" xfId="11148" xr:uid="{8BFB61AF-4D8D-4E52-906E-1607A614BD67}"/>
    <cellStyle name="Normal 8 2 2 3 2 7" xfId="4851" xr:uid="{00000000-0005-0000-0000-0000591C0000}"/>
    <cellStyle name="Normal 8 2 2 3 2 7 2" xfId="13301" xr:uid="{F5ED9B67-5359-46C5-8288-F29A72F388A5}"/>
    <cellStyle name="Normal 8 2 2 3 2 8" xfId="9083" xr:uid="{4A32457A-E01D-45A9-88DC-16FE1544C593}"/>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5858" xr:uid="{E9638E58-932B-441E-8695-2273D271B940}"/>
    <cellStyle name="Normal 8 2 2 3 3 2 3" xfId="11640" xr:uid="{F4DF6EBF-7868-4F20-B445-4DBD80D3BAE5}"/>
    <cellStyle name="Normal 8 2 2 3 3 3" xfId="5263" xr:uid="{00000000-0005-0000-0000-00005D1C0000}"/>
    <cellStyle name="Normal 8 2 2 3 3 3 2" xfId="13713" xr:uid="{96E4B78E-56BC-434B-BE4E-C96A6062F81D}"/>
    <cellStyle name="Normal 8 2 2 3 3 4" xfId="9495" xr:uid="{A0900B7E-EBAF-4EF7-9072-A57FBE3A8B8D}"/>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6271" xr:uid="{EA2764EF-CFCF-4A26-81D9-25E9935A54A9}"/>
    <cellStyle name="Normal 8 2 2 3 4 2 3" xfId="12053" xr:uid="{59BEA5BD-6E13-4288-A572-4D779776A89A}"/>
    <cellStyle name="Normal 8 2 2 3 4 3" xfId="5676" xr:uid="{00000000-0005-0000-0000-0000611C0000}"/>
    <cellStyle name="Normal 8 2 2 3 4 3 2" xfId="14126" xr:uid="{F0D62A7C-0873-4D1B-A5DC-5CB90894402E}"/>
    <cellStyle name="Normal 8 2 2 3 4 4" xfId="9908" xr:uid="{E01FA06A-ECD9-4C8D-B2F3-A0AA5F210EBC}"/>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6684" xr:uid="{F89290C3-364A-41E2-9991-12C2057196FA}"/>
    <cellStyle name="Normal 8 2 2 3 5 2 3" xfId="12466" xr:uid="{00A34F2A-E22D-49DF-BE43-6A732338EB4A}"/>
    <cellStyle name="Normal 8 2 2 3 5 3" xfId="6089" xr:uid="{00000000-0005-0000-0000-0000651C0000}"/>
    <cellStyle name="Normal 8 2 2 3 5 3 2" xfId="14539" xr:uid="{B866517C-EE35-4AB7-A939-46F12E4349D5}"/>
    <cellStyle name="Normal 8 2 2 3 5 4" xfId="10321" xr:uid="{8D61D9F2-60E0-4842-BAD5-D5FEAE075D7D}"/>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097" xr:uid="{159ACFD1-73C2-45F8-97B1-0A1E062ADC80}"/>
    <cellStyle name="Normal 8 2 2 3 6 2 3" xfId="12879" xr:uid="{016606C4-C5C3-4430-9C69-EFD5145F0471}"/>
    <cellStyle name="Normal 8 2 2 3 6 3" xfId="6502" xr:uid="{00000000-0005-0000-0000-0000691C0000}"/>
    <cellStyle name="Normal 8 2 2 3 6 3 2" xfId="14952" xr:uid="{BAD99B22-66A9-4BCF-9D0D-B5BC01634C24}"/>
    <cellStyle name="Normal 8 2 2 3 6 4" xfId="10734" xr:uid="{7FA0DF1E-5AE9-4F5F-A8F8-7B537BD413EA}"/>
    <cellStyle name="Normal 8 2 2 3 7" xfId="2632" xr:uid="{00000000-0005-0000-0000-00006A1C0000}"/>
    <cellStyle name="Normal 8 2 2 3 7 2" xfId="6915" xr:uid="{00000000-0005-0000-0000-00006B1C0000}"/>
    <cellStyle name="Normal 8 2 2 3 7 2 2" xfId="15365" xr:uid="{C2E6A0CD-5D70-4650-9E79-2234A267815C}"/>
    <cellStyle name="Normal 8 2 2 3 7 3" xfId="11147" xr:uid="{E531E795-BD18-4A47-9C0C-7049F3630227}"/>
    <cellStyle name="Normal 8 2 2 3 8" xfId="4850" xr:uid="{00000000-0005-0000-0000-00006C1C0000}"/>
    <cellStyle name="Normal 8 2 2 3 8 2" xfId="13300" xr:uid="{2AE33BA3-E923-4427-9BF8-3D3161F32C91}"/>
    <cellStyle name="Normal 8 2 2 3 9" xfId="9082" xr:uid="{A4D94071-BE3D-458F-BE21-9E0005F14707}"/>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5860" xr:uid="{AE3661CB-A72E-4570-A880-27523A144E7D}"/>
    <cellStyle name="Normal 8 2 2 4 2 2 3" xfId="11642" xr:uid="{3E137383-7D2B-427D-96CA-0ED92C544201}"/>
    <cellStyle name="Normal 8 2 2 4 2 3" xfId="5265" xr:uid="{00000000-0005-0000-0000-0000711C0000}"/>
    <cellStyle name="Normal 8 2 2 4 2 3 2" xfId="13715" xr:uid="{D9CEF7ED-8A6B-4FC3-ABDD-A3390602EE60}"/>
    <cellStyle name="Normal 8 2 2 4 2 4" xfId="9497" xr:uid="{53CC3FC7-16F1-450B-AE25-380A2F7EA175}"/>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6273" xr:uid="{81D229E8-0DEE-4DF4-87F0-56AAC5F01667}"/>
    <cellStyle name="Normal 8 2 2 4 3 2 3" xfId="12055" xr:uid="{E2EF3C60-DB1C-4917-AB32-F21A50C0252D}"/>
    <cellStyle name="Normal 8 2 2 4 3 3" xfId="5678" xr:uid="{00000000-0005-0000-0000-0000751C0000}"/>
    <cellStyle name="Normal 8 2 2 4 3 3 2" xfId="14128" xr:uid="{519AEBB7-A65D-4205-B2DA-6005BCE26449}"/>
    <cellStyle name="Normal 8 2 2 4 3 4" xfId="9910" xr:uid="{4FF3F1DA-1C70-4733-93A5-4B36CAB5A618}"/>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6686" xr:uid="{72831F47-8D31-4FA3-9FE0-751E7907628F}"/>
    <cellStyle name="Normal 8 2 2 4 4 2 3" xfId="12468" xr:uid="{E44DB277-8F04-4E05-8D7C-4C290B8C289E}"/>
    <cellStyle name="Normal 8 2 2 4 4 3" xfId="6091" xr:uid="{00000000-0005-0000-0000-0000791C0000}"/>
    <cellStyle name="Normal 8 2 2 4 4 3 2" xfId="14541" xr:uid="{85288C77-1EA6-4ABF-8972-03C0740445EE}"/>
    <cellStyle name="Normal 8 2 2 4 4 4" xfId="10323" xr:uid="{AEA004FA-588B-47ED-8A11-7887657E183F}"/>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099" xr:uid="{AA9CAF73-5436-420C-B717-E2DCDA8FA222}"/>
    <cellStyle name="Normal 8 2 2 4 5 2 3" xfId="12881" xr:uid="{693957B2-E4D2-448F-97B3-2DA9BE9B89A7}"/>
    <cellStyle name="Normal 8 2 2 4 5 3" xfId="6504" xr:uid="{00000000-0005-0000-0000-00007D1C0000}"/>
    <cellStyle name="Normal 8 2 2 4 5 3 2" xfId="14954" xr:uid="{FBCF5DEA-7332-4C48-81B2-6F8FA03B6DC5}"/>
    <cellStyle name="Normal 8 2 2 4 5 4" xfId="10736" xr:uid="{500ACE71-428F-4F18-8559-DBE7B27AF524}"/>
    <cellStyle name="Normal 8 2 2 4 6" xfId="2634" xr:uid="{00000000-0005-0000-0000-00007E1C0000}"/>
    <cellStyle name="Normal 8 2 2 4 6 2" xfId="6917" xr:uid="{00000000-0005-0000-0000-00007F1C0000}"/>
    <cellStyle name="Normal 8 2 2 4 6 2 2" xfId="15367" xr:uid="{7D111DED-84B4-4608-91E5-7A7250D2565D}"/>
    <cellStyle name="Normal 8 2 2 4 6 3" xfId="11149" xr:uid="{0966A417-344E-4C2E-B134-81C373AE4A01}"/>
    <cellStyle name="Normal 8 2 2 4 7" xfId="4852" xr:uid="{00000000-0005-0000-0000-0000801C0000}"/>
    <cellStyle name="Normal 8 2 2 4 7 2" xfId="13302" xr:uid="{3138B8EC-C9F2-4DE3-9C38-E74117C245B1}"/>
    <cellStyle name="Normal 8 2 2 4 8" xfId="9084" xr:uid="{C1B0159F-9C98-476A-B83F-AC53617F30E3}"/>
    <cellStyle name="Normal 8 2 2 5" xfId="947" xr:uid="{00000000-0005-0000-0000-0000811C0000}"/>
    <cellStyle name="Normal 8 2 2 5 2" xfId="3181" xr:uid="{00000000-0005-0000-0000-0000821C0000}"/>
    <cellStyle name="Normal 8 2 2 5 2 2" xfId="7403" xr:uid="{00000000-0005-0000-0000-0000831C0000}"/>
    <cellStyle name="Normal 8 2 2 5 2 2 2" xfId="15853" xr:uid="{B4FB2385-FC5F-4F2A-961D-153B1A9C8CA1}"/>
    <cellStyle name="Normal 8 2 2 5 2 3" xfId="11635" xr:uid="{A33CEE01-995A-4872-A476-D70A2B957F71}"/>
    <cellStyle name="Normal 8 2 2 5 3" xfId="5258" xr:uid="{00000000-0005-0000-0000-0000841C0000}"/>
    <cellStyle name="Normal 8 2 2 5 3 2" xfId="13708" xr:uid="{0AA2970C-B802-4F2D-B1D5-9B8BBB177F9D}"/>
    <cellStyle name="Normal 8 2 2 5 4" xfId="9490" xr:uid="{19732FE9-E283-41BF-962B-0920F7957CB5}"/>
    <cellStyle name="Normal 8 2 2 6" xfId="1364" xr:uid="{00000000-0005-0000-0000-0000851C0000}"/>
    <cellStyle name="Normal 8 2 2 6 2" xfId="3594" xr:uid="{00000000-0005-0000-0000-0000861C0000}"/>
    <cellStyle name="Normal 8 2 2 6 2 2" xfId="7816" xr:uid="{00000000-0005-0000-0000-0000871C0000}"/>
    <cellStyle name="Normal 8 2 2 6 2 2 2" xfId="16266" xr:uid="{3BFE120A-AE87-40FF-9075-F685F8915E22}"/>
    <cellStyle name="Normal 8 2 2 6 2 3" xfId="12048" xr:uid="{695E7394-850C-45D9-8A28-C6B01E113014}"/>
    <cellStyle name="Normal 8 2 2 6 3" xfId="5671" xr:uid="{00000000-0005-0000-0000-0000881C0000}"/>
    <cellStyle name="Normal 8 2 2 6 3 2" xfId="14121" xr:uid="{E009BA49-2CD6-4BE2-8D60-D436EC9D6C39}"/>
    <cellStyle name="Normal 8 2 2 6 4" xfId="9903" xr:uid="{818AD3B4-2F59-4F3A-922D-93D481BCCAE3}"/>
    <cellStyle name="Normal 8 2 2 7" xfId="1777" xr:uid="{00000000-0005-0000-0000-0000891C0000}"/>
    <cellStyle name="Normal 8 2 2 7 2" xfId="4007" xr:uid="{00000000-0005-0000-0000-00008A1C0000}"/>
    <cellStyle name="Normal 8 2 2 7 2 2" xfId="8229" xr:uid="{00000000-0005-0000-0000-00008B1C0000}"/>
    <cellStyle name="Normal 8 2 2 7 2 2 2" xfId="16679" xr:uid="{4C56C2B5-8F28-4DFA-8904-749D46D6486D}"/>
    <cellStyle name="Normal 8 2 2 7 2 3" xfId="12461" xr:uid="{BEE49759-F8CE-4316-9613-FE40C24D8953}"/>
    <cellStyle name="Normal 8 2 2 7 3" xfId="6084" xr:uid="{00000000-0005-0000-0000-00008C1C0000}"/>
    <cellStyle name="Normal 8 2 2 7 3 2" xfId="14534" xr:uid="{76A69850-8A64-414E-A17D-471BAC77BE1D}"/>
    <cellStyle name="Normal 8 2 2 7 4" xfId="10316" xr:uid="{C1B1F81F-BF2D-48B1-8042-359D433381A0}"/>
    <cellStyle name="Normal 8 2 2 8" xfId="2191" xr:uid="{00000000-0005-0000-0000-00008D1C0000}"/>
    <cellStyle name="Normal 8 2 2 8 2" xfId="4420" xr:uid="{00000000-0005-0000-0000-00008E1C0000}"/>
    <cellStyle name="Normal 8 2 2 8 2 2" xfId="8642" xr:uid="{00000000-0005-0000-0000-00008F1C0000}"/>
    <cellStyle name="Normal 8 2 2 8 2 2 2" xfId="17092" xr:uid="{E02AD352-9C06-49E7-B035-F63CDE0EC3A8}"/>
    <cellStyle name="Normal 8 2 2 8 2 3" xfId="12874" xr:uid="{E7792707-DC22-4B7F-9AC6-B88969C74944}"/>
    <cellStyle name="Normal 8 2 2 8 3" xfId="6497" xr:uid="{00000000-0005-0000-0000-0000901C0000}"/>
    <cellStyle name="Normal 8 2 2 8 3 2" xfId="14947" xr:uid="{BF616083-A975-4C32-9A0E-279584311FA2}"/>
    <cellStyle name="Normal 8 2 2 8 4" xfId="10729" xr:uid="{0AC99919-F051-436E-B364-CC4BC43C4AD4}"/>
    <cellStyle name="Normal 8 2 2 9" xfId="2627" xr:uid="{00000000-0005-0000-0000-0000911C0000}"/>
    <cellStyle name="Normal 8 2 2 9 2" xfId="6910" xr:uid="{00000000-0005-0000-0000-0000921C0000}"/>
    <cellStyle name="Normal 8 2 2 9 2 2" xfId="15360" xr:uid="{2BACE210-CC36-4E88-8DB7-D08589B489D2}"/>
    <cellStyle name="Normal 8 2 2 9 3" xfId="11142" xr:uid="{1315197F-B523-4EA6-8040-D7F24068C8BC}"/>
    <cellStyle name="Normal 8 2 3" xfId="488" xr:uid="{00000000-0005-0000-0000-0000931C0000}"/>
    <cellStyle name="Normal 8 2 3 10" xfId="9085" xr:uid="{EE7BEA61-1A66-4B0B-BD75-0FE662D6C4E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5863" xr:uid="{3DDDFF7B-8E3B-43FB-A836-FEB2F3AE5FFF}"/>
    <cellStyle name="Normal 8 2 3 2 2 2 2 3" xfId="11645" xr:uid="{FEFC8E79-A5A6-4E69-AA9B-565E45685829}"/>
    <cellStyle name="Normal 8 2 3 2 2 2 3" xfId="5268" xr:uid="{00000000-0005-0000-0000-0000991C0000}"/>
    <cellStyle name="Normal 8 2 3 2 2 2 3 2" xfId="13718" xr:uid="{201F822B-BE4D-4815-85CE-926B932D31E8}"/>
    <cellStyle name="Normal 8 2 3 2 2 2 4" xfId="9500" xr:uid="{18A511D6-B606-4013-A5B8-EECEA94644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6276" xr:uid="{916C1A16-28F3-4A78-9217-A6BA638B2E95}"/>
    <cellStyle name="Normal 8 2 3 2 2 3 2 3" xfId="12058" xr:uid="{024BCB6B-8762-44CE-B262-A05985ED790C}"/>
    <cellStyle name="Normal 8 2 3 2 2 3 3" xfId="5681" xr:uid="{00000000-0005-0000-0000-00009D1C0000}"/>
    <cellStyle name="Normal 8 2 3 2 2 3 3 2" xfId="14131" xr:uid="{FE2BF2FC-066D-48BC-B024-34BA9679D998}"/>
    <cellStyle name="Normal 8 2 3 2 2 3 4" xfId="9913" xr:uid="{930F0E66-F037-4833-8EB3-33B44010018C}"/>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6689" xr:uid="{6AF15AB7-D19E-482C-9A6F-4AB4BB4391F4}"/>
    <cellStyle name="Normal 8 2 3 2 2 4 2 3" xfId="12471" xr:uid="{081ED0A1-330B-4215-A4F9-6D389CFDFF3C}"/>
    <cellStyle name="Normal 8 2 3 2 2 4 3" xfId="6094" xr:uid="{00000000-0005-0000-0000-0000A11C0000}"/>
    <cellStyle name="Normal 8 2 3 2 2 4 3 2" xfId="14544" xr:uid="{0FE7395F-6119-4112-B04C-27DF3D2B794E}"/>
    <cellStyle name="Normal 8 2 3 2 2 4 4" xfId="10326" xr:uid="{AF874413-BDE9-40E8-9219-F49ED4B1462F}"/>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102" xr:uid="{9287A337-87B1-40D6-9CC1-858E3F01DBD4}"/>
    <cellStyle name="Normal 8 2 3 2 2 5 2 3" xfId="12884" xr:uid="{12D26654-51CC-44DE-A695-44E4A1811E92}"/>
    <cellStyle name="Normal 8 2 3 2 2 5 3" xfId="6507" xr:uid="{00000000-0005-0000-0000-0000A51C0000}"/>
    <cellStyle name="Normal 8 2 3 2 2 5 3 2" xfId="14957" xr:uid="{1AB4E64A-9662-4A25-923F-EB3911A43B6B}"/>
    <cellStyle name="Normal 8 2 3 2 2 5 4" xfId="10739" xr:uid="{5A21B667-A701-4F2E-AE19-17A743FC548C}"/>
    <cellStyle name="Normal 8 2 3 2 2 6" xfId="2637" xr:uid="{00000000-0005-0000-0000-0000A61C0000}"/>
    <cellStyle name="Normal 8 2 3 2 2 6 2" xfId="6920" xr:uid="{00000000-0005-0000-0000-0000A71C0000}"/>
    <cellStyle name="Normal 8 2 3 2 2 6 2 2" xfId="15370" xr:uid="{73496114-A55D-4845-AB80-AE56EEBB3AA0}"/>
    <cellStyle name="Normal 8 2 3 2 2 6 3" xfId="11152" xr:uid="{ED5A5BFC-83D6-4531-A4BC-B200A57F53C9}"/>
    <cellStyle name="Normal 8 2 3 2 2 7" xfId="4855" xr:uid="{00000000-0005-0000-0000-0000A81C0000}"/>
    <cellStyle name="Normal 8 2 3 2 2 7 2" xfId="13305" xr:uid="{C3554244-515E-45B7-8D74-6E843F6B8688}"/>
    <cellStyle name="Normal 8 2 3 2 2 8" xfId="9087" xr:uid="{56248513-BDBF-4C50-B021-652A21B8522B}"/>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5862" xr:uid="{C9267D0F-8EA4-4AC2-B148-03578C51E8F0}"/>
    <cellStyle name="Normal 8 2 3 2 3 2 3" xfId="11644" xr:uid="{CFB352A8-ED78-4859-A9E6-21670A51C75F}"/>
    <cellStyle name="Normal 8 2 3 2 3 3" xfId="5267" xr:uid="{00000000-0005-0000-0000-0000AC1C0000}"/>
    <cellStyle name="Normal 8 2 3 2 3 3 2" xfId="13717" xr:uid="{37782397-5683-49CD-8BFA-BE284EE9F6FB}"/>
    <cellStyle name="Normal 8 2 3 2 3 4" xfId="9499" xr:uid="{908B701F-6458-4999-8083-ACFDE206493B}"/>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6275" xr:uid="{4907A732-35B0-4A13-8DEA-07238FB76589}"/>
    <cellStyle name="Normal 8 2 3 2 4 2 3" xfId="12057" xr:uid="{194816F1-75E1-458D-B4E9-0B8A4E0A1B7C}"/>
    <cellStyle name="Normal 8 2 3 2 4 3" xfId="5680" xr:uid="{00000000-0005-0000-0000-0000B01C0000}"/>
    <cellStyle name="Normal 8 2 3 2 4 3 2" xfId="14130" xr:uid="{BC03E153-FF75-4E61-AE19-178FF92B747E}"/>
    <cellStyle name="Normal 8 2 3 2 4 4" xfId="9912" xr:uid="{62AE0A8E-070D-4F30-9B81-774871154556}"/>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6688" xr:uid="{FA34D4B0-D211-41F7-B5A9-BC01314BD468}"/>
    <cellStyle name="Normal 8 2 3 2 5 2 3" xfId="12470" xr:uid="{BFC69C95-95F6-4C69-8E03-83DD138EA913}"/>
    <cellStyle name="Normal 8 2 3 2 5 3" xfId="6093" xr:uid="{00000000-0005-0000-0000-0000B41C0000}"/>
    <cellStyle name="Normal 8 2 3 2 5 3 2" xfId="14543" xr:uid="{87EAA050-08B8-4F2F-86B3-0DBAD0F59463}"/>
    <cellStyle name="Normal 8 2 3 2 5 4" xfId="10325" xr:uid="{4EC93807-58E7-4134-BD4A-08899E2705F4}"/>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101" xr:uid="{5E521F84-4E47-4713-9B2E-71234447A0DE}"/>
    <cellStyle name="Normal 8 2 3 2 6 2 3" xfId="12883" xr:uid="{3F0151F2-A581-41BF-9153-4E110FB3947C}"/>
    <cellStyle name="Normal 8 2 3 2 6 3" xfId="6506" xr:uid="{00000000-0005-0000-0000-0000B81C0000}"/>
    <cellStyle name="Normal 8 2 3 2 6 3 2" xfId="14956" xr:uid="{2A079FCE-9792-46EA-9EB7-62BE3CF5237B}"/>
    <cellStyle name="Normal 8 2 3 2 6 4" xfId="10738" xr:uid="{578A3B5D-9A05-4AF4-A899-C4EF9521F6BD}"/>
    <cellStyle name="Normal 8 2 3 2 7" xfId="2636" xr:uid="{00000000-0005-0000-0000-0000B91C0000}"/>
    <cellStyle name="Normal 8 2 3 2 7 2" xfId="6919" xr:uid="{00000000-0005-0000-0000-0000BA1C0000}"/>
    <cellStyle name="Normal 8 2 3 2 7 2 2" xfId="15369" xr:uid="{9F411189-1A79-4B91-A743-5BBA3E2CA55D}"/>
    <cellStyle name="Normal 8 2 3 2 7 3" xfId="11151" xr:uid="{DCEC0868-8828-4855-B6D7-12EECE0B1551}"/>
    <cellStyle name="Normal 8 2 3 2 8" xfId="4854" xr:uid="{00000000-0005-0000-0000-0000BB1C0000}"/>
    <cellStyle name="Normal 8 2 3 2 8 2" xfId="13304" xr:uid="{E3315AA6-10DB-470A-8B79-3A9A621CC477}"/>
    <cellStyle name="Normal 8 2 3 2 9" xfId="9086" xr:uid="{B79FAE6A-0CE3-4279-AFFA-B5C1E455FFCD}"/>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5864" xr:uid="{D66DC50C-34F8-4FC3-A1D0-6F17FCA216B8}"/>
    <cellStyle name="Normal 8 2 3 3 2 2 3" xfId="11646" xr:uid="{9A0E5327-3C13-4523-BA1C-2C5543843549}"/>
    <cellStyle name="Normal 8 2 3 3 2 3" xfId="5269" xr:uid="{00000000-0005-0000-0000-0000C01C0000}"/>
    <cellStyle name="Normal 8 2 3 3 2 3 2" xfId="13719" xr:uid="{CD4DC740-8F4D-4438-B633-D6C06244DD1B}"/>
    <cellStyle name="Normal 8 2 3 3 2 4" xfId="9501" xr:uid="{39E91F07-7D51-4E03-923F-590001E0AC3C}"/>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6277" xr:uid="{DCA6FC11-22AD-481A-ABD3-B9398999089A}"/>
    <cellStyle name="Normal 8 2 3 3 3 2 3" xfId="12059" xr:uid="{617F906D-7E81-4008-B286-38A88F9D939A}"/>
    <cellStyle name="Normal 8 2 3 3 3 3" xfId="5682" xr:uid="{00000000-0005-0000-0000-0000C41C0000}"/>
    <cellStyle name="Normal 8 2 3 3 3 3 2" xfId="14132" xr:uid="{40717B3B-D964-4497-9E29-7A3DAAADE41F}"/>
    <cellStyle name="Normal 8 2 3 3 3 4" xfId="9914" xr:uid="{4FEC41F9-309A-4422-8941-3C0A6CDDE04C}"/>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6690" xr:uid="{8C9A0342-1E4A-428B-9366-7A6C5816DC23}"/>
    <cellStyle name="Normal 8 2 3 3 4 2 3" xfId="12472" xr:uid="{0A93A4C9-D19B-4851-9D57-8C0FCCB31F16}"/>
    <cellStyle name="Normal 8 2 3 3 4 3" xfId="6095" xr:uid="{00000000-0005-0000-0000-0000C81C0000}"/>
    <cellStyle name="Normal 8 2 3 3 4 3 2" xfId="14545" xr:uid="{281BEE9B-B45B-400F-9035-7630B9289DB8}"/>
    <cellStyle name="Normal 8 2 3 3 4 4" xfId="10327" xr:uid="{CDA986B2-D46E-4EBE-8D88-D978A49A4F43}"/>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103" xr:uid="{D1A36CED-EAAA-47D7-8F62-8DB967848623}"/>
    <cellStyle name="Normal 8 2 3 3 5 2 3" xfId="12885" xr:uid="{73C4495D-8A5D-4573-9309-0C456F4E4010}"/>
    <cellStyle name="Normal 8 2 3 3 5 3" xfId="6508" xr:uid="{00000000-0005-0000-0000-0000CC1C0000}"/>
    <cellStyle name="Normal 8 2 3 3 5 3 2" xfId="14958" xr:uid="{5516FBF9-F787-41E1-8392-9145E09B571E}"/>
    <cellStyle name="Normal 8 2 3 3 5 4" xfId="10740" xr:uid="{466CBBAB-11E2-451D-A2BC-955B287B7737}"/>
    <cellStyle name="Normal 8 2 3 3 6" xfId="2638" xr:uid="{00000000-0005-0000-0000-0000CD1C0000}"/>
    <cellStyle name="Normal 8 2 3 3 6 2" xfId="6921" xr:uid="{00000000-0005-0000-0000-0000CE1C0000}"/>
    <cellStyle name="Normal 8 2 3 3 6 2 2" xfId="15371" xr:uid="{EFE80543-12A9-41D0-9FEC-54D613CADA22}"/>
    <cellStyle name="Normal 8 2 3 3 6 3" xfId="11153" xr:uid="{E50E9725-3F47-478C-8654-7B76111D273D}"/>
    <cellStyle name="Normal 8 2 3 3 7" xfId="4856" xr:uid="{00000000-0005-0000-0000-0000CF1C0000}"/>
    <cellStyle name="Normal 8 2 3 3 7 2" xfId="13306" xr:uid="{D92FBB34-314F-4F8B-B6D2-D677C8964019}"/>
    <cellStyle name="Normal 8 2 3 3 8" xfId="9088" xr:uid="{FA36FBF9-5C59-46FC-B8BE-E33ABB6B8BDE}"/>
    <cellStyle name="Normal 8 2 3 4" xfId="955" xr:uid="{00000000-0005-0000-0000-0000D01C0000}"/>
    <cellStyle name="Normal 8 2 3 4 2" xfId="3189" xr:uid="{00000000-0005-0000-0000-0000D11C0000}"/>
    <cellStyle name="Normal 8 2 3 4 2 2" xfId="7411" xr:uid="{00000000-0005-0000-0000-0000D21C0000}"/>
    <cellStyle name="Normal 8 2 3 4 2 2 2" xfId="15861" xr:uid="{B3A61D1E-0E72-4E3C-A9BF-35FF5CB9E6BA}"/>
    <cellStyle name="Normal 8 2 3 4 2 3" xfId="11643" xr:uid="{A345621C-299E-4293-A73D-1F0D8D873AFC}"/>
    <cellStyle name="Normal 8 2 3 4 3" xfId="5266" xr:uid="{00000000-0005-0000-0000-0000D31C0000}"/>
    <cellStyle name="Normal 8 2 3 4 3 2" xfId="13716" xr:uid="{44E88D24-1F77-401F-B3F7-6C8316A33F73}"/>
    <cellStyle name="Normal 8 2 3 4 4" xfId="9498" xr:uid="{859D3F52-1371-492C-9631-FC11B0A517C7}"/>
    <cellStyle name="Normal 8 2 3 5" xfId="1372" xr:uid="{00000000-0005-0000-0000-0000D41C0000}"/>
    <cellStyle name="Normal 8 2 3 5 2" xfId="3602" xr:uid="{00000000-0005-0000-0000-0000D51C0000}"/>
    <cellStyle name="Normal 8 2 3 5 2 2" xfId="7824" xr:uid="{00000000-0005-0000-0000-0000D61C0000}"/>
    <cellStyle name="Normal 8 2 3 5 2 2 2" xfId="16274" xr:uid="{24F8C5D8-AFCD-42B3-8C5C-A55691FDA863}"/>
    <cellStyle name="Normal 8 2 3 5 2 3" xfId="12056" xr:uid="{647C1E06-6092-4BFB-B752-E2060E196D4A}"/>
    <cellStyle name="Normal 8 2 3 5 3" xfId="5679" xr:uid="{00000000-0005-0000-0000-0000D71C0000}"/>
    <cellStyle name="Normal 8 2 3 5 3 2" xfId="14129" xr:uid="{AB681E90-B815-46B9-8768-3F120B002B04}"/>
    <cellStyle name="Normal 8 2 3 5 4" xfId="9911" xr:uid="{41174B9C-315F-46F1-83F0-0B25691094C7}"/>
    <cellStyle name="Normal 8 2 3 6" xfId="1785" xr:uid="{00000000-0005-0000-0000-0000D81C0000}"/>
    <cellStyle name="Normal 8 2 3 6 2" xfId="4015" xr:uid="{00000000-0005-0000-0000-0000D91C0000}"/>
    <cellStyle name="Normal 8 2 3 6 2 2" xfId="8237" xr:uid="{00000000-0005-0000-0000-0000DA1C0000}"/>
    <cellStyle name="Normal 8 2 3 6 2 2 2" xfId="16687" xr:uid="{92E670E7-3025-4D24-8022-D51AD80BBE1D}"/>
    <cellStyle name="Normal 8 2 3 6 2 3" xfId="12469" xr:uid="{942B3C68-674D-48A8-9FD4-38137984D588}"/>
    <cellStyle name="Normal 8 2 3 6 3" xfId="6092" xr:uid="{00000000-0005-0000-0000-0000DB1C0000}"/>
    <cellStyle name="Normal 8 2 3 6 3 2" xfId="14542" xr:uid="{992BA002-A404-4B7C-BC97-F5B058D7AACA}"/>
    <cellStyle name="Normal 8 2 3 6 4" xfId="10324" xr:uid="{1F4962EF-A54E-4836-8C4F-9317CA2D4E07}"/>
    <cellStyle name="Normal 8 2 3 7" xfId="2199" xr:uid="{00000000-0005-0000-0000-0000DC1C0000}"/>
    <cellStyle name="Normal 8 2 3 7 2" xfId="4428" xr:uid="{00000000-0005-0000-0000-0000DD1C0000}"/>
    <cellStyle name="Normal 8 2 3 7 2 2" xfId="8650" xr:uid="{00000000-0005-0000-0000-0000DE1C0000}"/>
    <cellStyle name="Normal 8 2 3 7 2 2 2" xfId="17100" xr:uid="{01C0B8F8-3338-4158-AF16-2CD6BD371661}"/>
    <cellStyle name="Normal 8 2 3 7 2 3" xfId="12882" xr:uid="{36EFCB0A-3AD1-4B18-9A70-4D7ABA630B7D}"/>
    <cellStyle name="Normal 8 2 3 7 3" xfId="6505" xr:uid="{00000000-0005-0000-0000-0000DF1C0000}"/>
    <cellStyle name="Normal 8 2 3 7 3 2" xfId="14955" xr:uid="{72581A40-80C8-406E-99A0-39F82DCCEC9B}"/>
    <cellStyle name="Normal 8 2 3 7 4" xfId="10737" xr:uid="{58D74B03-886E-4981-B9AD-9C41D423953E}"/>
    <cellStyle name="Normal 8 2 3 8" xfId="2635" xr:uid="{00000000-0005-0000-0000-0000E01C0000}"/>
    <cellStyle name="Normal 8 2 3 8 2" xfId="6918" xr:uid="{00000000-0005-0000-0000-0000E11C0000}"/>
    <cellStyle name="Normal 8 2 3 8 2 2" xfId="15368" xr:uid="{D2F7E9C1-99EE-4CAC-A539-C19425F9A801}"/>
    <cellStyle name="Normal 8 2 3 8 3" xfId="11150" xr:uid="{53239C5A-56F7-4985-ADB9-3EC53BF0F116}"/>
    <cellStyle name="Normal 8 2 3 9" xfId="4853" xr:uid="{00000000-0005-0000-0000-0000E21C0000}"/>
    <cellStyle name="Normal 8 2 3 9 2" xfId="13303" xr:uid="{84AF8BF6-25CC-4920-B8D1-E70EB333C147}"/>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5866" xr:uid="{EFDF682F-2A46-4C68-9D8F-5A4A6D279C26}"/>
    <cellStyle name="Normal 8 2 4 2 2 2 3" xfId="11648" xr:uid="{298F73DD-AC10-4977-B39B-0865B895CABF}"/>
    <cellStyle name="Normal 8 2 4 2 2 3" xfId="5271" xr:uid="{00000000-0005-0000-0000-0000E81C0000}"/>
    <cellStyle name="Normal 8 2 4 2 2 3 2" xfId="13721" xr:uid="{C5B555B1-119D-4ACB-955D-F528BB4146B7}"/>
    <cellStyle name="Normal 8 2 4 2 2 4" xfId="9503" xr:uid="{3727C534-4054-4D4A-A352-A0EE30210EC1}"/>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6279" xr:uid="{9C9D850E-0154-4F6B-A9BC-5D3FDFE71124}"/>
    <cellStyle name="Normal 8 2 4 2 3 2 3" xfId="12061" xr:uid="{2335B42C-4BEA-4852-A1AB-01F62DEFD677}"/>
    <cellStyle name="Normal 8 2 4 2 3 3" xfId="5684" xr:uid="{00000000-0005-0000-0000-0000EC1C0000}"/>
    <cellStyle name="Normal 8 2 4 2 3 3 2" xfId="14134" xr:uid="{7ACB5A13-60D0-4009-AEA5-B1AA95DD0BA3}"/>
    <cellStyle name="Normal 8 2 4 2 3 4" xfId="9916" xr:uid="{6E4144C5-1945-4C34-BCFE-E31812E2AAD8}"/>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6692" xr:uid="{717B2768-EC7B-4074-ABC6-C89A66BC741D}"/>
    <cellStyle name="Normal 8 2 4 2 4 2 3" xfId="12474" xr:uid="{2EDCDE42-2865-4C7F-AF0A-901002F4578B}"/>
    <cellStyle name="Normal 8 2 4 2 4 3" xfId="6097" xr:uid="{00000000-0005-0000-0000-0000F01C0000}"/>
    <cellStyle name="Normal 8 2 4 2 4 3 2" xfId="14547" xr:uid="{D1AA5AF9-DE9C-41E9-A392-8B1C68D62677}"/>
    <cellStyle name="Normal 8 2 4 2 4 4" xfId="10329" xr:uid="{9960CE9A-6AA8-4A2C-8724-5F34F919F320}"/>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105" xr:uid="{E53FCF38-09F1-4F17-9622-736718C8711A}"/>
    <cellStyle name="Normal 8 2 4 2 5 2 3" xfId="12887" xr:uid="{B978352D-B61D-4B17-8096-7A6BB9F881F7}"/>
    <cellStyle name="Normal 8 2 4 2 5 3" xfId="6510" xr:uid="{00000000-0005-0000-0000-0000F41C0000}"/>
    <cellStyle name="Normal 8 2 4 2 5 3 2" xfId="14960" xr:uid="{E22EAF0F-7997-4E05-A0B4-B49AC1084E9B}"/>
    <cellStyle name="Normal 8 2 4 2 5 4" xfId="10742" xr:uid="{E87C6351-6D56-43FD-8F87-C0EEAE7B3F16}"/>
    <cellStyle name="Normal 8 2 4 2 6" xfId="2640" xr:uid="{00000000-0005-0000-0000-0000F51C0000}"/>
    <cellStyle name="Normal 8 2 4 2 6 2" xfId="6923" xr:uid="{00000000-0005-0000-0000-0000F61C0000}"/>
    <cellStyle name="Normal 8 2 4 2 6 2 2" xfId="15373" xr:uid="{01931EFA-9FAA-4B9A-8500-0A415D66BD68}"/>
    <cellStyle name="Normal 8 2 4 2 6 3" xfId="11155" xr:uid="{C68C6A8E-6A36-4173-A902-F1CBEFE0DE35}"/>
    <cellStyle name="Normal 8 2 4 2 7" xfId="4858" xr:uid="{00000000-0005-0000-0000-0000F71C0000}"/>
    <cellStyle name="Normal 8 2 4 2 7 2" xfId="13308" xr:uid="{775D8291-32BC-4D94-975C-EEF8ED413797}"/>
    <cellStyle name="Normal 8 2 4 2 8" xfId="9090" xr:uid="{C0E72FF6-0A78-4AE2-924A-6234A3421BF3}"/>
    <cellStyle name="Normal 8 2 4 3" xfId="959" xr:uid="{00000000-0005-0000-0000-0000F81C0000}"/>
    <cellStyle name="Normal 8 2 4 3 2" xfId="3193" xr:uid="{00000000-0005-0000-0000-0000F91C0000}"/>
    <cellStyle name="Normal 8 2 4 3 2 2" xfId="7415" xr:uid="{00000000-0005-0000-0000-0000FA1C0000}"/>
    <cellStyle name="Normal 8 2 4 3 2 2 2" xfId="15865" xr:uid="{566A454E-EB6D-4237-A666-942064E41E6E}"/>
    <cellStyle name="Normal 8 2 4 3 2 3" xfId="11647" xr:uid="{9D80C50F-7473-47A4-BE03-561E1DCAE58A}"/>
    <cellStyle name="Normal 8 2 4 3 3" xfId="5270" xr:uid="{00000000-0005-0000-0000-0000FB1C0000}"/>
    <cellStyle name="Normal 8 2 4 3 3 2" xfId="13720" xr:uid="{C2CBB19A-A13A-4424-B2E2-250481EE8525}"/>
    <cellStyle name="Normal 8 2 4 3 4" xfId="9502" xr:uid="{637E87D1-1D3C-4CB8-950C-722D19FB237A}"/>
    <cellStyle name="Normal 8 2 4 4" xfId="1376" xr:uid="{00000000-0005-0000-0000-0000FC1C0000}"/>
    <cellStyle name="Normal 8 2 4 4 2" xfId="3606" xr:uid="{00000000-0005-0000-0000-0000FD1C0000}"/>
    <cellStyle name="Normal 8 2 4 4 2 2" xfId="7828" xr:uid="{00000000-0005-0000-0000-0000FE1C0000}"/>
    <cellStyle name="Normal 8 2 4 4 2 2 2" xfId="16278" xr:uid="{B7AE1C2D-1C69-467E-9748-5CC4A52D75EA}"/>
    <cellStyle name="Normal 8 2 4 4 2 3" xfId="12060" xr:uid="{695ECDC8-3E8A-4DB6-A9A4-AA7DB9EDE602}"/>
    <cellStyle name="Normal 8 2 4 4 3" xfId="5683" xr:uid="{00000000-0005-0000-0000-0000FF1C0000}"/>
    <cellStyle name="Normal 8 2 4 4 3 2" xfId="14133" xr:uid="{97BE57A2-2A22-4E68-95A1-DFD69C9D4CAA}"/>
    <cellStyle name="Normal 8 2 4 4 4" xfId="9915" xr:uid="{CF832EE1-435E-4881-A0C8-E620A9FBB564}"/>
    <cellStyle name="Normal 8 2 4 5" xfId="1789" xr:uid="{00000000-0005-0000-0000-0000001D0000}"/>
    <cellStyle name="Normal 8 2 4 5 2" xfId="4019" xr:uid="{00000000-0005-0000-0000-0000011D0000}"/>
    <cellStyle name="Normal 8 2 4 5 2 2" xfId="8241" xr:uid="{00000000-0005-0000-0000-0000021D0000}"/>
    <cellStyle name="Normal 8 2 4 5 2 2 2" xfId="16691" xr:uid="{4A08B6F4-93C1-42D8-ABEA-2ECEC7D1E87A}"/>
    <cellStyle name="Normal 8 2 4 5 2 3" xfId="12473" xr:uid="{F5E33930-2221-4BA5-8886-2BC06DDCBF59}"/>
    <cellStyle name="Normal 8 2 4 5 3" xfId="6096" xr:uid="{00000000-0005-0000-0000-0000031D0000}"/>
    <cellStyle name="Normal 8 2 4 5 3 2" xfId="14546" xr:uid="{30E1A393-8756-4EFF-881F-42FC73F566DB}"/>
    <cellStyle name="Normal 8 2 4 5 4" xfId="10328" xr:uid="{E3845E75-8158-41CF-8EB4-961AC95E30BA}"/>
    <cellStyle name="Normal 8 2 4 6" xfId="2203" xr:uid="{00000000-0005-0000-0000-0000041D0000}"/>
    <cellStyle name="Normal 8 2 4 6 2" xfId="4432" xr:uid="{00000000-0005-0000-0000-0000051D0000}"/>
    <cellStyle name="Normal 8 2 4 6 2 2" xfId="8654" xr:uid="{00000000-0005-0000-0000-0000061D0000}"/>
    <cellStyle name="Normal 8 2 4 6 2 2 2" xfId="17104" xr:uid="{0B298813-943A-41FA-8ADD-87EE7281D9F2}"/>
    <cellStyle name="Normal 8 2 4 6 2 3" xfId="12886" xr:uid="{50ED892F-BFE2-40B9-9890-B817C7EFEEBF}"/>
    <cellStyle name="Normal 8 2 4 6 3" xfId="6509" xr:uid="{00000000-0005-0000-0000-0000071D0000}"/>
    <cellStyle name="Normal 8 2 4 6 3 2" xfId="14959" xr:uid="{B28F4503-4D52-477B-A1DA-1E5441702EB6}"/>
    <cellStyle name="Normal 8 2 4 6 4" xfId="10741" xr:uid="{F8E91013-47C4-4941-9ABA-3849C9FAAF6F}"/>
    <cellStyle name="Normal 8 2 4 7" xfId="2639" xr:uid="{00000000-0005-0000-0000-0000081D0000}"/>
    <cellStyle name="Normal 8 2 4 7 2" xfId="6922" xr:uid="{00000000-0005-0000-0000-0000091D0000}"/>
    <cellStyle name="Normal 8 2 4 7 2 2" xfId="15372" xr:uid="{6FFDB1CC-10FF-47C2-A734-390B0BCD38FA}"/>
    <cellStyle name="Normal 8 2 4 7 3" xfId="11154" xr:uid="{0438A99A-5C38-4463-A845-EF67F5112EA7}"/>
    <cellStyle name="Normal 8 2 4 8" xfId="4857" xr:uid="{00000000-0005-0000-0000-00000A1D0000}"/>
    <cellStyle name="Normal 8 2 4 8 2" xfId="13307" xr:uid="{9B4A754F-2239-4598-947C-7BC31E1E8B71}"/>
    <cellStyle name="Normal 8 2 4 9" xfId="9089" xr:uid="{C67524EE-BC9D-4329-A449-4AF2EA3CE6E5}"/>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5867" xr:uid="{DDAF34D2-BBA4-4937-9C0F-ED51580CDF1F}"/>
    <cellStyle name="Normal 8 2 5 2 2 3" xfId="11649" xr:uid="{BF79D2A5-C1AE-4F62-8ED9-89D3649F9D23}"/>
    <cellStyle name="Normal 8 2 5 2 3" xfId="5272" xr:uid="{00000000-0005-0000-0000-00000F1D0000}"/>
    <cellStyle name="Normal 8 2 5 2 3 2" xfId="13722" xr:uid="{9FB4CB70-BB62-41C3-8140-E25FDA15917C}"/>
    <cellStyle name="Normal 8 2 5 2 4" xfId="9504" xr:uid="{6561D8A6-50CC-4059-8251-81F7F0E5F956}"/>
    <cellStyle name="Normal 8 2 5 3" xfId="1378" xr:uid="{00000000-0005-0000-0000-0000101D0000}"/>
    <cellStyle name="Normal 8 2 5 3 2" xfId="3608" xr:uid="{00000000-0005-0000-0000-0000111D0000}"/>
    <cellStyle name="Normal 8 2 5 3 2 2" xfId="7830" xr:uid="{00000000-0005-0000-0000-0000121D0000}"/>
    <cellStyle name="Normal 8 2 5 3 2 2 2" xfId="16280" xr:uid="{0A99DA6F-98D3-45A3-8C89-35AD7EB64654}"/>
    <cellStyle name="Normal 8 2 5 3 2 3" xfId="12062" xr:uid="{81F09BC3-3EA3-4C47-8089-B76485DF79E3}"/>
    <cellStyle name="Normal 8 2 5 3 3" xfId="5685" xr:uid="{00000000-0005-0000-0000-0000131D0000}"/>
    <cellStyle name="Normal 8 2 5 3 3 2" xfId="14135" xr:uid="{3530C148-0D3E-44BF-9682-F5B67E849FB8}"/>
    <cellStyle name="Normal 8 2 5 3 4" xfId="9917" xr:uid="{162866AB-7BF4-45D8-B096-5B274F700FBF}"/>
    <cellStyle name="Normal 8 2 5 4" xfId="1791" xr:uid="{00000000-0005-0000-0000-0000141D0000}"/>
    <cellStyle name="Normal 8 2 5 4 2" xfId="4021" xr:uid="{00000000-0005-0000-0000-0000151D0000}"/>
    <cellStyle name="Normal 8 2 5 4 2 2" xfId="8243" xr:uid="{00000000-0005-0000-0000-0000161D0000}"/>
    <cellStyle name="Normal 8 2 5 4 2 2 2" xfId="16693" xr:uid="{392B4B61-8496-4B32-B1BF-548842E8B581}"/>
    <cellStyle name="Normal 8 2 5 4 2 3" xfId="12475" xr:uid="{FBB225D4-29F6-4297-B758-8AFF40799494}"/>
    <cellStyle name="Normal 8 2 5 4 3" xfId="6098" xr:uid="{00000000-0005-0000-0000-0000171D0000}"/>
    <cellStyle name="Normal 8 2 5 4 3 2" xfId="14548" xr:uid="{30A8B558-E4ED-4FD7-B81E-81C8E9D36F91}"/>
    <cellStyle name="Normal 8 2 5 4 4" xfId="10330" xr:uid="{56DA8D29-7A8B-4188-86CF-D8DAFEEAB870}"/>
    <cellStyle name="Normal 8 2 5 5" xfId="2205" xr:uid="{00000000-0005-0000-0000-0000181D0000}"/>
    <cellStyle name="Normal 8 2 5 5 2" xfId="4434" xr:uid="{00000000-0005-0000-0000-0000191D0000}"/>
    <cellStyle name="Normal 8 2 5 5 2 2" xfId="8656" xr:uid="{00000000-0005-0000-0000-00001A1D0000}"/>
    <cellStyle name="Normal 8 2 5 5 2 2 2" xfId="17106" xr:uid="{9E69295D-9F90-4166-8858-6A7A55BF7CF7}"/>
    <cellStyle name="Normal 8 2 5 5 2 3" xfId="12888" xr:uid="{73FBA39D-92E5-43A2-9EC3-F2C6AB9777D2}"/>
    <cellStyle name="Normal 8 2 5 5 3" xfId="6511" xr:uid="{00000000-0005-0000-0000-00001B1D0000}"/>
    <cellStyle name="Normal 8 2 5 5 3 2" xfId="14961" xr:uid="{535DE2AF-DFF3-451A-95ED-12C5386834C9}"/>
    <cellStyle name="Normal 8 2 5 5 4" xfId="10743" xr:uid="{354F0C34-7400-4009-9CC6-57C0F91BED3C}"/>
    <cellStyle name="Normal 8 2 5 6" xfId="2641" xr:uid="{00000000-0005-0000-0000-00001C1D0000}"/>
    <cellStyle name="Normal 8 2 5 6 2" xfId="6924" xr:uid="{00000000-0005-0000-0000-00001D1D0000}"/>
    <cellStyle name="Normal 8 2 5 6 2 2" xfId="15374" xr:uid="{C0D57A6F-A9B3-4955-9D36-D0C58BB80D9B}"/>
    <cellStyle name="Normal 8 2 5 6 3" xfId="11156" xr:uid="{2DCDC97E-9EEA-4DBB-88F8-CA9C0F4461F9}"/>
    <cellStyle name="Normal 8 2 5 7" xfId="4859" xr:uid="{00000000-0005-0000-0000-00001E1D0000}"/>
    <cellStyle name="Normal 8 2 5 7 2" xfId="13309" xr:uid="{27C21F27-8234-4451-B453-C07FE904F8D7}"/>
    <cellStyle name="Normal 8 2 5 8" xfId="9091" xr:uid="{072C4046-C4CE-46CF-BF9B-9FB9B9D41757}"/>
    <cellStyle name="Normal 8 2 6" xfId="946" xr:uid="{00000000-0005-0000-0000-00001F1D0000}"/>
    <cellStyle name="Normal 8 2 6 2" xfId="3180" xr:uid="{00000000-0005-0000-0000-0000201D0000}"/>
    <cellStyle name="Normal 8 2 6 2 2" xfId="7402" xr:uid="{00000000-0005-0000-0000-0000211D0000}"/>
    <cellStyle name="Normal 8 2 6 2 2 2" xfId="15852" xr:uid="{DE443E8C-771D-4E8C-9486-BA8BE11450BD}"/>
    <cellStyle name="Normal 8 2 6 2 3" xfId="11634" xr:uid="{35D54E71-4567-4569-9BB8-BB3296C926ED}"/>
    <cellStyle name="Normal 8 2 6 3" xfId="5257" xr:uid="{00000000-0005-0000-0000-0000221D0000}"/>
    <cellStyle name="Normal 8 2 6 3 2" xfId="13707" xr:uid="{8B9B3461-8F6D-49DE-9806-1A03D88B16F7}"/>
    <cellStyle name="Normal 8 2 6 4" xfId="9489" xr:uid="{DBEC51FB-3796-4637-B756-1E8B1F56D72E}"/>
    <cellStyle name="Normal 8 2 7" xfId="1363" xr:uid="{00000000-0005-0000-0000-0000231D0000}"/>
    <cellStyle name="Normal 8 2 7 2" xfId="3593" xr:uid="{00000000-0005-0000-0000-0000241D0000}"/>
    <cellStyle name="Normal 8 2 7 2 2" xfId="7815" xr:uid="{00000000-0005-0000-0000-0000251D0000}"/>
    <cellStyle name="Normal 8 2 7 2 2 2" xfId="16265" xr:uid="{94D0877B-9B0F-4990-98E4-81667DE34ABF}"/>
    <cellStyle name="Normal 8 2 7 2 3" xfId="12047" xr:uid="{B85DE6EA-AB8E-407A-A2E9-D1E801FEC40B}"/>
    <cellStyle name="Normal 8 2 7 3" xfId="5670" xr:uid="{00000000-0005-0000-0000-0000261D0000}"/>
    <cellStyle name="Normal 8 2 7 3 2" xfId="14120" xr:uid="{0AC03150-353E-4A53-B33A-7EB03454694F}"/>
    <cellStyle name="Normal 8 2 7 4" xfId="9902" xr:uid="{871B7E60-7703-4289-A39F-4D83D1B602C1}"/>
    <cellStyle name="Normal 8 2 8" xfId="1776" xr:uid="{00000000-0005-0000-0000-0000271D0000}"/>
    <cellStyle name="Normal 8 2 8 2" xfId="4006" xr:uid="{00000000-0005-0000-0000-0000281D0000}"/>
    <cellStyle name="Normal 8 2 8 2 2" xfId="8228" xr:uid="{00000000-0005-0000-0000-0000291D0000}"/>
    <cellStyle name="Normal 8 2 8 2 2 2" xfId="16678" xr:uid="{AD670A4D-4588-4208-A9C7-5B2E270FD59F}"/>
    <cellStyle name="Normal 8 2 8 2 3" xfId="12460" xr:uid="{B3873DCC-D116-400B-9291-4514387A9E8F}"/>
    <cellStyle name="Normal 8 2 8 3" xfId="6083" xr:uid="{00000000-0005-0000-0000-00002A1D0000}"/>
    <cellStyle name="Normal 8 2 8 3 2" xfId="14533" xr:uid="{95608E77-C374-45AA-95EB-E1BDC0BFF01E}"/>
    <cellStyle name="Normal 8 2 8 4" xfId="10315" xr:uid="{BE3394BD-F232-495E-9DFA-194F274DE0E6}"/>
    <cellStyle name="Normal 8 2 9" xfId="2190" xr:uid="{00000000-0005-0000-0000-00002B1D0000}"/>
    <cellStyle name="Normal 8 2 9 2" xfId="4419" xr:uid="{00000000-0005-0000-0000-00002C1D0000}"/>
    <cellStyle name="Normal 8 2 9 2 2" xfId="8641" xr:uid="{00000000-0005-0000-0000-00002D1D0000}"/>
    <cellStyle name="Normal 8 2 9 2 2 2" xfId="17091" xr:uid="{310DA6FF-D114-4337-9ED8-13F0AE69F613}"/>
    <cellStyle name="Normal 8 2 9 2 3" xfId="12873" xr:uid="{3C94028B-E91C-406C-96C4-793B0C94B250}"/>
    <cellStyle name="Normal 8 2 9 3" xfId="6496" xr:uid="{00000000-0005-0000-0000-00002E1D0000}"/>
    <cellStyle name="Normal 8 2 9 3 2" xfId="14946" xr:uid="{C8A8816F-A9B2-4E76-845D-41A4E6913F29}"/>
    <cellStyle name="Normal 8 2 9 4" xfId="10728" xr:uid="{5DB4249D-3704-4640-8888-878F0459D593}"/>
    <cellStyle name="Normal 8 3" xfId="495" xr:uid="{00000000-0005-0000-0000-00002F1D0000}"/>
    <cellStyle name="Normal 8 3 10" xfId="4860" xr:uid="{00000000-0005-0000-0000-0000301D0000}"/>
    <cellStyle name="Normal 8 3 10 2" xfId="13310" xr:uid="{FC3905AA-FFBC-41B0-8C3B-E1C43A299563}"/>
    <cellStyle name="Normal 8 3 11" xfId="9092" xr:uid="{64DD89FC-EC88-482E-9DB0-C6EF7EDDE39E}"/>
    <cellStyle name="Normal 8 3 2" xfId="496" xr:uid="{00000000-0005-0000-0000-0000311D0000}"/>
    <cellStyle name="Normal 8 3 2 10" xfId="9093" xr:uid="{EA1E515D-625C-47E7-BDF2-B854D167D8FD}"/>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5871" xr:uid="{4C1508A9-571E-4A94-97C3-36777A44969C}"/>
    <cellStyle name="Normal 8 3 2 2 2 2 2 3" xfId="11653" xr:uid="{31CEF600-E172-47C1-8404-266F7EBC0A07}"/>
    <cellStyle name="Normal 8 3 2 2 2 2 3" xfId="5276" xr:uid="{00000000-0005-0000-0000-0000371D0000}"/>
    <cellStyle name="Normal 8 3 2 2 2 2 3 2" xfId="13726" xr:uid="{78BA24C6-23F8-4AB2-8577-B46A5F623CF8}"/>
    <cellStyle name="Normal 8 3 2 2 2 2 4" xfId="9508" xr:uid="{F1686A25-4223-41F5-97E9-2370713605D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6284" xr:uid="{134C19B2-4278-4544-B409-9AC173D26543}"/>
    <cellStyle name="Normal 8 3 2 2 2 3 2 3" xfId="12066" xr:uid="{15D6B2F0-A8D7-4C2A-A21E-96B4CE22A7CA}"/>
    <cellStyle name="Normal 8 3 2 2 2 3 3" xfId="5689" xr:uid="{00000000-0005-0000-0000-00003B1D0000}"/>
    <cellStyle name="Normal 8 3 2 2 2 3 3 2" xfId="14139" xr:uid="{22B83D43-EEBB-417D-9F43-AEB6F547B6FD}"/>
    <cellStyle name="Normal 8 3 2 2 2 3 4" xfId="9921" xr:uid="{B319AC83-4A54-4B47-8AB4-15CB3F7CD11B}"/>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6697" xr:uid="{CD544E0C-E77E-4019-A425-3B8B06F65DE6}"/>
    <cellStyle name="Normal 8 3 2 2 2 4 2 3" xfId="12479" xr:uid="{0A601981-7BFB-418F-818E-052D7179ED62}"/>
    <cellStyle name="Normal 8 3 2 2 2 4 3" xfId="6102" xr:uid="{00000000-0005-0000-0000-00003F1D0000}"/>
    <cellStyle name="Normal 8 3 2 2 2 4 3 2" xfId="14552" xr:uid="{587D3761-C5E7-41F8-8376-F9203718A8E9}"/>
    <cellStyle name="Normal 8 3 2 2 2 4 4" xfId="10334" xr:uid="{C499E09B-34E8-493E-BDAB-D5D74BA61E08}"/>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110" xr:uid="{BCAEDD5B-47B0-491A-B8A7-E8843F08B60A}"/>
    <cellStyle name="Normal 8 3 2 2 2 5 2 3" xfId="12892" xr:uid="{50E23E6C-5E19-4EE5-A26F-43D0B801574A}"/>
    <cellStyle name="Normal 8 3 2 2 2 5 3" xfId="6515" xr:uid="{00000000-0005-0000-0000-0000431D0000}"/>
    <cellStyle name="Normal 8 3 2 2 2 5 3 2" xfId="14965" xr:uid="{8B995F4C-3679-4D36-A3D9-61EA8626CD36}"/>
    <cellStyle name="Normal 8 3 2 2 2 5 4" xfId="10747" xr:uid="{62E0B87F-053D-479A-94F1-6D635DF0CD3A}"/>
    <cellStyle name="Normal 8 3 2 2 2 6" xfId="2645" xr:uid="{00000000-0005-0000-0000-0000441D0000}"/>
    <cellStyle name="Normal 8 3 2 2 2 6 2" xfId="6928" xr:uid="{00000000-0005-0000-0000-0000451D0000}"/>
    <cellStyle name="Normal 8 3 2 2 2 6 2 2" xfId="15378" xr:uid="{35B46FC0-F4A7-4EE0-9D3E-35252B6F3028}"/>
    <cellStyle name="Normal 8 3 2 2 2 6 3" xfId="11160" xr:uid="{92B3F62C-F858-4A2E-864F-F4470ACA8211}"/>
    <cellStyle name="Normal 8 3 2 2 2 7" xfId="4863" xr:uid="{00000000-0005-0000-0000-0000461D0000}"/>
    <cellStyle name="Normal 8 3 2 2 2 7 2" xfId="13313" xr:uid="{D4F23F51-E818-41DD-A838-82C528A8A943}"/>
    <cellStyle name="Normal 8 3 2 2 2 8" xfId="9095" xr:uid="{9D215237-D391-4DFE-B97D-C0C820522100}"/>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5870" xr:uid="{EDD3DBCA-E818-437B-A0F6-FE25146FC1F3}"/>
    <cellStyle name="Normal 8 3 2 2 3 2 3" xfId="11652" xr:uid="{C727CAE2-EB2C-438E-991C-17815D9CC621}"/>
    <cellStyle name="Normal 8 3 2 2 3 3" xfId="5275" xr:uid="{00000000-0005-0000-0000-00004A1D0000}"/>
    <cellStyle name="Normal 8 3 2 2 3 3 2" xfId="13725" xr:uid="{442049FB-4346-461B-873C-ECE2F272335B}"/>
    <cellStyle name="Normal 8 3 2 2 3 4" xfId="9507" xr:uid="{E3D755D1-C0EC-4F0E-B35D-C8AE9A66B1D4}"/>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6283" xr:uid="{AD9A8491-F201-4294-83D5-EA39E4380246}"/>
    <cellStyle name="Normal 8 3 2 2 4 2 3" xfId="12065" xr:uid="{A4D6ADB9-5845-4BAB-A98A-19FB5F95D48C}"/>
    <cellStyle name="Normal 8 3 2 2 4 3" xfId="5688" xr:uid="{00000000-0005-0000-0000-00004E1D0000}"/>
    <cellStyle name="Normal 8 3 2 2 4 3 2" xfId="14138" xr:uid="{65B61714-8411-4170-A304-580F9129270A}"/>
    <cellStyle name="Normal 8 3 2 2 4 4" xfId="9920" xr:uid="{4A1F64F4-4AEE-495A-9FD7-F9080E2E1DD1}"/>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6696" xr:uid="{1EB8799B-B354-41E0-89BD-766CD4EB7556}"/>
    <cellStyle name="Normal 8 3 2 2 5 2 3" xfId="12478" xr:uid="{1CA828F7-BE44-470B-819B-BCA93D30287A}"/>
    <cellStyle name="Normal 8 3 2 2 5 3" xfId="6101" xr:uid="{00000000-0005-0000-0000-0000521D0000}"/>
    <cellStyle name="Normal 8 3 2 2 5 3 2" xfId="14551" xr:uid="{6B45FA3E-9D37-4262-A40E-DEF2B47CD244}"/>
    <cellStyle name="Normal 8 3 2 2 5 4" xfId="10333" xr:uid="{E4DC79CB-18C7-48B9-9FB8-1360F5C616CA}"/>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109" xr:uid="{6AB48B10-9D26-4F04-B29F-775D4AA0E5C4}"/>
    <cellStyle name="Normal 8 3 2 2 6 2 3" xfId="12891" xr:uid="{BBE66835-3316-4651-8155-DBD3AF0F9DE2}"/>
    <cellStyle name="Normal 8 3 2 2 6 3" xfId="6514" xr:uid="{00000000-0005-0000-0000-0000561D0000}"/>
    <cellStyle name="Normal 8 3 2 2 6 3 2" xfId="14964" xr:uid="{C7908C74-23EC-4294-8178-AA309C171A7B}"/>
    <cellStyle name="Normal 8 3 2 2 6 4" xfId="10746" xr:uid="{57B4234E-83FE-4175-8C69-9677C4F1D233}"/>
    <cellStyle name="Normal 8 3 2 2 7" xfId="2644" xr:uid="{00000000-0005-0000-0000-0000571D0000}"/>
    <cellStyle name="Normal 8 3 2 2 7 2" xfId="6927" xr:uid="{00000000-0005-0000-0000-0000581D0000}"/>
    <cellStyle name="Normal 8 3 2 2 7 2 2" xfId="15377" xr:uid="{690722CD-3688-4277-AD82-9338322B24E4}"/>
    <cellStyle name="Normal 8 3 2 2 7 3" xfId="11159" xr:uid="{8E75986B-AA6A-4977-937B-311D9385E0BE}"/>
    <cellStyle name="Normal 8 3 2 2 8" xfId="4862" xr:uid="{00000000-0005-0000-0000-0000591D0000}"/>
    <cellStyle name="Normal 8 3 2 2 8 2" xfId="13312" xr:uid="{80EFC813-4DE0-4923-ABFE-F196D29291FC}"/>
    <cellStyle name="Normal 8 3 2 2 9" xfId="9094" xr:uid="{C84103C1-F76E-4800-BCB9-F8B39B583F8F}"/>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5872" xr:uid="{67D6BBDE-29F7-4AA8-B492-9E3F18AF3D05}"/>
    <cellStyle name="Normal 8 3 2 3 2 2 3" xfId="11654" xr:uid="{49256905-174B-4331-B2B9-148CA5FA1CF2}"/>
    <cellStyle name="Normal 8 3 2 3 2 3" xfId="5277" xr:uid="{00000000-0005-0000-0000-00005E1D0000}"/>
    <cellStyle name="Normal 8 3 2 3 2 3 2" xfId="13727" xr:uid="{CBF4948F-CB0D-4A48-9EF5-A0859AD52927}"/>
    <cellStyle name="Normal 8 3 2 3 2 4" xfId="9509" xr:uid="{5975D3EF-8394-436C-ADC9-ED64A7BE4A58}"/>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6285" xr:uid="{18433C18-5A5D-43CE-B7CF-36D5A5EC5F92}"/>
    <cellStyle name="Normal 8 3 2 3 3 2 3" xfId="12067" xr:uid="{2702A0D7-D552-41AE-A53E-63FF5DF4A08D}"/>
    <cellStyle name="Normal 8 3 2 3 3 3" xfId="5690" xr:uid="{00000000-0005-0000-0000-0000621D0000}"/>
    <cellStyle name="Normal 8 3 2 3 3 3 2" xfId="14140" xr:uid="{90576934-F6BC-4417-A6C6-BE111FE4D6FA}"/>
    <cellStyle name="Normal 8 3 2 3 3 4" xfId="9922" xr:uid="{FB513203-BDB5-479A-9161-E3AAEF246A82}"/>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6698" xr:uid="{6CD23348-01A3-4CA7-AFAF-FB2CE3940DE4}"/>
    <cellStyle name="Normal 8 3 2 3 4 2 3" xfId="12480" xr:uid="{8A69A02E-14B7-48E6-86AA-9EFF2B9B0096}"/>
    <cellStyle name="Normal 8 3 2 3 4 3" xfId="6103" xr:uid="{00000000-0005-0000-0000-0000661D0000}"/>
    <cellStyle name="Normal 8 3 2 3 4 3 2" xfId="14553" xr:uid="{2A9FA816-6AB0-4DDB-9DC7-5823900AA2B7}"/>
    <cellStyle name="Normal 8 3 2 3 4 4" xfId="10335" xr:uid="{511967C3-73AE-4F56-B043-629FAC04AE87}"/>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111" xr:uid="{28443F3B-815A-4497-B560-B2047496A760}"/>
    <cellStyle name="Normal 8 3 2 3 5 2 3" xfId="12893" xr:uid="{143BBAE9-B2B0-4F49-A0B7-E5859432A902}"/>
    <cellStyle name="Normal 8 3 2 3 5 3" xfId="6516" xr:uid="{00000000-0005-0000-0000-00006A1D0000}"/>
    <cellStyle name="Normal 8 3 2 3 5 3 2" xfId="14966" xr:uid="{C4E68F00-BC38-490F-9A91-10AB57F9C0AC}"/>
    <cellStyle name="Normal 8 3 2 3 5 4" xfId="10748" xr:uid="{B4B57C5D-3CFE-481A-9602-408F3CFE22B7}"/>
    <cellStyle name="Normal 8 3 2 3 6" xfId="2646" xr:uid="{00000000-0005-0000-0000-00006B1D0000}"/>
    <cellStyle name="Normal 8 3 2 3 6 2" xfId="6929" xr:uid="{00000000-0005-0000-0000-00006C1D0000}"/>
    <cellStyle name="Normal 8 3 2 3 6 2 2" xfId="15379" xr:uid="{5B86C269-B900-41E0-90EE-F710F34A338C}"/>
    <cellStyle name="Normal 8 3 2 3 6 3" xfId="11161" xr:uid="{BAE3471C-2B65-4816-965B-997A8FEA9E11}"/>
    <cellStyle name="Normal 8 3 2 3 7" xfId="4864" xr:uid="{00000000-0005-0000-0000-00006D1D0000}"/>
    <cellStyle name="Normal 8 3 2 3 7 2" xfId="13314" xr:uid="{9323FF44-E474-42B0-A57B-DB386C67C38A}"/>
    <cellStyle name="Normal 8 3 2 3 8" xfId="9096" xr:uid="{8CA7341E-BF1A-4BFC-818E-346732B98A7E}"/>
    <cellStyle name="Normal 8 3 2 4" xfId="963" xr:uid="{00000000-0005-0000-0000-00006E1D0000}"/>
    <cellStyle name="Normal 8 3 2 4 2" xfId="3197" xr:uid="{00000000-0005-0000-0000-00006F1D0000}"/>
    <cellStyle name="Normal 8 3 2 4 2 2" xfId="7419" xr:uid="{00000000-0005-0000-0000-0000701D0000}"/>
    <cellStyle name="Normal 8 3 2 4 2 2 2" xfId="15869" xr:uid="{91450AA4-AA86-444A-A756-19CB4403BB26}"/>
    <cellStyle name="Normal 8 3 2 4 2 3" xfId="11651" xr:uid="{3D2A7BA4-313B-4488-9C68-B932E66C93C8}"/>
    <cellStyle name="Normal 8 3 2 4 3" xfId="5274" xr:uid="{00000000-0005-0000-0000-0000711D0000}"/>
    <cellStyle name="Normal 8 3 2 4 3 2" xfId="13724" xr:uid="{719F1EE5-E318-44DB-A610-748E4D8E54A9}"/>
    <cellStyle name="Normal 8 3 2 4 4" xfId="9506" xr:uid="{ADA6A5B6-DB32-4450-ACC6-ACA0ADB2EBB1}"/>
    <cellStyle name="Normal 8 3 2 5" xfId="1380" xr:uid="{00000000-0005-0000-0000-0000721D0000}"/>
    <cellStyle name="Normal 8 3 2 5 2" xfId="3610" xr:uid="{00000000-0005-0000-0000-0000731D0000}"/>
    <cellStyle name="Normal 8 3 2 5 2 2" xfId="7832" xr:uid="{00000000-0005-0000-0000-0000741D0000}"/>
    <cellStyle name="Normal 8 3 2 5 2 2 2" xfId="16282" xr:uid="{4A53B082-4C72-4496-AF1B-0440BBE8C508}"/>
    <cellStyle name="Normal 8 3 2 5 2 3" xfId="12064" xr:uid="{D66BBAD6-ED95-4495-BEF4-85D613838EE6}"/>
    <cellStyle name="Normal 8 3 2 5 3" xfId="5687" xr:uid="{00000000-0005-0000-0000-0000751D0000}"/>
    <cellStyle name="Normal 8 3 2 5 3 2" xfId="14137" xr:uid="{F869C1F0-6E89-4424-ACA0-829C9D3C89A3}"/>
    <cellStyle name="Normal 8 3 2 5 4" xfId="9919" xr:uid="{EF5A3B56-5F12-4CEF-A0F9-C51389922EE0}"/>
    <cellStyle name="Normal 8 3 2 6" xfId="1793" xr:uid="{00000000-0005-0000-0000-0000761D0000}"/>
    <cellStyle name="Normal 8 3 2 6 2" xfId="4023" xr:uid="{00000000-0005-0000-0000-0000771D0000}"/>
    <cellStyle name="Normal 8 3 2 6 2 2" xfId="8245" xr:uid="{00000000-0005-0000-0000-0000781D0000}"/>
    <cellStyle name="Normal 8 3 2 6 2 2 2" xfId="16695" xr:uid="{1A038B67-B479-4B55-8319-B99BCF55D8EE}"/>
    <cellStyle name="Normal 8 3 2 6 2 3" xfId="12477" xr:uid="{94F19E27-D928-4F1F-A828-02150057F413}"/>
    <cellStyle name="Normal 8 3 2 6 3" xfId="6100" xr:uid="{00000000-0005-0000-0000-0000791D0000}"/>
    <cellStyle name="Normal 8 3 2 6 3 2" xfId="14550" xr:uid="{212C0CE0-D3BE-4169-AD27-81F665918AFD}"/>
    <cellStyle name="Normal 8 3 2 6 4" xfId="10332" xr:uid="{747FE560-0D48-44AE-A233-A8E0BC98F185}"/>
    <cellStyle name="Normal 8 3 2 7" xfId="2207" xr:uid="{00000000-0005-0000-0000-00007A1D0000}"/>
    <cellStyle name="Normal 8 3 2 7 2" xfId="4436" xr:uid="{00000000-0005-0000-0000-00007B1D0000}"/>
    <cellStyle name="Normal 8 3 2 7 2 2" xfId="8658" xr:uid="{00000000-0005-0000-0000-00007C1D0000}"/>
    <cellStyle name="Normal 8 3 2 7 2 2 2" xfId="17108" xr:uid="{54C6DC07-75C9-47E1-AC28-263757861C1A}"/>
    <cellStyle name="Normal 8 3 2 7 2 3" xfId="12890" xr:uid="{AD922C00-6426-4F43-BFF2-2CD31D59B304}"/>
    <cellStyle name="Normal 8 3 2 7 3" xfId="6513" xr:uid="{00000000-0005-0000-0000-00007D1D0000}"/>
    <cellStyle name="Normal 8 3 2 7 3 2" xfId="14963" xr:uid="{F25F2A95-6F45-4F16-A9D5-CBAF30080AA0}"/>
    <cellStyle name="Normal 8 3 2 7 4" xfId="10745" xr:uid="{D36203D0-E300-4A63-B8B9-CBE356413B82}"/>
    <cellStyle name="Normal 8 3 2 8" xfId="2643" xr:uid="{00000000-0005-0000-0000-00007E1D0000}"/>
    <cellStyle name="Normal 8 3 2 8 2" xfId="6926" xr:uid="{00000000-0005-0000-0000-00007F1D0000}"/>
    <cellStyle name="Normal 8 3 2 8 2 2" xfId="15376" xr:uid="{73202049-D2B7-42A7-BB77-7A9DD00A39A2}"/>
    <cellStyle name="Normal 8 3 2 8 3" xfId="11158" xr:uid="{104889A2-B2E5-4CEB-8E85-B256237E89C7}"/>
    <cellStyle name="Normal 8 3 2 9" xfId="4861" xr:uid="{00000000-0005-0000-0000-0000801D0000}"/>
    <cellStyle name="Normal 8 3 2 9 2" xfId="13311" xr:uid="{CB8896E6-9217-4412-81FF-AD6FC14D8A29}"/>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5874" xr:uid="{504411F4-4322-4077-9540-1085DD54DE0B}"/>
    <cellStyle name="Normal 8 3 3 2 2 2 3" xfId="11656" xr:uid="{9B8388E5-73C1-41D0-B591-43A32D1B8219}"/>
    <cellStyle name="Normal 8 3 3 2 2 3" xfId="5279" xr:uid="{00000000-0005-0000-0000-0000861D0000}"/>
    <cellStyle name="Normal 8 3 3 2 2 3 2" xfId="13729" xr:uid="{093DCE89-2397-443A-9863-B62EF7973491}"/>
    <cellStyle name="Normal 8 3 3 2 2 4" xfId="9511" xr:uid="{7FB92650-6A30-49B8-B4DC-0EE4AA69A93F}"/>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6287" xr:uid="{8E5CEA41-C465-41E9-B352-97CDC0488550}"/>
    <cellStyle name="Normal 8 3 3 2 3 2 3" xfId="12069" xr:uid="{15E01D42-3ABF-4FA2-BAF0-0239892F0A13}"/>
    <cellStyle name="Normal 8 3 3 2 3 3" xfId="5692" xr:uid="{00000000-0005-0000-0000-00008A1D0000}"/>
    <cellStyle name="Normal 8 3 3 2 3 3 2" xfId="14142" xr:uid="{AC959F45-7B87-408F-AE6A-AA6B548665CE}"/>
    <cellStyle name="Normal 8 3 3 2 3 4" xfId="9924" xr:uid="{E769D0E3-431F-4737-BDFB-6D5D90326AE4}"/>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6700" xr:uid="{7479B33D-F8EC-4117-8BAF-58685A7F9886}"/>
    <cellStyle name="Normal 8 3 3 2 4 2 3" xfId="12482" xr:uid="{FAD4BB7D-73EA-4BE3-98E2-38752E52011A}"/>
    <cellStyle name="Normal 8 3 3 2 4 3" xfId="6105" xr:uid="{00000000-0005-0000-0000-00008E1D0000}"/>
    <cellStyle name="Normal 8 3 3 2 4 3 2" xfId="14555" xr:uid="{20EDC41D-5144-44BB-94B9-A076788FD06B}"/>
    <cellStyle name="Normal 8 3 3 2 4 4" xfId="10337" xr:uid="{C4ACCC9F-2172-4005-894D-898473D5DE6F}"/>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113" xr:uid="{4518C7BF-3F13-4260-8631-8C1D6C7FE91C}"/>
    <cellStyle name="Normal 8 3 3 2 5 2 3" xfId="12895" xr:uid="{B6EA6F9E-CEBB-4CB4-8324-4B704749555E}"/>
    <cellStyle name="Normal 8 3 3 2 5 3" xfId="6518" xr:uid="{00000000-0005-0000-0000-0000921D0000}"/>
    <cellStyle name="Normal 8 3 3 2 5 3 2" xfId="14968" xr:uid="{BA5ACCB1-5BF1-4B24-BA68-2746B6B5B8EA}"/>
    <cellStyle name="Normal 8 3 3 2 5 4" xfId="10750" xr:uid="{EBF81122-E067-4AE5-8305-C0700788746D}"/>
    <cellStyle name="Normal 8 3 3 2 6" xfId="2648" xr:uid="{00000000-0005-0000-0000-0000931D0000}"/>
    <cellStyle name="Normal 8 3 3 2 6 2" xfId="6931" xr:uid="{00000000-0005-0000-0000-0000941D0000}"/>
    <cellStyle name="Normal 8 3 3 2 6 2 2" xfId="15381" xr:uid="{3418AB3D-F7A0-4955-B4E1-D779F7F416C3}"/>
    <cellStyle name="Normal 8 3 3 2 6 3" xfId="11163" xr:uid="{8B31DC43-4235-40B9-B99C-4CC64BA99C1D}"/>
    <cellStyle name="Normal 8 3 3 2 7" xfId="4866" xr:uid="{00000000-0005-0000-0000-0000951D0000}"/>
    <cellStyle name="Normal 8 3 3 2 7 2" xfId="13316" xr:uid="{2291E985-EF9A-492F-89D9-34B7EDC4D8F7}"/>
    <cellStyle name="Normal 8 3 3 2 8" xfId="9098" xr:uid="{880647DA-FE4A-416B-B5CC-2D666B7CA98F}"/>
    <cellStyle name="Normal 8 3 3 3" xfId="967" xr:uid="{00000000-0005-0000-0000-0000961D0000}"/>
    <cellStyle name="Normal 8 3 3 3 2" xfId="3201" xr:uid="{00000000-0005-0000-0000-0000971D0000}"/>
    <cellStyle name="Normal 8 3 3 3 2 2" xfId="7423" xr:uid="{00000000-0005-0000-0000-0000981D0000}"/>
    <cellStyle name="Normal 8 3 3 3 2 2 2" xfId="15873" xr:uid="{8FFD79E5-40AA-4074-B315-01E5287FE509}"/>
    <cellStyle name="Normal 8 3 3 3 2 3" xfId="11655" xr:uid="{91867C0B-B5DE-4B9C-A4B1-9A63E66E0F4F}"/>
    <cellStyle name="Normal 8 3 3 3 3" xfId="5278" xr:uid="{00000000-0005-0000-0000-0000991D0000}"/>
    <cellStyle name="Normal 8 3 3 3 3 2" xfId="13728" xr:uid="{487C093E-8F47-4E38-AABB-C1A62BECBB37}"/>
    <cellStyle name="Normal 8 3 3 3 4" xfId="9510" xr:uid="{B78504BA-6A52-4ED6-818E-0C53820965A9}"/>
    <cellStyle name="Normal 8 3 3 4" xfId="1384" xr:uid="{00000000-0005-0000-0000-00009A1D0000}"/>
    <cellStyle name="Normal 8 3 3 4 2" xfId="3614" xr:uid="{00000000-0005-0000-0000-00009B1D0000}"/>
    <cellStyle name="Normal 8 3 3 4 2 2" xfId="7836" xr:uid="{00000000-0005-0000-0000-00009C1D0000}"/>
    <cellStyle name="Normal 8 3 3 4 2 2 2" xfId="16286" xr:uid="{ED2C7E9D-9759-414B-A0C6-F5B915D79608}"/>
    <cellStyle name="Normal 8 3 3 4 2 3" xfId="12068" xr:uid="{3FAEE147-DE32-42CB-8C30-55E8C55CA8C9}"/>
    <cellStyle name="Normal 8 3 3 4 3" xfId="5691" xr:uid="{00000000-0005-0000-0000-00009D1D0000}"/>
    <cellStyle name="Normal 8 3 3 4 3 2" xfId="14141" xr:uid="{444D0288-B235-4517-943D-A08AF8918F50}"/>
    <cellStyle name="Normal 8 3 3 4 4" xfId="9923" xr:uid="{8DABA13F-2D0A-40E5-86C4-4CE9AAD58B11}"/>
    <cellStyle name="Normal 8 3 3 5" xfId="1797" xr:uid="{00000000-0005-0000-0000-00009E1D0000}"/>
    <cellStyle name="Normal 8 3 3 5 2" xfId="4027" xr:uid="{00000000-0005-0000-0000-00009F1D0000}"/>
    <cellStyle name="Normal 8 3 3 5 2 2" xfId="8249" xr:uid="{00000000-0005-0000-0000-0000A01D0000}"/>
    <cellStyle name="Normal 8 3 3 5 2 2 2" xfId="16699" xr:uid="{851F1634-C989-4C6C-8262-51FE4212DA98}"/>
    <cellStyle name="Normal 8 3 3 5 2 3" xfId="12481" xr:uid="{F168CDD8-4757-453E-AEF5-F02CC9F12BB9}"/>
    <cellStyle name="Normal 8 3 3 5 3" xfId="6104" xr:uid="{00000000-0005-0000-0000-0000A11D0000}"/>
    <cellStyle name="Normal 8 3 3 5 3 2" xfId="14554" xr:uid="{C71138D1-6934-42E5-B4C8-D3BB409E2D1F}"/>
    <cellStyle name="Normal 8 3 3 5 4" xfId="10336" xr:uid="{731A4CAA-38DA-425B-AD18-4319A9EC6FFD}"/>
    <cellStyle name="Normal 8 3 3 6" xfId="2211" xr:uid="{00000000-0005-0000-0000-0000A21D0000}"/>
    <cellStyle name="Normal 8 3 3 6 2" xfId="4440" xr:uid="{00000000-0005-0000-0000-0000A31D0000}"/>
    <cellStyle name="Normal 8 3 3 6 2 2" xfId="8662" xr:uid="{00000000-0005-0000-0000-0000A41D0000}"/>
    <cellStyle name="Normal 8 3 3 6 2 2 2" xfId="17112" xr:uid="{187C2EB2-1729-4FFF-A4CB-CACF1C53A453}"/>
    <cellStyle name="Normal 8 3 3 6 2 3" xfId="12894" xr:uid="{3691E213-619B-4034-823F-5BD0DEBF4B4B}"/>
    <cellStyle name="Normal 8 3 3 6 3" xfId="6517" xr:uid="{00000000-0005-0000-0000-0000A51D0000}"/>
    <cellStyle name="Normal 8 3 3 6 3 2" xfId="14967" xr:uid="{98E88C24-C3B0-4156-8E30-902732D0FD6A}"/>
    <cellStyle name="Normal 8 3 3 6 4" xfId="10749" xr:uid="{90CDC4AB-B3F2-4872-AE4C-7B8792F03F96}"/>
    <cellStyle name="Normal 8 3 3 7" xfId="2647" xr:uid="{00000000-0005-0000-0000-0000A61D0000}"/>
    <cellStyle name="Normal 8 3 3 7 2" xfId="6930" xr:uid="{00000000-0005-0000-0000-0000A71D0000}"/>
    <cellStyle name="Normal 8 3 3 7 2 2" xfId="15380" xr:uid="{47DD4202-CC9E-4639-921D-4E282FB01C8C}"/>
    <cellStyle name="Normal 8 3 3 7 3" xfId="11162" xr:uid="{DCE370ED-1408-456E-A5B1-0EAAD12F8933}"/>
    <cellStyle name="Normal 8 3 3 8" xfId="4865" xr:uid="{00000000-0005-0000-0000-0000A81D0000}"/>
    <cellStyle name="Normal 8 3 3 8 2" xfId="13315" xr:uid="{3A934E22-B2DC-4632-B0A1-072DF4E75903}"/>
    <cellStyle name="Normal 8 3 3 9" xfId="9097" xr:uid="{E8983699-C3A6-4D0C-B951-664938217EAA}"/>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5875" xr:uid="{CD599554-47DF-454A-8B21-7AD33EEFBA89}"/>
    <cellStyle name="Normal 8 3 4 2 2 3" xfId="11657" xr:uid="{A2DF3ABD-2E22-4C00-8F93-F262A0B44354}"/>
    <cellStyle name="Normal 8 3 4 2 3" xfId="5280" xr:uid="{00000000-0005-0000-0000-0000AD1D0000}"/>
    <cellStyle name="Normal 8 3 4 2 3 2" xfId="13730" xr:uid="{BDE29B37-5B8B-4152-81AE-AB9E9C26F16C}"/>
    <cellStyle name="Normal 8 3 4 2 4" xfId="9512" xr:uid="{5E22313E-FC9D-4347-B83E-DD9BB562B4B7}"/>
    <cellStyle name="Normal 8 3 4 3" xfId="1386" xr:uid="{00000000-0005-0000-0000-0000AE1D0000}"/>
    <cellStyle name="Normal 8 3 4 3 2" xfId="3616" xr:uid="{00000000-0005-0000-0000-0000AF1D0000}"/>
    <cellStyle name="Normal 8 3 4 3 2 2" xfId="7838" xr:uid="{00000000-0005-0000-0000-0000B01D0000}"/>
    <cellStyle name="Normal 8 3 4 3 2 2 2" xfId="16288" xr:uid="{89425794-7C2F-4403-967B-850EFF701ECA}"/>
    <cellStyle name="Normal 8 3 4 3 2 3" xfId="12070" xr:uid="{8BA3DCFD-79ED-49E9-99D9-CF390A46E989}"/>
    <cellStyle name="Normal 8 3 4 3 3" xfId="5693" xr:uid="{00000000-0005-0000-0000-0000B11D0000}"/>
    <cellStyle name="Normal 8 3 4 3 3 2" xfId="14143" xr:uid="{04E8677B-8105-4443-B11F-2B2DD22E0639}"/>
    <cellStyle name="Normal 8 3 4 3 4" xfId="9925" xr:uid="{D45DA959-2576-4D40-B0C2-DEEF9BC93B21}"/>
    <cellStyle name="Normal 8 3 4 4" xfId="1799" xr:uid="{00000000-0005-0000-0000-0000B21D0000}"/>
    <cellStyle name="Normal 8 3 4 4 2" xfId="4029" xr:uid="{00000000-0005-0000-0000-0000B31D0000}"/>
    <cellStyle name="Normal 8 3 4 4 2 2" xfId="8251" xr:uid="{00000000-0005-0000-0000-0000B41D0000}"/>
    <cellStyle name="Normal 8 3 4 4 2 2 2" xfId="16701" xr:uid="{3D150C96-57EF-4819-A0ED-E83F288CE2CB}"/>
    <cellStyle name="Normal 8 3 4 4 2 3" xfId="12483" xr:uid="{790CBED5-4E06-4CC7-9E90-2556DF2824BA}"/>
    <cellStyle name="Normal 8 3 4 4 3" xfId="6106" xr:uid="{00000000-0005-0000-0000-0000B51D0000}"/>
    <cellStyle name="Normal 8 3 4 4 3 2" xfId="14556" xr:uid="{2AA2A100-79C6-46EF-BF5E-9225D1CDD289}"/>
    <cellStyle name="Normal 8 3 4 4 4" xfId="10338" xr:uid="{9CBA7B6C-0582-436B-B59B-1EF8CD689619}"/>
    <cellStyle name="Normal 8 3 4 5" xfId="2213" xr:uid="{00000000-0005-0000-0000-0000B61D0000}"/>
    <cellStyle name="Normal 8 3 4 5 2" xfId="4442" xr:uid="{00000000-0005-0000-0000-0000B71D0000}"/>
    <cellStyle name="Normal 8 3 4 5 2 2" xfId="8664" xr:uid="{00000000-0005-0000-0000-0000B81D0000}"/>
    <cellStyle name="Normal 8 3 4 5 2 2 2" xfId="17114" xr:uid="{4B95CAD7-DF33-4DC4-A214-E5F663CA7E74}"/>
    <cellStyle name="Normal 8 3 4 5 2 3" xfId="12896" xr:uid="{A229EA17-BF77-4CD0-83D6-C81BA58E64FB}"/>
    <cellStyle name="Normal 8 3 4 5 3" xfId="6519" xr:uid="{00000000-0005-0000-0000-0000B91D0000}"/>
    <cellStyle name="Normal 8 3 4 5 3 2" xfId="14969" xr:uid="{525E7823-58EF-4264-A257-7AA15F63CF94}"/>
    <cellStyle name="Normal 8 3 4 5 4" xfId="10751" xr:uid="{D6F6D74D-C28D-4D3C-8783-A85832D71CC7}"/>
    <cellStyle name="Normal 8 3 4 6" xfId="2649" xr:uid="{00000000-0005-0000-0000-0000BA1D0000}"/>
    <cellStyle name="Normal 8 3 4 6 2" xfId="6932" xr:uid="{00000000-0005-0000-0000-0000BB1D0000}"/>
    <cellStyle name="Normal 8 3 4 6 2 2" xfId="15382" xr:uid="{108DD0FB-BD30-4AC7-A9F0-7A3D9284BC21}"/>
    <cellStyle name="Normal 8 3 4 6 3" xfId="11164" xr:uid="{FF428B2B-980A-4C13-97B9-64A03B0DDAC2}"/>
    <cellStyle name="Normal 8 3 4 7" xfId="4867" xr:uid="{00000000-0005-0000-0000-0000BC1D0000}"/>
    <cellStyle name="Normal 8 3 4 7 2" xfId="13317" xr:uid="{A5B2FA09-744C-4761-A05F-24808F588193}"/>
    <cellStyle name="Normal 8 3 4 8" xfId="9099" xr:uid="{45FA69FA-7E60-4DA3-A62D-8308CE7C6256}"/>
    <cellStyle name="Normal 8 3 5" xfId="962" xr:uid="{00000000-0005-0000-0000-0000BD1D0000}"/>
    <cellStyle name="Normal 8 3 5 2" xfId="3196" xr:uid="{00000000-0005-0000-0000-0000BE1D0000}"/>
    <cellStyle name="Normal 8 3 5 2 2" xfId="7418" xr:uid="{00000000-0005-0000-0000-0000BF1D0000}"/>
    <cellStyle name="Normal 8 3 5 2 2 2" xfId="15868" xr:uid="{75CC7F3E-0C75-4F5D-AE8B-25FCDC0571D9}"/>
    <cellStyle name="Normal 8 3 5 2 3" xfId="11650" xr:uid="{EEC02901-7380-4C59-9911-A374F09A248A}"/>
    <cellStyle name="Normal 8 3 5 3" xfId="5273" xr:uid="{00000000-0005-0000-0000-0000C01D0000}"/>
    <cellStyle name="Normal 8 3 5 3 2" xfId="13723" xr:uid="{6A73CB2A-2164-4899-8031-3DE5CC53539B}"/>
    <cellStyle name="Normal 8 3 5 4" xfId="9505" xr:uid="{5109C3A2-ACEC-4C11-99B6-623B66C93FEB}"/>
    <cellStyle name="Normal 8 3 6" xfId="1379" xr:uid="{00000000-0005-0000-0000-0000C11D0000}"/>
    <cellStyle name="Normal 8 3 6 2" xfId="3609" xr:uid="{00000000-0005-0000-0000-0000C21D0000}"/>
    <cellStyle name="Normal 8 3 6 2 2" xfId="7831" xr:uid="{00000000-0005-0000-0000-0000C31D0000}"/>
    <cellStyle name="Normal 8 3 6 2 2 2" xfId="16281" xr:uid="{677A5A61-A4EC-4ED6-88E6-843ECC25144C}"/>
    <cellStyle name="Normal 8 3 6 2 3" xfId="12063" xr:uid="{B8C1299D-D94E-4BB6-B07D-55C38720671B}"/>
    <cellStyle name="Normal 8 3 6 3" xfId="5686" xr:uid="{00000000-0005-0000-0000-0000C41D0000}"/>
    <cellStyle name="Normal 8 3 6 3 2" xfId="14136" xr:uid="{460E7D1D-0C31-4E54-A0CB-823335EDAAF5}"/>
    <cellStyle name="Normal 8 3 6 4" xfId="9918" xr:uid="{8B9DE8F9-35CE-4979-8C9D-612FDB14848F}"/>
    <cellStyle name="Normal 8 3 7" xfId="1792" xr:uid="{00000000-0005-0000-0000-0000C51D0000}"/>
    <cellStyle name="Normal 8 3 7 2" xfId="4022" xr:uid="{00000000-0005-0000-0000-0000C61D0000}"/>
    <cellStyle name="Normal 8 3 7 2 2" xfId="8244" xr:uid="{00000000-0005-0000-0000-0000C71D0000}"/>
    <cellStyle name="Normal 8 3 7 2 2 2" xfId="16694" xr:uid="{BA09D140-EBBA-46FC-8A47-FF3963198955}"/>
    <cellStyle name="Normal 8 3 7 2 3" xfId="12476" xr:uid="{FB71A507-43AA-4636-81A6-43F6EA929C30}"/>
    <cellStyle name="Normal 8 3 7 3" xfId="6099" xr:uid="{00000000-0005-0000-0000-0000C81D0000}"/>
    <cellStyle name="Normal 8 3 7 3 2" xfId="14549" xr:uid="{132AD11E-EBFE-4B0E-BE4D-BAA168EFFEBC}"/>
    <cellStyle name="Normal 8 3 7 4" xfId="10331" xr:uid="{94E1C3CB-B3F7-4F8E-B0CC-F459ADE42333}"/>
    <cellStyle name="Normal 8 3 8" xfId="2206" xr:uid="{00000000-0005-0000-0000-0000C91D0000}"/>
    <cellStyle name="Normal 8 3 8 2" xfId="4435" xr:uid="{00000000-0005-0000-0000-0000CA1D0000}"/>
    <cellStyle name="Normal 8 3 8 2 2" xfId="8657" xr:uid="{00000000-0005-0000-0000-0000CB1D0000}"/>
    <cellStyle name="Normal 8 3 8 2 2 2" xfId="17107" xr:uid="{B2E5064F-3765-4CB0-8C06-1FDC4FB9D19E}"/>
    <cellStyle name="Normal 8 3 8 2 3" xfId="12889" xr:uid="{EDA8C917-0772-42F7-B493-6342385949DA}"/>
    <cellStyle name="Normal 8 3 8 3" xfId="6512" xr:uid="{00000000-0005-0000-0000-0000CC1D0000}"/>
    <cellStyle name="Normal 8 3 8 3 2" xfId="14962" xr:uid="{183EB35C-4813-4A5F-B226-50BC3ACB3DFB}"/>
    <cellStyle name="Normal 8 3 8 4" xfId="10744" xr:uid="{D5A3D3AB-6C5A-4063-9DDB-51F501A5974A}"/>
    <cellStyle name="Normal 8 3 9" xfId="2642" xr:uid="{00000000-0005-0000-0000-0000CD1D0000}"/>
    <cellStyle name="Normal 8 3 9 2" xfId="6925" xr:uid="{00000000-0005-0000-0000-0000CE1D0000}"/>
    <cellStyle name="Normal 8 3 9 2 2" xfId="15375" xr:uid="{ED4BB2C2-F203-4D48-8F44-9A16BC2F159A}"/>
    <cellStyle name="Normal 8 3 9 3" xfId="11157" xr:uid="{7FBC9A9E-8B2E-4B08-89E7-2F0C92012E88}"/>
    <cellStyle name="Normal 8 4" xfId="503" xr:uid="{00000000-0005-0000-0000-0000CF1D0000}"/>
    <cellStyle name="Normal 8 4 10" xfId="9100" xr:uid="{01F41C29-FC3A-4BC6-B9C8-4502B6E408AB}"/>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5878" xr:uid="{7850F940-E261-405F-945F-1A9C2F935054}"/>
    <cellStyle name="Normal 8 4 2 2 2 2 3" xfId="11660" xr:uid="{83A7494D-59B6-4F26-B8FA-9FB445FF16AC}"/>
    <cellStyle name="Normal 8 4 2 2 2 3" xfId="5283" xr:uid="{00000000-0005-0000-0000-0000D51D0000}"/>
    <cellStyle name="Normal 8 4 2 2 2 3 2" xfId="13733" xr:uid="{F445E27F-0C33-46EE-BF85-BA9607CB3DD6}"/>
    <cellStyle name="Normal 8 4 2 2 2 4" xfId="9515" xr:uid="{4A5F0A1D-D11D-4DD0-8AA0-F158546D6C33}"/>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6291" xr:uid="{3DDE84E9-7CEC-45C1-9A15-8CE60A1E90EE}"/>
    <cellStyle name="Normal 8 4 2 2 3 2 3" xfId="12073" xr:uid="{B6A1805C-9188-4FC5-85E4-908D88863E31}"/>
    <cellStyle name="Normal 8 4 2 2 3 3" xfId="5696" xr:uid="{00000000-0005-0000-0000-0000D91D0000}"/>
    <cellStyle name="Normal 8 4 2 2 3 3 2" xfId="14146" xr:uid="{10034A47-4AA6-4E4D-AC53-28A55C9D4110}"/>
    <cellStyle name="Normal 8 4 2 2 3 4" xfId="9928" xr:uid="{B71AA886-D927-4FB1-8966-2241909361E2}"/>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6704" xr:uid="{F8654590-9F3A-484E-8487-7A0BDFCA75FA}"/>
    <cellStyle name="Normal 8 4 2 2 4 2 3" xfId="12486" xr:uid="{8250932C-0BF2-445E-A46D-729D1925FB0B}"/>
    <cellStyle name="Normal 8 4 2 2 4 3" xfId="6109" xr:uid="{00000000-0005-0000-0000-0000DD1D0000}"/>
    <cellStyle name="Normal 8 4 2 2 4 3 2" xfId="14559" xr:uid="{4E6867AC-AC6B-4490-8E1A-7D5976B023EE}"/>
    <cellStyle name="Normal 8 4 2 2 4 4" xfId="10341" xr:uid="{F4E834BD-27A9-4800-BC81-5B8852F9098A}"/>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117" xr:uid="{570894AA-6D48-4E3D-859D-29A9E37DBE28}"/>
    <cellStyle name="Normal 8 4 2 2 5 2 3" xfId="12899" xr:uid="{F873C21A-05C4-4F44-9CBE-292F683AF8F4}"/>
    <cellStyle name="Normal 8 4 2 2 5 3" xfId="6522" xr:uid="{00000000-0005-0000-0000-0000E11D0000}"/>
    <cellStyle name="Normal 8 4 2 2 5 3 2" xfId="14972" xr:uid="{1AB5B1B7-7F4F-4016-AB73-46F55F4A1067}"/>
    <cellStyle name="Normal 8 4 2 2 5 4" xfId="10754" xr:uid="{C37D00C2-CAE0-48F4-95DA-48D6FD539B0B}"/>
    <cellStyle name="Normal 8 4 2 2 6" xfId="2652" xr:uid="{00000000-0005-0000-0000-0000E21D0000}"/>
    <cellStyle name="Normal 8 4 2 2 6 2" xfId="6935" xr:uid="{00000000-0005-0000-0000-0000E31D0000}"/>
    <cellStyle name="Normal 8 4 2 2 6 2 2" xfId="15385" xr:uid="{C17088AF-BF99-4A3C-88A9-8E3B1797AA85}"/>
    <cellStyle name="Normal 8 4 2 2 6 3" xfId="11167" xr:uid="{1897E1F7-56E6-4E25-B795-A9A484C0C477}"/>
    <cellStyle name="Normal 8 4 2 2 7" xfId="4870" xr:uid="{00000000-0005-0000-0000-0000E41D0000}"/>
    <cellStyle name="Normal 8 4 2 2 7 2" xfId="13320" xr:uid="{43842F6C-6B00-4652-B45D-A3F100848AE3}"/>
    <cellStyle name="Normal 8 4 2 2 8" xfId="9102" xr:uid="{154DF9BB-7369-488A-A724-A2DF5CF08E3B}"/>
    <cellStyle name="Normal 8 4 2 3" xfId="971" xr:uid="{00000000-0005-0000-0000-0000E51D0000}"/>
    <cellStyle name="Normal 8 4 2 3 2" xfId="3205" xr:uid="{00000000-0005-0000-0000-0000E61D0000}"/>
    <cellStyle name="Normal 8 4 2 3 2 2" xfId="7427" xr:uid="{00000000-0005-0000-0000-0000E71D0000}"/>
    <cellStyle name="Normal 8 4 2 3 2 2 2" xfId="15877" xr:uid="{7D963B97-6D57-4877-A2E0-BA7E8F405682}"/>
    <cellStyle name="Normal 8 4 2 3 2 3" xfId="11659" xr:uid="{4F365CE3-F3A8-4725-9CA2-6FE55A721A03}"/>
    <cellStyle name="Normal 8 4 2 3 3" xfId="5282" xr:uid="{00000000-0005-0000-0000-0000E81D0000}"/>
    <cellStyle name="Normal 8 4 2 3 3 2" xfId="13732" xr:uid="{04DC9E34-2F3E-4375-8FE7-FB86D02FD7DC}"/>
    <cellStyle name="Normal 8 4 2 3 4" xfId="9514" xr:uid="{59810AEA-8B7B-46BE-8217-774145D91CA2}"/>
    <cellStyle name="Normal 8 4 2 4" xfId="1388" xr:uid="{00000000-0005-0000-0000-0000E91D0000}"/>
    <cellStyle name="Normal 8 4 2 4 2" xfId="3618" xr:uid="{00000000-0005-0000-0000-0000EA1D0000}"/>
    <cellStyle name="Normal 8 4 2 4 2 2" xfId="7840" xr:uid="{00000000-0005-0000-0000-0000EB1D0000}"/>
    <cellStyle name="Normal 8 4 2 4 2 2 2" xfId="16290" xr:uid="{7BA30D75-1A94-436D-B77C-7057CC0FD431}"/>
    <cellStyle name="Normal 8 4 2 4 2 3" xfId="12072" xr:uid="{6B36D4CA-5E49-4EC7-9597-A4B29D64101C}"/>
    <cellStyle name="Normal 8 4 2 4 3" xfId="5695" xr:uid="{00000000-0005-0000-0000-0000EC1D0000}"/>
    <cellStyle name="Normal 8 4 2 4 3 2" xfId="14145" xr:uid="{BC606242-18FC-4A7E-8B6D-D96AE3BCE569}"/>
    <cellStyle name="Normal 8 4 2 4 4" xfId="9927" xr:uid="{05197A6D-5B05-4390-BD1C-EA7912C6C696}"/>
    <cellStyle name="Normal 8 4 2 5" xfId="1801" xr:uid="{00000000-0005-0000-0000-0000ED1D0000}"/>
    <cellStyle name="Normal 8 4 2 5 2" xfId="4031" xr:uid="{00000000-0005-0000-0000-0000EE1D0000}"/>
    <cellStyle name="Normal 8 4 2 5 2 2" xfId="8253" xr:uid="{00000000-0005-0000-0000-0000EF1D0000}"/>
    <cellStyle name="Normal 8 4 2 5 2 2 2" xfId="16703" xr:uid="{4415A76A-A326-43CC-9E69-A1C464AA992F}"/>
    <cellStyle name="Normal 8 4 2 5 2 3" xfId="12485" xr:uid="{DE2848F8-FFC7-418A-8086-19D3065D40EB}"/>
    <cellStyle name="Normal 8 4 2 5 3" xfId="6108" xr:uid="{00000000-0005-0000-0000-0000F01D0000}"/>
    <cellStyle name="Normal 8 4 2 5 3 2" xfId="14558" xr:uid="{A85F2C1A-FE38-41C8-8C6E-C60D56AC83A5}"/>
    <cellStyle name="Normal 8 4 2 5 4" xfId="10340" xr:uid="{95AEBC59-3B47-4DB4-B100-5674B7787490}"/>
    <cellStyle name="Normal 8 4 2 6" xfId="2215" xr:uid="{00000000-0005-0000-0000-0000F11D0000}"/>
    <cellStyle name="Normal 8 4 2 6 2" xfId="4444" xr:uid="{00000000-0005-0000-0000-0000F21D0000}"/>
    <cellStyle name="Normal 8 4 2 6 2 2" xfId="8666" xr:uid="{00000000-0005-0000-0000-0000F31D0000}"/>
    <cellStyle name="Normal 8 4 2 6 2 2 2" xfId="17116" xr:uid="{9F52064C-A228-43E8-8D14-2AA6721ACAA0}"/>
    <cellStyle name="Normal 8 4 2 6 2 3" xfId="12898" xr:uid="{DE4B462F-0EAD-49EF-9423-DF981A6BF689}"/>
    <cellStyle name="Normal 8 4 2 6 3" xfId="6521" xr:uid="{00000000-0005-0000-0000-0000F41D0000}"/>
    <cellStyle name="Normal 8 4 2 6 3 2" xfId="14971" xr:uid="{01FC24FA-A80A-4AFC-981F-4E13A2B53DE7}"/>
    <cellStyle name="Normal 8 4 2 6 4" xfId="10753" xr:uid="{7A3B26EC-247E-41DC-9415-8433E707AC41}"/>
    <cellStyle name="Normal 8 4 2 7" xfId="2651" xr:uid="{00000000-0005-0000-0000-0000F51D0000}"/>
    <cellStyle name="Normal 8 4 2 7 2" xfId="6934" xr:uid="{00000000-0005-0000-0000-0000F61D0000}"/>
    <cellStyle name="Normal 8 4 2 7 2 2" xfId="15384" xr:uid="{98A90197-8617-4FE6-9731-70923F5D90CB}"/>
    <cellStyle name="Normal 8 4 2 7 3" xfId="11166" xr:uid="{C2F507AD-C749-4A7A-B123-379F9BE3E584}"/>
    <cellStyle name="Normal 8 4 2 8" xfId="4869" xr:uid="{00000000-0005-0000-0000-0000F71D0000}"/>
    <cellStyle name="Normal 8 4 2 8 2" xfId="13319" xr:uid="{06CD7C89-A5CC-404D-97FA-5A3609B12D20}"/>
    <cellStyle name="Normal 8 4 2 9" xfId="9101" xr:uid="{DDF7D1B1-C5F6-4D44-BF1F-8F1B5DC9A252}"/>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5879" xr:uid="{EDDF99E7-535B-4CBA-A0E0-018F0318A7FF}"/>
    <cellStyle name="Normal 8 4 3 2 2 3" xfId="11661" xr:uid="{FDF99FDF-D742-4185-B3DA-CA9929A52969}"/>
    <cellStyle name="Normal 8 4 3 2 3" xfId="5284" xr:uid="{00000000-0005-0000-0000-0000FC1D0000}"/>
    <cellStyle name="Normal 8 4 3 2 3 2" xfId="13734" xr:uid="{7ED59BF7-AD41-4000-A5A0-C99139B68A4B}"/>
    <cellStyle name="Normal 8 4 3 2 4" xfId="9516" xr:uid="{1AA12F8F-7D20-4625-B23C-9724A1BD579F}"/>
    <cellStyle name="Normal 8 4 3 3" xfId="1390" xr:uid="{00000000-0005-0000-0000-0000FD1D0000}"/>
    <cellStyle name="Normal 8 4 3 3 2" xfId="3620" xr:uid="{00000000-0005-0000-0000-0000FE1D0000}"/>
    <cellStyle name="Normal 8 4 3 3 2 2" xfId="7842" xr:uid="{00000000-0005-0000-0000-0000FF1D0000}"/>
    <cellStyle name="Normal 8 4 3 3 2 2 2" xfId="16292" xr:uid="{C5174C7D-D13F-46A9-858D-491BA028F85B}"/>
    <cellStyle name="Normal 8 4 3 3 2 3" xfId="12074" xr:uid="{18968A9A-0AA6-467D-B130-2095C2385E1B}"/>
    <cellStyle name="Normal 8 4 3 3 3" xfId="5697" xr:uid="{00000000-0005-0000-0000-0000001E0000}"/>
    <cellStyle name="Normal 8 4 3 3 3 2" xfId="14147" xr:uid="{A668F586-0690-47D1-B62D-FDD5C803700A}"/>
    <cellStyle name="Normal 8 4 3 3 4" xfId="9929" xr:uid="{B74DEC80-0FF9-4DF1-BEFF-3D7A5D252AC3}"/>
    <cellStyle name="Normal 8 4 3 4" xfId="1803" xr:uid="{00000000-0005-0000-0000-0000011E0000}"/>
    <cellStyle name="Normal 8 4 3 4 2" xfId="4033" xr:uid="{00000000-0005-0000-0000-0000021E0000}"/>
    <cellStyle name="Normal 8 4 3 4 2 2" xfId="8255" xr:uid="{00000000-0005-0000-0000-0000031E0000}"/>
    <cellStyle name="Normal 8 4 3 4 2 2 2" xfId="16705" xr:uid="{ED93F6FD-3BE2-47C5-8A36-1EC4B5C34CF3}"/>
    <cellStyle name="Normal 8 4 3 4 2 3" xfId="12487" xr:uid="{7B642FA2-2ADC-44B7-BA95-A05E85E00A51}"/>
    <cellStyle name="Normal 8 4 3 4 3" xfId="6110" xr:uid="{00000000-0005-0000-0000-0000041E0000}"/>
    <cellStyle name="Normal 8 4 3 4 3 2" xfId="14560" xr:uid="{93F7E739-5B78-42A0-896D-64831B012847}"/>
    <cellStyle name="Normal 8 4 3 4 4" xfId="10342" xr:uid="{494A67E0-41E9-4AF3-8B26-292A0B3DDBE1}"/>
    <cellStyle name="Normal 8 4 3 5" xfId="2217" xr:uid="{00000000-0005-0000-0000-0000051E0000}"/>
    <cellStyle name="Normal 8 4 3 5 2" xfId="4446" xr:uid="{00000000-0005-0000-0000-0000061E0000}"/>
    <cellStyle name="Normal 8 4 3 5 2 2" xfId="8668" xr:uid="{00000000-0005-0000-0000-0000071E0000}"/>
    <cellStyle name="Normal 8 4 3 5 2 2 2" xfId="17118" xr:uid="{A8AA0C54-B4F3-46A5-A52A-A01DF5C12A72}"/>
    <cellStyle name="Normal 8 4 3 5 2 3" xfId="12900" xr:uid="{5228C956-51DF-44FC-9C5D-FBF9338AC718}"/>
    <cellStyle name="Normal 8 4 3 5 3" xfId="6523" xr:uid="{00000000-0005-0000-0000-0000081E0000}"/>
    <cellStyle name="Normal 8 4 3 5 3 2" xfId="14973" xr:uid="{E7791637-AAFD-4D21-AC19-41AFBC553E36}"/>
    <cellStyle name="Normal 8 4 3 5 4" xfId="10755" xr:uid="{C33963C5-E7CA-4158-A292-4F37778A4F22}"/>
    <cellStyle name="Normal 8 4 3 6" xfId="2653" xr:uid="{00000000-0005-0000-0000-0000091E0000}"/>
    <cellStyle name="Normal 8 4 3 6 2" xfId="6936" xr:uid="{00000000-0005-0000-0000-00000A1E0000}"/>
    <cellStyle name="Normal 8 4 3 6 2 2" xfId="15386" xr:uid="{D19078CD-B241-4B53-8D6A-36270259D75C}"/>
    <cellStyle name="Normal 8 4 3 6 3" xfId="11168" xr:uid="{7B792FCA-165B-41A4-B1BF-C4C221998AE3}"/>
    <cellStyle name="Normal 8 4 3 7" xfId="4871" xr:uid="{00000000-0005-0000-0000-00000B1E0000}"/>
    <cellStyle name="Normal 8 4 3 7 2" xfId="13321" xr:uid="{4C602ECC-B95C-41E5-9261-719DE8E2CA00}"/>
    <cellStyle name="Normal 8 4 3 8" xfId="9103" xr:uid="{531230C3-5343-4CC4-B07C-6F77034A6D3B}"/>
    <cellStyle name="Normal 8 4 4" xfId="970" xr:uid="{00000000-0005-0000-0000-00000C1E0000}"/>
    <cellStyle name="Normal 8 4 4 2" xfId="3204" xr:uid="{00000000-0005-0000-0000-00000D1E0000}"/>
    <cellStyle name="Normal 8 4 4 2 2" xfId="7426" xr:uid="{00000000-0005-0000-0000-00000E1E0000}"/>
    <cellStyle name="Normal 8 4 4 2 2 2" xfId="15876" xr:uid="{D6D52222-42C6-45AD-BB32-A4024171E7B8}"/>
    <cellStyle name="Normal 8 4 4 2 3" xfId="11658" xr:uid="{94C48976-E91C-406C-BC9D-BF47C7697C9F}"/>
    <cellStyle name="Normal 8 4 4 3" xfId="5281" xr:uid="{00000000-0005-0000-0000-00000F1E0000}"/>
    <cellStyle name="Normal 8 4 4 3 2" xfId="13731" xr:uid="{5E28FDBF-FEF0-41E3-AC83-DCC361D1B5D2}"/>
    <cellStyle name="Normal 8 4 4 4" xfId="9513" xr:uid="{059552DC-8392-4D81-9367-CAED93306C0B}"/>
    <cellStyle name="Normal 8 4 5" xfId="1387" xr:uid="{00000000-0005-0000-0000-0000101E0000}"/>
    <cellStyle name="Normal 8 4 5 2" xfId="3617" xr:uid="{00000000-0005-0000-0000-0000111E0000}"/>
    <cellStyle name="Normal 8 4 5 2 2" xfId="7839" xr:uid="{00000000-0005-0000-0000-0000121E0000}"/>
    <cellStyle name="Normal 8 4 5 2 2 2" xfId="16289" xr:uid="{53A32A92-C56A-47AC-92F1-21151D5D8180}"/>
    <cellStyle name="Normal 8 4 5 2 3" xfId="12071" xr:uid="{FF65AB52-07E3-4C2C-900F-D6791C628EFD}"/>
    <cellStyle name="Normal 8 4 5 3" xfId="5694" xr:uid="{00000000-0005-0000-0000-0000131E0000}"/>
    <cellStyle name="Normal 8 4 5 3 2" xfId="14144" xr:uid="{9C969C93-956E-4D87-A18B-B9968120339B}"/>
    <cellStyle name="Normal 8 4 5 4" xfId="9926" xr:uid="{362506D5-251A-41E0-9406-397B58B7273A}"/>
    <cellStyle name="Normal 8 4 6" xfId="1800" xr:uid="{00000000-0005-0000-0000-0000141E0000}"/>
    <cellStyle name="Normal 8 4 6 2" xfId="4030" xr:uid="{00000000-0005-0000-0000-0000151E0000}"/>
    <cellStyle name="Normal 8 4 6 2 2" xfId="8252" xr:uid="{00000000-0005-0000-0000-0000161E0000}"/>
    <cellStyle name="Normal 8 4 6 2 2 2" xfId="16702" xr:uid="{CF03EC8F-16BD-41C0-A894-9D28DF89A295}"/>
    <cellStyle name="Normal 8 4 6 2 3" xfId="12484" xr:uid="{04691755-42E4-41EE-938F-FA58B45B1BC6}"/>
    <cellStyle name="Normal 8 4 6 3" xfId="6107" xr:uid="{00000000-0005-0000-0000-0000171E0000}"/>
    <cellStyle name="Normal 8 4 6 3 2" xfId="14557" xr:uid="{4F1A7B50-2E54-48F1-A2E7-ABF5FBD590D4}"/>
    <cellStyle name="Normal 8 4 6 4" xfId="10339" xr:uid="{EFFB9AAB-3D50-4358-A92D-997A2E5D2896}"/>
    <cellStyle name="Normal 8 4 7" xfId="2214" xr:uid="{00000000-0005-0000-0000-0000181E0000}"/>
    <cellStyle name="Normal 8 4 7 2" xfId="4443" xr:uid="{00000000-0005-0000-0000-0000191E0000}"/>
    <cellStyle name="Normal 8 4 7 2 2" xfId="8665" xr:uid="{00000000-0005-0000-0000-00001A1E0000}"/>
    <cellStyle name="Normal 8 4 7 2 2 2" xfId="17115" xr:uid="{AEA8174C-B35A-4E5D-85F1-F3B343BF8E19}"/>
    <cellStyle name="Normal 8 4 7 2 3" xfId="12897" xr:uid="{737E321A-FA1F-4E36-AEDD-8810FF9E59DC}"/>
    <cellStyle name="Normal 8 4 7 3" xfId="6520" xr:uid="{00000000-0005-0000-0000-00001B1E0000}"/>
    <cellStyle name="Normal 8 4 7 3 2" xfId="14970" xr:uid="{A896070E-B6CA-4F11-B5C2-1D1027F55440}"/>
    <cellStyle name="Normal 8 4 7 4" xfId="10752" xr:uid="{3AE0CF7A-7D1E-4C03-8102-A801D520CD52}"/>
    <cellStyle name="Normal 8 4 8" xfId="2650" xr:uid="{00000000-0005-0000-0000-00001C1E0000}"/>
    <cellStyle name="Normal 8 4 8 2" xfId="6933" xr:uid="{00000000-0005-0000-0000-00001D1E0000}"/>
    <cellStyle name="Normal 8 4 8 2 2" xfId="15383" xr:uid="{0C8D95AC-C505-48F4-BD0D-A264DE2D795C}"/>
    <cellStyle name="Normal 8 4 8 3" xfId="11165" xr:uid="{E383628F-A9EC-48CF-9450-E6A5CB3FFF04}"/>
    <cellStyle name="Normal 8 4 9" xfId="4868" xr:uid="{00000000-0005-0000-0000-00001E1E0000}"/>
    <cellStyle name="Normal 8 4 9 2" xfId="13318" xr:uid="{A55A6C8F-B229-42A0-AF8D-BE195FF2C7CB}"/>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5881" xr:uid="{313F8239-1043-4950-92A1-68D1840233F5}"/>
    <cellStyle name="Normal 8 5 2 2 2 3" xfId="11663" xr:uid="{92605DCD-C4CD-4651-972F-D7A3127E84BC}"/>
    <cellStyle name="Normal 8 5 2 2 3" xfId="5286" xr:uid="{00000000-0005-0000-0000-0000241E0000}"/>
    <cellStyle name="Normal 8 5 2 2 3 2" xfId="13736" xr:uid="{6E68D60B-AF6C-4747-88CD-2C0C627A79DB}"/>
    <cellStyle name="Normal 8 5 2 2 4" xfId="9518" xr:uid="{45C7339E-FE74-45E4-9F75-EFAD448D70A7}"/>
    <cellStyle name="Normal 8 5 2 3" xfId="1392" xr:uid="{00000000-0005-0000-0000-0000251E0000}"/>
    <cellStyle name="Normal 8 5 2 3 2" xfId="3622" xr:uid="{00000000-0005-0000-0000-0000261E0000}"/>
    <cellStyle name="Normal 8 5 2 3 2 2" xfId="7844" xr:uid="{00000000-0005-0000-0000-0000271E0000}"/>
    <cellStyle name="Normal 8 5 2 3 2 2 2" xfId="16294" xr:uid="{0D2FD27B-B230-4217-AEB6-8622E12FC0B0}"/>
    <cellStyle name="Normal 8 5 2 3 2 3" xfId="12076" xr:uid="{94327EC2-FF49-4360-86D3-2BF02D710062}"/>
    <cellStyle name="Normal 8 5 2 3 3" xfId="5699" xr:uid="{00000000-0005-0000-0000-0000281E0000}"/>
    <cellStyle name="Normal 8 5 2 3 3 2" xfId="14149" xr:uid="{314CF361-A226-474B-AABC-1954F13925C9}"/>
    <cellStyle name="Normal 8 5 2 3 4" xfId="9931" xr:uid="{7073B9A6-C65A-4FCA-8604-83E85AEE64B8}"/>
    <cellStyle name="Normal 8 5 2 4" xfId="1805" xr:uid="{00000000-0005-0000-0000-0000291E0000}"/>
    <cellStyle name="Normal 8 5 2 4 2" xfId="4035" xr:uid="{00000000-0005-0000-0000-00002A1E0000}"/>
    <cellStyle name="Normal 8 5 2 4 2 2" xfId="8257" xr:uid="{00000000-0005-0000-0000-00002B1E0000}"/>
    <cellStyle name="Normal 8 5 2 4 2 2 2" xfId="16707" xr:uid="{AF80EA30-3051-43BF-BF32-289B3815AB4A}"/>
    <cellStyle name="Normal 8 5 2 4 2 3" xfId="12489" xr:uid="{5F7DFA81-A819-42E2-B330-A1D0A491B1DD}"/>
    <cellStyle name="Normal 8 5 2 4 3" xfId="6112" xr:uid="{00000000-0005-0000-0000-00002C1E0000}"/>
    <cellStyle name="Normal 8 5 2 4 3 2" xfId="14562" xr:uid="{58BC19BF-65A4-43D7-A2D2-BAB75C21B389}"/>
    <cellStyle name="Normal 8 5 2 4 4" xfId="10344" xr:uid="{4731C41B-9B8A-4AE1-8D1B-82FB4FA68CE6}"/>
    <cellStyle name="Normal 8 5 2 5" xfId="2219" xr:uid="{00000000-0005-0000-0000-00002D1E0000}"/>
    <cellStyle name="Normal 8 5 2 5 2" xfId="4448" xr:uid="{00000000-0005-0000-0000-00002E1E0000}"/>
    <cellStyle name="Normal 8 5 2 5 2 2" xfId="8670" xr:uid="{00000000-0005-0000-0000-00002F1E0000}"/>
    <cellStyle name="Normal 8 5 2 5 2 2 2" xfId="17120" xr:uid="{327BEA2E-D184-4F84-8AF5-91236A0A8AA9}"/>
    <cellStyle name="Normal 8 5 2 5 2 3" xfId="12902" xr:uid="{4BF98BB6-8020-4E5D-949D-F63800F731F3}"/>
    <cellStyle name="Normal 8 5 2 5 3" xfId="6525" xr:uid="{00000000-0005-0000-0000-0000301E0000}"/>
    <cellStyle name="Normal 8 5 2 5 3 2" xfId="14975" xr:uid="{EDAEA7A3-4C52-4DFE-A577-239CEB820947}"/>
    <cellStyle name="Normal 8 5 2 5 4" xfId="10757" xr:uid="{845ED15B-5599-4528-A6E3-05546E320D4B}"/>
    <cellStyle name="Normal 8 5 2 6" xfId="2655" xr:uid="{00000000-0005-0000-0000-0000311E0000}"/>
    <cellStyle name="Normal 8 5 2 6 2" xfId="6938" xr:uid="{00000000-0005-0000-0000-0000321E0000}"/>
    <cellStyle name="Normal 8 5 2 6 2 2" xfId="15388" xr:uid="{F77B13C0-A62D-4CC5-948D-11B810C12D20}"/>
    <cellStyle name="Normal 8 5 2 6 3" xfId="11170" xr:uid="{AFEAF919-2098-4D23-AE0E-B8667EDC4BDA}"/>
    <cellStyle name="Normal 8 5 2 7" xfId="4873" xr:uid="{00000000-0005-0000-0000-0000331E0000}"/>
    <cellStyle name="Normal 8 5 2 7 2" xfId="13323" xr:uid="{A5B42F89-19A1-472D-8319-D651F6741A82}"/>
    <cellStyle name="Normal 8 5 2 8" xfId="9105" xr:uid="{0B7215C9-48C1-493C-AACF-01ED7825B9D4}"/>
    <cellStyle name="Normal 8 5 3" xfId="974" xr:uid="{00000000-0005-0000-0000-0000341E0000}"/>
    <cellStyle name="Normal 8 5 3 2" xfId="3208" xr:uid="{00000000-0005-0000-0000-0000351E0000}"/>
    <cellStyle name="Normal 8 5 3 2 2" xfId="7430" xr:uid="{00000000-0005-0000-0000-0000361E0000}"/>
    <cellStyle name="Normal 8 5 3 2 2 2" xfId="15880" xr:uid="{317227B8-5BA3-4B43-8824-8ABFEB5D7A9B}"/>
    <cellStyle name="Normal 8 5 3 2 3" xfId="11662" xr:uid="{31FF36D0-D899-4C75-842D-F24089C52351}"/>
    <cellStyle name="Normal 8 5 3 3" xfId="5285" xr:uid="{00000000-0005-0000-0000-0000371E0000}"/>
    <cellStyle name="Normal 8 5 3 3 2" xfId="13735" xr:uid="{422E3831-C49B-4D63-A295-2265DD399071}"/>
    <cellStyle name="Normal 8 5 3 4" xfId="9517" xr:uid="{D29ABCE3-3E6A-450E-BF2D-23384DC37C1D}"/>
    <cellStyle name="Normal 8 5 4" xfId="1391" xr:uid="{00000000-0005-0000-0000-0000381E0000}"/>
    <cellStyle name="Normal 8 5 4 2" xfId="3621" xr:uid="{00000000-0005-0000-0000-0000391E0000}"/>
    <cellStyle name="Normal 8 5 4 2 2" xfId="7843" xr:uid="{00000000-0005-0000-0000-00003A1E0000}"/>
    <cellStyle name="Normal 8 5 4 2 2 2" xfId="16293" xr:uid="{E261E154-FFD8-4B13-B6A3-CE186B26E91A}"/>
    <cellStyle name="Normal 8 5 4 2 3" xfId="12075" xr:uid="{4D120A3E-11F7-44F2-9702-89A0304905C9}"/>
    <cellStyle name="Normal 8 5 4 3" xfId="5698" xr:uid="{00000000-0005-0000-0000-00003B1E0000}"/>
    <cellStyle name="Normal 8 5 4 3 2" xfId="14148" xr:uid="{C88018B2-22BA-46C6-BE63-C8B88BB6A678}"/>
    <cellStyle name="Normal 8 5 4 4" xfId="9930" xr:uid="{C87BBB4E-257C-4B10-B7E3-31078008E1DB}"/>
    <cellStyle name="Normal 8 5 5" xfId="1804" xr:uid="{00000000-0005-0000-0000-00003C1E0000}"/>
    <cellStyle name="Normal 8 5 5 2" xfId="4034" xr:uid="{00000000-0005-0000-0000-00003D1E0000}"/>
    <cellStyle name="Normal 8 5 5 2 2" xfId="8256" xr:uid="{00000000-0005-0000-0000-00003E1E0000}"/>
    <cellStyle name="Normal 8 5 5 2 2 2" xfId="16706" xr:uid="{B9CB8CEE-D264-4AFA-995E-4BE6894F8AE3}"/>
    <cellStyle name="Normal 8 5 5 2 3" xfId="12488" xr:uid="{5AECF246-7DF5-4332-A289-BA9BA73C1C82}"/>
    <cellStyle name="Normal 8 5 5 3" xfId="6111" xr:uid="{00000000-0005-0000-0000-00003F1E0000}"/>
    <cellStyle name="Normal 8 5 5 3 2" xfId="14561" xr:uid="{40162788-4878-49AD-A1C1-121E26C0345B}"/>
    <cellStyle name="Normal 8 5 5 4" xfId="10343" xr:uid="{2277958F-B762-43E8-9643-ECC74D03EB34}"/>
    <cellStyle name="Normal 8 5 6" xfId="2218" xr:uid="{00000000-0005-0000-0000-0000401E0000}"/>
    <cellStyle name="Normal 8 5 6 2" xfId="4447" xr:uid="{00000000-0005-0000-0000-0000411E0000}"/>
    <cellStyle name="Normal 8 5 6 2 2" xfId="8669" xr:uid="{00000000-0005-0000-0000-0000421E0000}"/>
    <cellStyle name="Normal 8 5 6 2 2 2" xfId="17119" xr:uid="{D9F76513-9BB5-4C2A-8C0C-33AB362650E3}"/>
    <cellStyle name="Normal 8 5 6 2 3" xfId="12901" xr:uid="{8E62D120-FFCC-4717-A211-60E66C8CA1E8}"/>
    <cellStyle name="Normal 8 5 6 3" xfId="6524" xr:uid="{00000000-0005-0000-0000-0000431E0000}"/>
    <cellStyle name="Normal 8 5 6 3 2" xfId="14974" xr:uid="{43689CAC-E2F5-4777-8E31-20FD87943FFE}"/>
    <cellStyle name="Normal 8 5 6 4" xfId="10756" xr:uid="{3E980183-9F71-4E25-A7EC-7849EC9449CF}"/>
    <cellStyle name="Normal 8 5 7" xfId="2654" xr:uid="{00000000-0005-0000-0000-0000441E0000}"/>
    <cellStyle name="Normal 8 5 7 2" xfId="6937" xr:uid="{00000000-0005-0000-0000-0000451E0000}"/>
    <cellStyle name="Normal 8 5 7 2 2" xfId="15387" xr:uid="{E76F9B70-3DC0-4579-8E02-96379C1CEF07}"/>
    <cellStyle name="Normal 8 5 7 3" xfId="11169" xr:uid="{85813231-C11A-4462-A4BB-C6F037DFA4DE}"/>
    <cellStyle name="Normal 8 5 8" xfId="4872" xr:uid="{00000000-0005-0000-0000-0000461E0000}"/>
    <cellStyle name="Normal 8 5 8 2" xfId="13322" xr:uid="{1E688D43-FFDE-4DD1-9024-E7BFF6337261}"/>
    <cellStyle name="Normal 8 5 9" xfId="9104" xr:uid="{AECE42C1-08A1-48A6-AC09-F4D75B12488B}"/>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5882" xr:uid="{EEC6A128-E756-459B-865D-577FE74C2D7C}"/>
    <cellStyle name="Normal 8 6 2 2 3" xfId="11664" xr:uid="{3166C6AA-A59B-4D82-A2BB-13A31B13B572}"/>
    <cellStyle name="Normal 8 6 2 3" xfId="5287" xr:uid="{00000000-0005-0000-0000-00004B1E0000}"/>
    <cellStyle name="Normal 8 6 2 3 2" xfId="13737" xr:uid="{4BE3FACF-C266-4818-8ADC-05BA9C90B230}"/>
    <cellStyle name="Normal 8 6 2 4" xfId="9519" xr:uid="{B3396E6D-6696-49AE-BE23-AD45528EFA26}"/>
    <cellStyle name="Normal 8 6 3" xfId="1393" xr:uid="{00000000-0005-0000-0000-00004C1E0000}"/>
    <cellStyle name="Normal 8 6 3 2" xfId="3623" xr:uid="{00000000-0005-0000-0000-00004D1E0000}"/>
    <cellStyle name="Normal 8 6 3 2 2" xfId="7845" xr:uid="{00000000-0005-0000-0000-00004E1E0000}"/>
    <cellStyle name="Normal 8 6 3 2 2 2" xfId="16295" xr:uid="{A40DEEA6-670A-4B58-8A81-97E48E666468}"/>
    <cellStyle name="Normal 8 6 3 2 3" xfId="12077" xr:uid="{E5C852C4-1FE4-4933-A5BE-70213F1DD270}"/>
    <cellStyle name="Normal 8 6 3 3" xfId="5700" xr:uid="{00000000-0005-0000-0000-00004F1E0000}"/>
    <cellStyle name="Normal 8 6 3 3 2" xfId="14150" xr:uid="{FEDA3508-965B-4C5D-A647-58A9B2BBE071}"/>
    <cellStyle name="Normal 8 6 3 4" xfId="9932" xr:uid="{C9D1C277-1F50-4F5D-A198-1B1D68E1D00D}"/>
    <cellStyle name="Normal 8 6 4" xfId="1806" xr:uid="{00000000-0005-0000-0000-0000501E0000}"/>
    <cellStyle name="Normal 8 6 4 2" xfId="4036" xr:uid="{00000000-0005-0000-0000-0000511E0000}"/>
    <cellStyle name="Normal 8 6 4 2 2" xfId="8258" xr:uid="{00000000-0005-0000-0000-0000521E0000}"/>
    <cellStyle name="Normal 8 6 4 2 2 2" xfId="16708" xr:uid="{9206A06B-5569-4A21-858E-6760132F4CEA}"/>
    <cellStyle name="Normal 8 6 4 2 3" xfId="12490" xr:uid="{0016AC07-0220-44C4-9CBE-83526C1EAF21}"/>
    <cellStyle name="Normal 8 6 4 3" xfId="6113" xr:uid="{00000000-0005-0000-0000-0000531E0000}"/>
    <cellStyle name="Normal 8 6 4 3 2" xfId="14563" xr:uid="{F232F6FF-EB64-49DE-9DB6-D7F18230958D}"/>
    <cellStyle name="Normal 8 6 4 4" xfId="10345" xr:uid="{42C30C4A-F320-48F9-BFFC-E7210E4C6A2A}"/>
    <cellStyle name="Normal 8 6 5" xfId="2220" xr:uid="{00000000-0005-0000-0000-0000541E0000}"/>
    <cellStyle name="Normal 8 6 5 2" xfId="4449" xr:uid="{00000000-0005-0000-0000-0000551E0000}"/>
    <cellStyle name="Normal 8 6 5 2 2" xfId="8671" xr:uid="{00000000-0005-0000-0000-0000561E0000}"/>
    <cellStyle name="Normal 8 6 5 2 2 2" xfId="17121" xr:uid="{33313E58-990A-4A5E-AE5A-D43946523A8C}"/>
    <cellStyle name="Normal 8 6 5 2 3" xfId="12903" xr:uid="{DCABDAEA-8402-49A7-98B3-29978C1D4AE0}"/>
    <cellStyle name="Normal 8 6 5 3" xfId="6526" xr:uid="{00000000-0005-0000-0000-0000571E0000}"/>
    <cellStyle name="Normal 8 6 5 3 2" xfId="14976" xr:uid="{0F308647-D9CC-47E9-9521-8A5202CBBEB8}"/>
    <cellStyle name="Normal 8 6 5 4" xfId="10758" xr:uid="{8D30F4D8-3DFC-4D5B-810B-B57535FEAB8D}"/>
    <cellStyle name="Normal 8 6 6" xfId="2656" xr:uid="{00000000-0005-0000-0000-0000581E0000}"/>
    <cellStyle name="Normal 8 6 6 2" xfId="6939" xr:uid="{00000000-0005-0000-0000-0000591E0000}"/>
    <cellStyle name="Normal 8 6 6 2 2" xfId="15389" xr:uid="{451E58C3-C29F-4E23-8F37-580FF72565B6}"/>
    <cellStyle name="Normal 8 6 6 3" xfId="11171" xr:uid="{BDC51EC4-E21A-4D02-ADFC-5AF3AECB9B43}"/>
    <cellStyle name="Normal 8 6 7" xfId="4874" xr:uid="{00000000-0005-0000-0000-00005A1E0000}"/>
    <cellStyle name="Normal 8 6 7 2" xfId="13324" xr:uid="{FA1770F7-AA68-4D5D-8686-7D9B65B7AB8B}"/>
    <cellStyle name="Normal 8 6 8" xfId="9106" xr:uid="{C5D57B31-A392-433B-9BC8-07C1CA67F5E0}"/>
    <cellStyle name="Normal 8 7" xfId="945" xr:uid="{00000000-0005-0000-0000-00005B1E0000}"/>
    <cellStyle name="Normal 8 7 2" xfId="3179" xr:uid="{00000000-0005-0000-0000-00005C1E0000}"/>
    <cellStyle name="Normal 8 7 2 2" xfId="7401" xr:uid="{00000000-0005-0000-0000-00005D1E0000}"/>
    <cellStyle name="Normal 8 7 2 2 2" xfId="15851" xr:uid="{C757809A-8C14-402B-9FD6-2D48898F2C1C}"/>
    <cellStyle name="Normal 8 7 2 3" xfId="11633" xr:uid="{5354ABE7-0016-43DB-BC39-F126BD3D396A}"/>
    <cellStyle name="Normal 8 7 3" xfId="5256" xr:uid="{00000000-0005-0000-0000-00005E1E0000}"/>
    <cellStyle name="Normal 8 7 3 2" xfId="13706" xr:uid="{D403F8F2-38FF-4F76-A013-8A9A6C380CD6}"/>
    <cellStyle name="Normal 8 7 4" xfId="9488" xr:uid="{582548F4-625D-42FF-B861-0C3F6CBD206A}"/>
    <cellStyle name="Normal 8 8" xfId="1362" xr:uid="{00000000-0005-0000-0000-00005F1E0000}"/>
    <cellStyle name="Normal 8 8 2" xfId="3592" xr:uid="{00000000-0005-0000-0000-0000601E0000}"/>
    <cellStyle name="Normal 8 8 2 2" xfId="7814" xr:uid="{00000000-0005-0000-0000-0000611E0000}"/>
    <cellStyle name="Normal 8 8 2 2 2" xfId="16264" xr:uid="{748AA431-523A-44AD-8B46-1ED0BAA411F6}"/>
    <cellStyle name="Normal 8 8 2 3" xfId="12046" xr:uid="{A942D789-B979-413A-8769-016D1D94547C}"/>
    <cellStyle name="Normal 8 8 3" xfId="5669" xr:uid="{00000000-0005-0000-0000-0000621E0000}"/>
    <cellStyle name="Normal 8 8 3 2" xfId="14119" xr:uid="{7E8756FB-A3C4-4868-8811-966151E68632}"/>
    <cellStyle name="Normal 8 8 4" xfId="9901" xr:uid="{70626BCD-68AD-4E26-8ABF-096D492752D7}"/>
    <cellStyle name="Normal 8 9" xfId="1775" xr:uid="{00000000-0005-0000-0000-0000631E0000}"/>
    <cellStyle name="Normal 8 9 2" xfId="4005" xr:uid="{00000000-0005-0000-0000-0000641E0000}"/>
    <cellStyle name="Normal 8 9 2 2" xfId="8227" xr:uid="{00000000-0005-0000-0000-0000651E0000}"/>
    <cellStyle name="Normal 8 9 2 2 2" xfId="16677" xr:uid="{AD12A9D1-6FF9-4630-B98D-735C7E24C2B9}"/>
    <cellStyle name="Normal 8 9 2 3" xfId="12459" xr:uid="{9A2579DB-58F2-4F78-BB87-8D734769F30A}"/>
    <cellStyle name="Normal 8 9 3" xfId="6082" xr:uid="{00000000-0005-0000-0000-0000661E0000}"/>
    <cellStyle name="Normal 8 9 3 2" xfId="14532" xr:uid="{25BBFB14-B335-4681-AFE5-AD4742503F14}"/>
    <cellStyle name="Normal 8 9 4" xfId="10314" xr:uid="{C5CF3FDE-FD44-429B-8407-291A5CF8231C}"/>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5390" xr:uid="{B2C7DB9C-D501-4CBE-8707-5A805A7D9157}"/>
    <cellStyle name="Normal 9 2 10 3" xfId="11172" xr:uid="{975B54C0-07D7-4AD2-B2EA-B5E6FB4F06ED}"/>
    <cellStyle name="Normal 9 2 11" xfId="4875" xr:uid="{00000000-0005-0000-0000-00006B1E0000}"/>
    <cellStyle name="Normal 9 2 11 2" xfId="13325" xr:uid="{131862F4-F059-4033-AB43-EC2315A0F2DB}"/>
    <cellStyle name="Normal 9 2 12" xfId="9107" xr:uid="{6FC6F95C-51D8-4D2A-B428-3474D1BEAA98}"/>
    <cellStyle name="Normal 9 2 2" xfId="512" xr:uid="{00000000-0005-0000-0000-00006C1E0000}"/>
    <cellStyle name="Normal 9 2 2 10" xfId="4876" xr:uid="{00000000-0005-0000-0000-00006D1E0000}"/>
    <cellStyle name="Normal 9 2 2 10 2" xfId="13326" xr:uid="{407E3561-1C01-4E84-8B3F-03E463D20B0E}"/>
    <cellStyle name="Normal 9 2 2 11" xfId="9108" xr:uid="{379E5B96-3771-43FD-9588-D350B2A70DD6}"/>
    <cellStyle name="Normal 9 2 2 2" xfId="513" xr:uid="{00000000-0005-0000-0000-00006E1E0000}"/>
    <cellStyle name="Normal 9 2 2 2 10" xfId="9109" xr:uid="{E42E3F6F-41CD-4C52-B5B7-1C7A47E83A38}"/>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5887" xr:uid="{A176B4EC-6FAB-4BBC-9F2A-C4890592EE40}"/>
    <cellStyle name="Normal 9 2 2 2 2 2 2 2 3" xfId="11669" xr:uid="{7A98C282-767A-4A73-9159-C1C54A9D066C}"/>
    <cellStyle name="Normal 9 2 2 2 2 2 2 3" xfId="5292" xr:uid="{00000000-0005-0000-0000-0000741E0000}"/>
    <cellStyle name="Normal 9 2 2 2 2 2 2 3 2" xfId="13742" xr:uid="{E64998C0-F360-4AE1-86C9-E4FA2685953B}"/>
    <cellStyle name="Normal 9 2 2 2 2 2 2 4" xfId="9524" xr:uid="{D2FDF9AC-7FEB-4B2F-A9B5-BBF5F78E3253}"/>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6300" xr:uid="{114A29C2-2A2B-4FA6-AC82-DB93BCD1290D}"/>
    <cellStyle name="Normal 9 2 2 2 2 2 3 2 3" xfId="12082" xr:uid="{2D53B450-1B83-4437-8E61-77BA67DAF8F6}"/>
    <cellStyle name="Normal 9 2 2 2 2 2 3 3" xfId="5705" xr:uid="{00000000-0005-0000-0000-0000781E0000}"/>
    <cellStyle name="Normal 9 2 2 2 2 2 3 3 2" xfId="14155" xr:uid="{7BB6E9A0-7A29-47ED-90C5-91ACC2731B19}"/>
    <cellStyle name="Normal 9 2 2 2 2 2 3 4" xfId="9937" xr:uid="{DF556C1F-F45B-42B9-9CE2-BC0007CA9DA3}"/>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6713" xr:uid="{3309B38B-4A0C-43AD-996C-09F256B94A8E}"/>
    <cellStyle name="Normal 9 2 2 2 2 2 4 2 3" xfId="12495" xr:uid="{B05B8B15-93E9-4E4F-882B-07650EB76572}"/>
    <cellStyle name="Normal 9 2 2 2 2 2 4 3" xfId="6118" xr:uid="{00000000-0005-0000-0000-00007C1E0000}"/>
    <cellStyle name="Normal 9 2 2 2 2 2 4 3 2" xfId="14568" xr:uid="{9EF441F4-6F91-4C2C-8E5C-CC4C01C4D288}"/>
    <cellStyle name="Normal 9 2 2 2 2 2 4 4" xfId="10350" xr:uid="{F3B02395-BF4E-49AB-A176-1CA185C0F2F8}"/>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7126" xr:uid="{CAD8E2E0-52CC-493E-836E-2CABA8E649A6}"/>
    <cellStyle name="Normal 9 2 2 2 2 2 5 2 3" xfId="12908" xr:uid="{1E477FFC-0BAC-49DC-AE63-B27A8A6F5EEB}"/>
    <cellStyle name="Normal 9 2 2 2 2 2 5 3" xfId="6531" xr:uid="{00000000-0005-0000-0000-0000801E0000}"/>
    <cellStyle name="Normal 9 2 2 2 2 2 5 3 2" xfId="14981" xr:uid="{E1FACD67-9A41-41DA-B55E-6A8B613A1815}"/>
    <cellStyle name="Normal 9 2 2 2 2 2 5 4" xfId="10763" xr:uid="{49CF55D2-56CE-43BB-9DF1-63332A91DFD2}"/>
    <cellStyle name="Normal 9 2 2 2 2 2 6" xfId="2661" xr:uid="{00000000-0005-0000-0000-0000811E0000}"/>
    <cellStyle name="Normal 9 2 2 2 2 2 6 2" xfId="6944" xr:uid="{00000000-0005-0000-0000-0000821E0000}"/>
    <cellStyle name="Normal 9 2 2 2 2 2 6 2 2" xfId="15394" xr:uid="{283A38D5-9DF2-46C7-AA46-21F224A96233}"/>
    <cellStyle name="Normal 9 2 2 2 2 2 6 3" xfId="11176" xr:uid="{B2A78530-E257-4308-9019-97F2C77AC661}"/>
    <cellStyle name="Normal 9 2 2 2 2 2 7" xfId="4879" xr:uid="{00000000-0005-0000-0000-0000831E0000}"/>
    <cellStyle name="Normal 9 2 2 2 2 2 7 2" xfId="13329" xr:uid="{DD961872-1085-4545-9E00-16074E28FC0E}"/>
    <cellStyle name="Normal 9 2 2 2 2 2 8" xfId="9111" xr:uid="{CA685A9E-6EEC-435A-BE68-AC8C1BBF754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5886" xr:uid="{A65ACEB8-A5CB-4DFF-BE13-42CD69731070}"/>
    <cellStyle name="Normal 9 2 2 2 2 3 2 3" xfId="11668" xr:uid="{88925349-CE38-4016-926C-09DDC33B1C9B}"/>
    <cellStyle name="Normal 9 2 2 2 2 3 3" xfId="5291" xr:uid="{00000000-0005-0000-0000-0000871E0000}"/>
    <cellStyle name="Normal 9 2 2 2 2 3 3 2" xfId="13741" xr:uid="{ADD3CAA8-021B-445B-AF5A-0189C48AB9F9}"/>
    <cellStyle name="Normal 9 2 2 2 2 3 4" xfId="9523" xr:uid="{D4865823-9188-42B5-93F8-9F42E2D190C1}"/>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6299" xr:uid="{C7F9A8D0-512F-4E56-B9A2-B5C52C553E8D}"/>
    <cellStyle name="Normal 9 2 2 2 2 4 2 3" xfId="12081" xr:uid="{7A69652E-64FF-49AD-87F5-A149D45177D8}"/>
    <cellStyle name="Normal 9 2 2 2 2 4 3" xfId="5704" xr:uid="{00000000-0005-0000-0000-00008B1E0000}"/>
    <cellStyle name="Normal 9 2 2 2 2 4 3 2" xfId="14154" xr:uid="{F5E11405-C2F0-4771-BBF6-454B3B2CBCC2}"/>
    <cellStyle name="Normal 9 2 2 2 2 4 4" xfId="9936" xr:uid="{48B62D67-B416-4ED6-8F32-CEE3F5145B5C}"/>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6712" xr:uid="{DB3564C7-FC96-4F4F-AAF8-90EF07145FCB}"/>
    <cellStyle name="Normal 9 2 2 2 2 5 2 3" xfId="12494" xr:uid="{E6A213DE-F58F-4252-A67F-4E4443565725}"/>
    <cellStyle name="Normal 9 2 2 2 2 5 3" xfId="6117" xr:uid="{00000000-0005-0000-0000-00008F1E0000}"/>
    <cellStyle name="Normal 9 2 2 2 2 5 3 2" xfId="14567" xr:uid="{B7BA376B-84BB-46AD-925C-B58059A6FBC5}"/>
    <cellStyle name="Normal 9 2 2 2 2 5 4" xfId="10349" xr:uid="{26F51871-BCE7-4067-8E8B-09DAB07CA52A}"/>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7125" xr:uid="{C36A5B2C-C7A5-4CDA-B38A-AB93ACB3B534}"/>
    <cellStyle name="Normal 9 2 2 2 2 6 2 3" xfId="12907" xr:uid="{FB5901AA-1276-4B43-BFE0-27C028B6F614}"/>
    <cellStyle name="Normal 9 2 2 2 2 6 3" xfId="6530" xr:uid="{00000000-0005-0000-0000-0000931E0000}"/>
    <cellStyle name="Normal 9 2 2 2 2 6 3 2" xfId="14980" xr:uid="{52054995-2DDE-46F1-AAB7-F700CE31C0E4}"/>
    <cellStyle name="Normal 9 2 2 2 2 6 4" xfId="10762" xr:uid="{B816E3E6-9C2E-47F5-81B1-CA32D97AA252}"/>
    <cellStyle name="Normal 9 2 2 2 2 7" xfId="2660" xr:uid="{00000000-0005-0000-0000-0000941E0000}"/>
    <cellStyle name="Normal 9 2 2 2 2 7 2" xfId="6943" xr:uid="{00000000-0005-0000-0000-0000951E0000}"/>
    <cellStyle name="Normal 9 2 2 2 2 7 2 2" xfId="15393" xr:uid="{F4FAE565-C8D7-4835-A517-58394CB3A19D}"/>
    <cellStyle name="Normal 9 2 2 2 2 7 3" xfId="11175" xr:uid="{D7647DDF-0721-4784-B3CB-C0360A1BABC9}"/>
    <cellStyle name="Normal 9 2 2 2 2 8" xfId="4878" xr:uid="{00000000-0005-0000-0000-0000961E0000}"/>
    <cellStyle name="Normal 9 2 2 2 2 8 2" xfId="13328" xr:uid="{A3A86E06-5B2C-4D0C-8CC7-86097B9CE335}"/>
    <cellStyle name="Normal 9 2 2 2 2 9" xfId="9110" xr:uid="{0680BE23-21CA-4036-A77A-BC8E3285542B}"/>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5888" xr:uid="{92D7CCD3-2A71-44D7-95DD-56AE41F38140}"/>
    <cellStyle name="Normal 9 2 2 2 3 2 2 3" xfId="11670" xr:uid="{18866A48-626D-4705-8D66-1E78A8418146}"/>
    <cellStyle name="Normal 9 2 2 2 3 2 3" xfId="5293" xr:uid="{00000000-0005-0000-0000-00009B1E0000}"/>
    <cellStyle name="Normal 9 2 2 2 3 2 3 2" xfId="13743" xr:uid="{62075C38-2997-4E45-A66A-A7F9AE07644F}"/>
    <cellStyle name="Normal 9 2 2 2 3 2 4" xfId="9525" xr:uid="{54F38950-0EF6-482B-94AC-58D49D328868}"/>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6301" xr:uid="{E99CCD0C-5995-4F31-9892-6B12A7C44814}"/>
    <cellStyle name="Normal 9 2 2 2 3 3 2 3" xfId="12083" xr:uid="{AA84CB89-553E-4004-89A9-FD62DC851725}"/>
    <cellStyle name="Normal 9 2 2 2 3 3 3" xfId="5706" xr:uid="{00000000-0005-0000-0000-00009F1E0000}"/>
    <cellStyle name="Normal 9 2 2 2 3 3 3 2" xfId="14156" xr:uid="{64771138-8E9B-4BC9-BFBB-D8601C97A099}"/>
    <cellStyle name="Normal 9 2 2 2 3 3 4" xfId="9938" xr:uid="{273B1FC0-5F68-4957-AF0B-EE3EF294DE1C}"/>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6714" xr:uid="{1EC5A5FE-8D3A-4F4F-A1A1-771ACA31B230}"/>
    <cellStyle name="Normal 9 2 2 2 3 4 2 3" xfId="12496" xr:uid="{DE5BCE50-09B1-43A4-816D-1934CA9F9DF5}"/>
    <cellStyle name="Normal 9 2 2 2 3 4 3" xfId="6119" xr:uid="{00000000-0005-0000-0000-0000A31E0000}"/>
    <cellStyle name="Normal 9 2 2 2 3 4 3 2" xfId="14569" xr:uid="{4AEEDED7-3CF2-4B7E-B5C7-5631C2C0C870}"/>
    <cellStyle name="Normal 9 2 2 2 3 4 4" xfId="10351" xr:uid="{407696D7-C0A7-476F-9BD6-6D695BE16B5A}"/>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7127" xr:uid="{A53B3E5F-C4A1-4B1A-9B69-980B0FDC69E0}"/>
    <cellStyle name="Normal 9 2 2 2 3 5 2 3" xfId="12909" xr:uid="{AD7D83B5-E3B2-4F8B-B9D9-49B73B599B2B}"/>
    <cellStyle name="Normal 9 2 2 2 3 5 3" xfId="6532" xr:uid="{00000000-0005-0000-0000-0000A71E0000}"/>
    <cellStyle name="Normal 9 2 2 2 3 5 3 2" xfId="14982" xr:uid="{0E200CDA-A4B4-416F-B7DA-48B9CDE78AB7}"/>
    <cellStyle name="Normal 9 2 2 2 3 5 4" xfId="10764" xr:uid="{ADE42E91-268C-488E-AB20-7DE468C021D5}"/>
    <cellStyle name="Normal 9 2 2 2 3 6" xfId="2662" xr:uid="{00000000-0005-0000-0000-0000A81E0000}"/>
    <cellStyle name="Normal 9 2 2 2 3 6 2" xfId="6945" xr:uid="{00000000-0005-0000-0000-0000A91E0000}"/>
    <cellStyle name="Normal 9 2 2 2 3 6 2 2" xfId="15395" xr:uid="{9B5A1A1B-47A3-43FD-AA93-EEE17E1855F9}"/>
    <cellStyle name="Normal 9 2 2 2 3 6 3" xfId="11177" xr:uid="{B0B33C9C-DB86-4C13-86A9-40BEC691DEAF}"/>
    <cellStyle name="Normal 9 2 2 2 3 7" xfId="4880" xr:uid="{00000000-0005-0000-0000-0000AA1E0000}"/>
    <cellStyle name="Normal 9 2 2 2 3 7 2" xfId="13330" xr:uid="{295410EE-2384-44FE-8143-3EA484ADED7A}"/>
    <cellStyle name="Normal 9 2 2 2 3 8" xfId="9112" xr:uid="{C99C2A20-5C75-4BBF-85D2-7AF890FD4CCE}"/>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5885" xr:uid="{1E4A5A89-6B46-4D68-86DB-7235138FAB07}"/>
    <cellStyle name="Normal 9 2 2 2 4 2 3" xfId="11667" xr:uid="{229484B5-73D3-44BF-B835-1B46CD35D980}"/>
    <cellStyle name="Normal 9 2 2 2 4 3" xfId="5290" xr:uid="{00000000-0005-0000-0000-0000AE1E0000}"/>
    <cellStyle name="Normal 9 2 2 2 4 3 2" xfId="13740" xr:uid="{6EF093AE-1DF0-4540-AE27-A631D1975435}"/>
    <cellStyle name="Normal 9 2 2 2 4 4" xfId="9522" xr:uid="{C4671FBA-5743-4F00-9AF4-44049B6BE7E1}"/>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6298" xr:uid="{1F12D631-7830-4B3A-BC92-8022EEB7AFAE}"/>
    <cellStyle name="Normal 9 2 2 2 5 2 3" xfId="12080" xr:uid="{621DBC49-D05F-4074-8AFF-4F6E11889B88}"/>
    <cellStyle name="Normal 9 2 2 2 5 3" xfId="5703" xr:uid="{00000000-0005-0000-0000-0000B21E0000}"/>
    <cellStyle name="Normal 9 2 2 2 5 3 2" xfId="14153" xr:uid="{00FAC081-0B33-450E-8DEA-489DDF6DA8E9}"/>
    <cellStyle name="Normal 9 2 2 2 5 4" xfId="9935" xr:uid="{42BFF2A9-454A-40F3-BE02-33F9C8E23873}"/>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6711" xr:uid="{DE109174-E415-4EDE-8EBF-31CAB2A4A1F3}"/>
    <cellStyle name="Normal 9 2 2 2 6 2 3" xfId="12493" xr:uid="{6DF4E460-9284-465A-8682-F6464809413C}"/>
    <cellStyle name="Normal 9 2 2 2 6 3" xfId="6116" xr:uid="{00000000-0005-0000-0000-0000B61E0000}"/>
    <cellStyle name="Normal 9 2 2 2 6 3 2" xfId="14566" xr:uid="{FED0843A-6D70-45CF-A8AD-7E5B5A399C54}"/>
    <cellStyle name="Normal 9 2 2 2 6 4" xfId="10348" xr:uid="{919EF38B-13F1-4054-B47D-DA9C7D3A16E2}"/>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7124" xr:uid="{C995DD3B-7BD1-4EB9-8590-46BFF0F73C64}"/>
    <cellStyle name="Normal 9 2 2 2 7 2 3" xfId="12906" xr:uid="{958B1CAE-6C51-4E7A-AE33-62B8599CF1C9}"/>
    <cellStyle name="Normal 9 2 2 2 7 3" xfId="6529" xr:uid="{00000000-0005-0000-0000-0000BA1E0000}"/>
    <cellStyle name="Normal 9 2 2 2 7 3 2" xfId="14979" xr:uid="{32E34607-452E-4838-982B-3F960381F6C2}"/>
    <cellStyle name="Normal 9 2 2 2 7 4" xfId="10761" xr:uid="{8BE30813-9ADC-430E-ADF3-C1F17D56C161}"/>
    <cellStyle name="Normal 9 2 2 2 8" xfId="2659" xr:uid="{00000000-0005-0000-0000-0000BB1E0000}"/>
    <cellStyle name="Normal 9 2 2 2 8 2" xfId="6942" xr:uid="{00000000-0005-0000-0000-0000BC1E0000}"/>
    <cellStyle name="Normal 9 2 2 2 8 2 2" xfId="15392" xr:uid="{83708B4B-A02C-47BD-8E1A-5D2A3FD3D8F8}"/>
    <cellStyle name="Normal 9 2 2 2 8 3" xfId="11174" xr:uid="{C1AF4BF1-70EB-4A71-8980-FBF24D1E9A54}"/>
    <cellStyle name="Normal 9 2 2 2 9" xfId="4877" xr:uid="{00000000-0005-0000-0000-0000BD1E0000}"/>
    <cellStyle name="Normal 9 2 2 2 9 2" xfId="13327" xr:uid="{EF961004-3027-4749-B580-8AB83445320E}"/>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5890" xr:uid="{AACCB0DA-96DA-4668-8F9A-B99B756D8859}"/>
    <cellStyle name="Normal 9 2 2 3 2 2 2 3" xfId="11672" xr:uid="{B9091175-A7B4-45A6-B4C6-808FEDF7A89F}"/>
    <cellStyle name="Normal 9 2 2 3 2 2 3" xfId="5295" xr:uid="{00000000-0005-0000-0000-0000C31E0000}"/>
    <cellStyle name="Normal 9 2 2 3 2 2 3 2" xfId="13745" xr:uid="{215E87A1-8B53-402D-B810-6E616A097395}"/>
    <cellStyle name="Normal 9 2 2 3 2 2 4" xfId="9527" xr:uid="{3CD48B4D-DFF3-4D5E-B174-19C50C7EA452}"/>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6303" xr:uid="{47B0AB48-B27F-45D5-A4AF-2FCF125D9719}"/>
    <cellStyle name="Normal 9 2 2 3 2 3 2 3" xfId="12085" xr:uid="{CEE7A4AA-6BC3-4608-934F-85579C308E2B}"/>
    <cellStyle name="Normal 9 2 2 3 2 3 3" xfId="5708" xr:uid="{00000000-0005-0000-0000-0000C71E0000}"/>
    <cellStyle name="Normal 9 2 2 3 2 3 3 2" xfId="14158" xr:uid="{0DE25627-FBE0-415F-A805-5D75C923F0E3}"/>
    <cellStyle name="Normal 9 2 2 3 2 3 4" xfId="9940" xr:uid="{E1F250C3-EB74-4756-8073-DF7F0D1CEACF}"/>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6716" xr:uid="{2C33233B-E752-4D69-A781-0A67D1181713}"/>
    <cellStyle name="Normal 9 2 2 3 2 4 2 3" xfId="12498" xr:uid="{B046BB8B-E2AE-480A-8385-659E3AB7AB95}"/>
    <cellStyle name="Normal 9 2 2 3 2 4 3" xfId="6121" xr:uid="{00000000-0005-0000-0000-0000CB1E0000}"/>
    <cellStyle name="Normal 9 2 2 3 2 4 3 2" xfId="14571" xr:uid="{BCED9FBD-7976-4148-ADAC-DE6E4066846B}"/>
    <cellStyle name="Normal 9 2 2 3 2 4 4" xfId="10353" xr:uid="{96D014DC-D3E5-4FB2-B791-22CF49BB4315}"/>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7129" xr:uid="{61405929-47AB-46FC-9A7A-E14E9DCD3580}"/>
    <cellStyle name="Normal 9 2 2 3 2 5 2 3" xfId="12911" xr:uid="{25099F92-4F7B-4733-8C1F-3779366CE2EC}"/>
    <cellStyle name="Normal 9 2 2 3 2 5 3" xfId="6534" xr:uid="{00000000-0005-0000-0000-0000CF1E0000}"/>
    <cellStyle name="Normal 9 2 2 3 2 5 3 2" xfId="14984" xr:uid="{1A7968B5-28F9-48B2-A48E-906470400851}"/>
    <cellStyle name="Normal 9 2 2 3 2 5 4" xfId="10766" xr:uid="{10D83BE4-7484-4D99-84CA-CC5702837566}"/>
    <cellStyle name="Normal 9 2 2 3 2 6" xfId="2664" xr:uid="{00000000-0005-0000-0000-0000D01E0000}"/>
    <cellStyle name="Normal 9 2 2 3 2 6 2" xfId="6947" xr:uid="{00000000-0005-0000-0000-0000D11E0000}"/>
    <cellStyle name="Normal 9 2 2 3 2 6 2 2" xfId="15397" xr:uid="{32840876-951E-4EF8-9557-12226B347902}"/>
    <cellStyle name="Normal 9 2 2 3 2 6 3" xfId="11179" xr:uid="{6263617A-A941-48E9-A2F6-87CD43FEBEA0}"/>
    <cellStyle name="Normal 9 2 2 3 2 7" xfId="4882" xr:uid="{00000000-0005-0000-0000-0000D21E0000}"/>
    <cellStyle name="Normal 9 2 2 3 2 7 2" xfId="13332" xr:uid="{ABDB291F-696E-4A5C-950A-4C9A182758FE}"/>
    <cellStyle name="Normal 9 2 2 3 2 8" xfId="9114" xr:uid="{F2E3FE8A-6962-4468-8899-67EA57615E51}"/>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5889" xr:uid="{379307AC-E948-43F4-A0DA-A84D9FDC946D}"/>
    <cellStyle name="Normal 9 2 2 3 3 2 3" xfId="11671" xr:uid="{6B9A3492-8F16-4FCD-B87D-999A6104F23F}"/>
    <cellStyle name="Normal 9 2 2 3 3 3" xfId="5294" xr:uid="{00000000-0005-0000-0000-0000D61E0000}"/>
    <cellStyle name="Normal 9 2 2 3 3 3 2" xfId="13744" xr:uid="{FDB2D293-4913-4AE4-BD59-DD4082E342AA}"/>
    <cellStyle name="Normal 9 2 2 3 3 4" xfId="9526" xr:uid="{B51555F8-F353-48CB-B721-B58BF2A889DA}"/>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6302" xr:uid="{665A6111-2499-409B-B157-D20CC1044393}"/>
    <cellStyle name="Normal 9 2 2 3 4 2 3" xfId="12084" xr:uid="{8AF85712-EAAC-47C5-B071-17DB74B5F614}"/>
    <cellStyle name="Normal 9 2 2 3 4 3" xfId="5707" xr:uid="{00000000-0005-0000-0000-0000DA1E0000}"/>
    <cellStyle name="Normal 9 2 2 3 4 3 2" xfId="14157" xr:uid="{F43D9F2A-41E1-4F0C-A398-A71574C3EBB6}"/>
    <cellStyle name="Normal 9 2 2 3 4 4" xfId="9939" xr:uid="{7CFFADA3-9A20-4C86-84ED-E779AC09913C}"/>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6715" xr:uid="{F4CB9CC9-CBE8-403D-AC8D-370DB10FC3E9}"/>
    <cellStyle name="Normal 9 2 2 3 5 2 3" xfId="12497" xr:uid="{A852E995-8574-40E8-A30C-26C6A3459EA3}"/>
    <cellStyle name="Normal 9 2 2 3 5 3" xfId="6120" xr:uid="{00000000-0005-0000-0000-0000DE1E0000}"/>
    <cellStyle name="Normal 9 2 2 3 5 3 2" xfId="14570" xr:uid="{16895232-A783-42B9-8B49-5D9E7980DE52}"/>
    <cellStyle name="Normal 9 2 2 3 5 4" xfId="10352" xr:uid="{6256FB12-5899-4570-A9B7-FA769478901E}"/>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7128" xr:uid="{6368E44E-0FDD-45F9-94EF-2220A545E198}"/>
    <cellStyle name="Normal 9 2 2 3 6 2 3" xfId="12910" xr:uid="{6653E205-0258-44B7-8C9F-7654CCA21274}"/>
    <cellStyle name="Normal 9 2 2 3 6 3" xfId="6533" xr:uid="{00000000-0005-0000-0000-0000E21E0000}"/>
    <cellStyle name="Normal 9 2 2 3 6 3 2" xfId="14983" xr:uid="{2B21D3BF-124D-4ED1-A8D1-55F42C6AD6DA}"/>
    <cellStyle name="Normal 9 2 2 3 6 4" xfId="10765" xr:uid="{DE69B7DD-A9D2-46DC-B703-50C86B8FBFCC}"/>
    <cellStyle name="Normal 9 2 2 3 7" xfId="2663" xr:uid="{00000000-0005-0000-0000-0000E31E0000}"/>
    <cellStyle name="Normal 9 2 2 3 7 2" xfId="6946" xr:uid="{00000000-0005-0000-0000-0000E41E0000}"/>
    <cellStyle name="Normal 9 2 2 3 7 2 2" xfId="15396" xr:uid="{791F4349-C95D-4316-9A91-07CCFC195714}"/>
    <cellStyle name="Normal 9 2 2 3 7 3" xfId="11178" xr:uid="{C3E53ACA-684B-4583-8008-F933ACCBFFD2}"/>
    <cellStyle name="Normal 9 2 2 3 8" xfId="4881" xr:uid="{00000000-0005-0000-0000-0000E51E0000}"/>
    <cellStyle name="Normal 9 2 2 3 8 2" xfId="13331" xr:uid="{8721D064-960B-4F1F-B318-E1385307DAC9}"/>
    <cellStyle name="Normal 9 2 2 3 9" xfId="9113" xr:uid="{D396AAC5-A490-4A79-BBB1-1A4280069B0F}"/>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5891" xr:uid="{B6129E0E-4535-420D-A71D-5016CFF66CCE}"/>
    <cellStyle name="Normal 9 2 2 4 2 2 3" xfId="11673" xr:uid="{9A4FA4C9-49DD-4AC8-A747-5ABD49503DB4}"/>
    <cellStyle name="Normal 9 2 2 4 2 3" xfId="5296" xr:uid="{00000000-0005-0000-0000-0000EA1E0000}"/>
    <cellStyle name="Normal 9 2 2 4 2 3 2" xfId="13746" xr:uid="{EBD3A450-434C-483C-8C85-331281F0B44C}"/>
    <cellStyle name="Normal 9 2 2 4 2 4" xfId="9528" xr:uid="{9EFD9F53-9F69-45F9-84BE-FB242A2A052D}"/>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6304" xr:uid="{4B85687A-9C97-4F39-981B-E3BB307059D0}"/>
    <cellStyle name="Normal 9 2 2 4 3 2 3" xfId="12086" xr:uid="{06A8DD08-D91B-424F-9404-F6EDC1CEE041}"/>
    <cellStyle name="Normal 9 2 2 4 3 3" xfId="5709" xr:uid="{00000000-0005-0000-0000-0000EE1E0000}"/>
    <cellStyle name="Normal 9 2 2 4 3 3 2" xfId="14159" xr:uid="{117B829F-6F43-4F59-A8EA-01B63E74FD41}"/>
    <cellStyle name="Normal 9 2 2 4 3 4" xfId="9941" xr:uid="{AABBCDAD-934A-4535-B7FB-41842CA42020}"/>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6717" xr:uid="{32098D5D-7FFE-4166-8BD1-F221F874DF00}"/>
    <cellStyle name="Normal 9 2 2 4 4 2 3" xfId="12499" xr:uid="{6ED66A94-2D9C-4D4B-9704-94449F4746B7}"/>
    <cellStyle name="Normal 9 2 2 4 4 3" xfId="6122" xr:uid="{00000000-0005-0000-0000-0000F21E0000}"/>
    <cellStyle name="Normal 9 2 2 4 4 3 2" xfId="14572" xr:uid="{B86E8E82-EF1C-475E-B095-41E951ABB73B}"/>
    <cellStyle name="Normal 9 2 2 4 4 4" xfId="10354" xr:uid="{19A6CD24-75DC-40B9-A902-DA34EC72E30E}"/>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7130" xr:uid="{006C1318-2F67-420D-A922-5ADDF109F8BD}"/>
    <cellStyle name="Normal 9 2 2 4 5 2 3" xfId="12912" xr:uid="{86A6DAF0-9AFD-4797-B9C9-0C5A106D5D4C}"/>
    <cellStyle name="Normal 9 2 2 4 5 3" xfId="6535" xr:uid="{00000000-0005-0000-0000-0000F61E0000}"/>
    <cellStyle name="Normal 9 2 2 4 5 3 2" xfId="14985" xr:uid="{973EE640-0DBD-471A-83B9-D3B9A5A69602}"/>
    <cellStyle name="Normal 9 2 2 4 5 4" xfId="10767" xr:uid="{942EE063-58F1-4ABE-93AA-F23E50BA6C3D}"/>
    <cellStyle name="Normal 9 2 2 4 6" xfId="2665" xr:uid="{00000000-0005-0000-0000-0000F71E0000}"/>
    <cellStyle name="Normal 9 2 2 4 6 2" xfId="6948" xr:uid="{00000000-0005-0000-0000-0000F81E0000}"/>
    <cellStyle name="Normal 9 2 2 4 6 2 2" xfId="15398" xr:uid="{5273D3D4-7AA1-4656-A4CC-EB5B749CAF08}"/>
    <cellStyle name="Normal 9 2 2 4 6 3" xfId="11180" xr:uid="{4148A576-1139-47BC-BC8C-E1E53069F0F7}"/>
    <cellStyle name="Normal 9 2 2 4 7" xfId="4883" xr:uid="{00000000-0005-0000-0000-0000F91E0000}"/>
    <cellStyle name="Normal 9 2 2 4 7 2" xfId="13333" xr:uid="{5B149A6B-71B7-412D-AE84-8DDC4F04424E}"/>
    <cellStyle name="Normal 9 2 2 4 8" xfId="9115" xr:uid="{496BC7D9-4CD1-4267-95B4-51682E4F9467}"/>
    <cellStyle name="Normal 9 2 2 5" xfId="979" xr:uid="{00000000-0005-0000-0000-0000FA1E0000}"/>
    <cellStyle name="Normal 9 2 2 5 2" xfId="3212" xr:uid="{00000000-0005-0000-0000-0000FB1E0000}"/>
    <cellStyle name="Normal 9 2 2 5 2 2" xfId="7434" xr:uid="{00000000-0005-0000-0000-0000FC1E0000}"/>
    <cellStyle name="Normal 9 2 2 5 2 2 2" xfId="15884" xr:uid="{3911795A-C612-40A5-A4EB-38AC5043A40D}"/>
    <cellStyle name="Normal 9 2 2 5 2 3" xfId="11666" xr:uid="{99F84786-5CD8-49D4-B66E-5CE8E60854DB}"/>
    <cellStyle name="Normal 9 2 2 5 3" xfId="5289" xr:uid="{00000000-0005-0000-0000-0000FD1E0000}"/>
    <cellStyle name="Normal 9 2 2 5 3 2" xfId="13739" xr:uid="{05C18DB3-2EF2-4D51-8AE9-9430026A7A30}"/>
    <cellStyle name="Normal 9 2 2 5 4" xfId="9521" xr:uid="{853F8309-A171-4673-A49A-B11FAE23D742}"/>
    <cellStyle name="Normal 9 2 2 6" xfId="1395" xr:uid="{00000000-0005-0000-0000-0000FE1E0000}"/>
    <cellStyle name="Normal 9 2 2 6 2" xfId="3625" xr:uid="{00000000-0005-0000-0000-0000FF1E0000}"/>
    <cellStyle name="Normal 9 2 2 6 2 2" xfId="7847" xr:uid="{00000000-0005-0000-0000-0000001F0000}"/>
    <cellStyle name="Normal 9 2 2 6 2 2 2" xfId="16297" xr:uid="{536D1F42-E651-452F-AEC5-21C2A98703B3}"/>
    <cellStyle name="Normal 9 2 2 6 2 3" xfId="12079" xr:uid="{8B28CF47-5C1C-46D0-B902-A38192C94719}"/>
    <cellStyle name="Normal 9 2 2 6 3" xfId="5702" xr:uid="{00000000-0005-0000-0000-0000011F0000}"/>
    <cellStyle name="Normal 9 2 2 6 3 2" xfId="14152" xr:uid="{3A32C93E-2914-47FF-83DE-18C958F03EC5}"/>
    <cellStyle name="Normal 9 2 2 6 4" xfId="9934" xr:uid="{5CEA5C10-A29D-4BFF-A08E-B6672A754952}"/>
    <cellStyle name="Normal 9 2 2 7" xfId="1808" xr:uid="{00000000-0005-0000-0000-0000021F0000}"/>
    <cellStyle name="Normal 9 2 2 7 2" xfId="4038" xr:uid="{00000000-0005-0000-0000-0000031F0000}"/>
    <cellStyle name="Normal 9 2 2 7 2 2" xfId="8260" xr:uid="{00000000-0005-0000-0000-0000041F0000}"/>
    <cellStyle name="Normal 9 2 2 7 2 2 2" xfId="16710" xr:uid="{CB6BC247-6864-47E3-9683-ED95391E6F79}"/>
    <cellStyle name="Normal 9 2 2 7 2 3" xfId="12492" xr:uid="{3FC91E92-B804-43B5-BA81-42965BDC1D29}"/>
    <cellStyle name="Normal 9 2 2 7 3" xfId="6115" xr:uid="{00000000-0005-0000-0000-0000051F0000}"/>
    <cellStyle name="Normal 9 2 2 7 3 2" xfId="14565" xr:uid="{2E05DB3B-32D9-4477-98C9-EC54FD2C75A1}"/>
    <cellStyle name="Normal 9 2 2 7 4" xfId="10347" xr:uid="{7167535F-D651-4AC5-B9B8-155E0D893784}"/>
    <cellStyle name="Normal 9 2 2 8" xfId="2222" xr:uid="{00000000-0005-0000-0000-0000061F0000}"/>
    <cellStyle name="Normal 9 2 2 8 2" xfId="4451" xr:uid="{00000000-0005-0000-0000-0000071F0000}"/>
    <cellStyle name="Normal 9 2 2 8 2 2" xfId="8673" xr:uid="{00000000-0005-0000-0000-0000081F0000}"/>
    <cellStyle name="Normal 9 2 2 8 2 2 2" xfId="17123" xr:uid="{6CD95C17-6832-47F7-9AAF-918D0622C70F}"/>
    <cellStyle name="Normal 9 2 2 8 2 3" xfId="12905" xr:uid="{B6C98761-E1DC-4169-83E6-346D54CB26C5}"/>
    <cellStyle name="Normal 9 2 2 8 3" xfId="6528" xr:uid="{00000000-0005-0000-0000-0000091F0000}"/>
    <cellStyle name="Normal 9 2 2 8 3 2" xfId="14978" xr:uid="{8D7C5D10-453C-45FE-9F98-8290A762D755}"/>
    <cellStyle name="Normal 9 2 2 8 4" xfId="10760" xr:uid="{AF56E971-851C-48BA-B69F-647081F92F98}"/>
    <cellStyle name="Normal 9 2 2 9" xfId="2658" xr:uid="{00000000-0005-0000-0000-00000A1F0000}"/>
    <cellStyle name="Normal 9 2 2 9 2" xfId="6941" xr:uid="{00000000-0005-0000-0000-00000B1F0000}"/>
    <cellStyle name="Normal 9 2 2 9 2 2" xfId="15391" xr:uid="{E1078184-DF3D-47E6-81BC-C3F536119373}"/>
    <cellStyle name="Normal 9 2 2 9 3" xfId="11173" xr:uid="{0F533F87-5234-4D6C-8CC0-FEF66B815264}"/>
    <cellStyle name="Normal 9 2 3" xfId="520" xr:uid="{00000000-0005-0000-0000-00000C1F0000}"/>
    <cellStyle name="Normal 9 2 3 10" xfId="9116" xr:uid="{48C19B35-D2F0-4661-83BE-3CF9FBBA8402}"/>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5894" xr:uid="{4A85A5C1-1B55-418F-868F-CF9641B0A3A8}"/>
    <cellStyle name="Normal 9 2 3 2 2 2 2 3" xfId="11676" xr:uid="{B13BD7DB-D06B-4F5F-AEA0-0A9DC8E12900}"/>
    <cellStyle name="Normal 9 2 3 2 2 2 3" xfId="5299" xr:uid="{00000000-0005-0000-0000-0000121F0000}"/>
    <cellStyle name="Normal 9 2 3 2 2 2 3 2" xfId="13749" xr:uid="{F6786AD2-BBFB-4660-8B6B-9AFACCB3E0A2}"/>
    <cellStyle name="Normal 9 2 3 2 2 2 4" xfId="9531" xr:uid="{B8483017-8BFB-469E-836C-0469F4B47EBB}"/>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6307" xr:uid="{1D227743-C714-4EF6-A4BB-19C93CB6F1C0}"/>
    <cellStyle name="Normal 9 2 3 2 2 3 2 3" xfId="12089" xr:uid="{204D2957-B8F4-46D5-8D10-FC860DE183E0}"/>
    <cellStyle name="Normal 9 2 3 2 2 3 3" xfId="5712" xr:uid="{00000000-0005-0000-0000-0000161F0000}"/>
    <cellStyle name="Normal 9 2 3 2 2 3 3 2" xfId="14162" xr:uid="{CE6BBE0B-D588-424A-B132-B6A91E02A691}"/>
    <cellStyle name="Normal 9 2 3 2 2 3 4" xfId="9944" xr:uid="{750B44E8-3773-47EB-B965-77D328F6027D}"/>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6720" xr:uid="{2579BD55-6CC1-45DB-A208-9824ABEFAF6C}"/>
    <cellStyle name="Normal 9 2 3 2 2 4 2 3" xfId="12502" xr:uid="{222E70B8-5F13-40AC-A6A6-2768B0A00A1C}"/>
    <cellStyle name="Normal 9 2 3 2 2 4 3" xfId="6125" xr:uid="{00000000-0005-0000-0000-00001A1F0000}"/>
    <cellStyle name="Normal 9 2 3 2 2 4 3 2" xfId="14575" xr:uid="{A331BC83-5D44-4304-9926-21997C8AC9B6}"/>
    <cellStyle name="Normal 9 2 3 2 2 4 4" xfId="10357" xr:uid="{C91DEA7F-527A-4AA4-B918-988A7B2CBF63}"/>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7133" xr:uid="{418B5F0C-1D90-41B4-9EDF-0681CD20454B}"/>
    <cellStyle name="Normal 9 2 3 2 2 5 2 3" xfId="12915" xr:uid="{C03EA613-C78C-4E7B-ACE6-E09D894BC3C3}"/>
    <cellStyle name="Normal 9 2 3 2 2 5 3" xfId="6538" xr:uid="{00000000-0005-0000-0000-00001E1F0000}"/>
    <cellStyle name="Normal 9 2 3 2 2 5 3 2" xfId="14988" xr:uid="{42C7F5B1-D853-4FD5-A348-B9A8AEED3F32}"/>
    <cellStyle name="Normal 9 2 3 2 2 5 4" xfId="10770" xr:uid="{A1508C2D-6A08-4A77-B122-8D1B6D18BBA1}"/>
    <cellStyle name="Normal 9 2 3 2 2 6" xfId="2668" xr:uid="{00000000-0005-0000-0000-00001F1F0000}"/>
    <cellStyle name="Normal 9 2 3 2 2 6 2" xfId="6951" xr:uid="{00000000-0005-0000-0000-0000201F0000}"/>
    <cellStyle name="Normal 9 2 3 2 2 6 2 2" xfId="15401" xr:uid="{3513DA3E-90AF-4209-8397-8964BA21D812}"/>
    <cellStyle name="Normal 9 2 3 2 2 6 3" xfId="11183" xr:uid="{E9F4E395-3C6A-407F-975F-451519996EA5}"/>
    <cellStyle name="Normal 9 2 3 2 2 7" xfId="4886" xr:uid="{00000000-0005-0000-0000-0000211F0000}"/>
    <cellStyle name="Normal 9 2 3 2 2 7 2" xfId="13336" xr:uid="{CCC4E95D-2594-4252-AE0B-05E4D2AC90E5}"/>
    <cellStyle name="Normal 9 2 3 2 2 8" xfId="9118" xr:uid="{28B7055B-FA7D-4696-B7C4-B6755285C6BA}"/>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5893" xr:uid="{9F713728-D5E5-4134-B717-1682CCB683CB}"/>
    <cellStyle name="Normal 9 2 3 2 3 2 3" xfId="11675" xr:uid="{F516D05C-5FE5-4F5C-9211-9FD795B8482D}"/>
    <cellStyle name="Normal 9 2 3 2 3 3" xfId="5298" xr:uid="{00000000-0005-0000-0000-0000251F0000}"/>
    <cellStyle name="Normal 9 2 3 2 3 3 2" xfId="13748" xr:uid="{46F749D7-A956-4EAC-B97B-A8EB06A9C6CD}"/>
    <cellStyle name="Normal 9 2 3 2 3 4" xfId="9530" xr:uid="{0147B1C7-00D8-4CE4-8ECF-118667A05D75}"/>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6306" xr:uid="{590E5AE2-4BF8-43AD-B69F-F4CE7E2DE3D1}"/>
    <cellStyle name="Normal 9 2 3 2 4 2 3" xfId="12088" xr:uid="{0F78C706-B3BB-456E-B890-768180C113A5}"/>
    <cellStyle name="Normal 9 2 3 2 4 3" xfId="5711" xr:uid="{00000000-0005-0000-0000-0000291F0000}"/>
    <cellStyle name="Normal 9 2 3 2 4 3 2" xfId="14161" xr:uid="{C91E51F3-74DD-4910-A702-04523CBD5A36}"/>
    <cellStyle name="Normal 9 2 3 2 4 4" xfId="9943" xr:uid="{D371D8D3-F8D2-480D-AF22-A56E3FFFD1DB}"/>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6719" xr:uid="{C09B2FA7-D960-4194-A500-BA1B96EE570B}"/>
    <cellStyle name="Normal 9 2 3 2 5 2 3" xfId="12501" xr:uid="{163C7218-582C-4CE4-B833-9A5AAEE85D8F}"/>
    <cellStyle name="Normal 9 2 3 2 5 3" xfId="6124" xr:uid="{00000000-0005-0000-0000-00002D1F0000}"/>
    <cellStyle name="Normal 9 2 3 2 5 3 2" xfId="14574" xr:uid="{05ADD72D-E37F-417D-9A0A-4F3CC92CF4F3}"/>
    <cellStyle name="Normal 9 2 3 2 5 4" xfId="10356" xr:uid="{071459E7-8A69-4243-ADC6-A590EE3A5B8E}"/>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7132" xr:uid="{C85A64F3-8455-48F7-9D29-FB9FDECB0835}"/>
    <cellStyle name="Normal 9 2 3 2 6 2 3" xfId="12914" xr:uid="{A4EE640A-725A-417C-A3D2-A13482845B77}"/>
    <cellStyle name="Normal 9 2 3 2 6 3" xfId="6537" xr:uid="{00000000-0005-0000-0000-0000311F0000}"/>
    <cellStyle name="Normal 9 2 3 2 6 3 2" xfId="14987" xr:uid="{69D7737E-FA24-4A34-81CF-3B77565AE47F}"/>
    <cellStyle name="Normal 9 2 3 2 6 4" xfId="10769" xr:uid="{4A622B3D-FA14-497C-A3FD-2535AB49FD20}"/>
    <cellStyle name="Normal 9 2 3 2 7" xfId="2667" xr:uid="{00000000-0005-0000-0000-0000321F0000}"/>
    <cellStyle name="Normal 9 2 3 2 7 2" xfId="6950" xr:uid="{00000000-0005-0000-0000-0000331F0000}"/>
    <cellStyle name="Normal 9 2 3 2 7 2 2" xfId="15400" xr:uid="{5E2FCF98-BAA7-462B-BF83-063FC94267A5}"/>
    <cellStyle name="Normal 9 2 3 2 7 3" xfId="11182" xr:uid="{F8EBF317-7126-4769-B654-308CD4AB3ED1}"/>
    <cellStyle name="Normal 9 2 3 2 8" xfId="4885" xr:uid="{00000000-0005-0000-0000-0000341F0000}"/>
    <cellStyle name="Normal 9 2 3 2 8 2" xfId="13335" xr:uid="{B466C6BD-14C5-4C4A-97FB-C1F6CFCA5E93}"/>
    <cellStyle name="Normal 9 2 3 2 9" xfId="9117" xr:uid="{5FFFA21C-3766-4224-B0C9-B776EF9AB09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5895" xr:uid="{A9543023-4D32-4127-9ACF-22472235C0DA}"/>
    <cellStyle name="Normal 9 2 3 3 2 2 3" xfId="11677" xr:uid="{E8A4D27C-364A-4B5B-81FE-04E2EDE03D75}"/>
    <cellStyle name="Normal 9 2 3 3 2 3" xfId="5300" xr:uid="{00000000-0005-0000-0000-0000391F0000}"/>
    <cellStyle name="Normal 9 2 3 3 2 3 2" xfId="13750" xr:uid="{8AFF9A8E-589B-4550-81CD-8EB984F1E4FF}"/>
    <cellStyle name="Normal 9 2 3 3 2 4" xfId="9532" xr:uid="{E9AF2E09-143B-492B-9EE1-3A6B4618D16C}"/>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6308" xr:uid="{1B03551E-F289-42EC-AF13-6E9649F8F384}"/>
    <cellStyle name="Normal 9 2 3 3 3 2 3" xfId="12090" xr:uid="{A2FC7440-185C-45D2-9020-677F9181C5CB}"/>
    <cellStyle name="Normal 9 2 3 3 3 3" xfId="5713" xr:uid="{00000000-0005-0000-0000-00003D1F0000}"/>
    <cellStyle name="Normal 9 2 3 3 3 3 2" xfId="14163" xr:uid="{1E6107D4-5997-4FD9-8CA6-AC1A74A6111E}"/>
    <cellStyle name="Normal 9 2 3 3 3 4" xfId="9945" xr:uid="{000425A1-43A8-43F7-A365-FB69160423C3}"/>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6721" xr:uid="{31F08D04-39E2-4973-BA08-EE3167045964}"/>
    <cellStyle name="Normal 9 2 3 3 4 2 3" xfId="12503" xr:uid="{08A085EF-A2FA-482E-B6E4-6C2B15DA2B73}"/>
    <cellStyle name="Normal 9 2 3 3 4 3" xfId="6126" xr:uid="{00000000-0005-0000-0000-0000411F0000}"/>
    <cellStyle name="Normal 9 2 3 3 4 3 2" xfId="14576" xr:uid="{FA8DC659-7D68-4D66-BFA7-40417168CE38}"/>
    <cellStyle name="Normal 9 2 3 3 4 4" xfId="10358" xr:uid="{2990E04B-8697-4EC3-9EEE-65415E35D749}"/>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7134" xr:uid="{4F820AD7-2A9F-4A3A-90D8-015A7A551F80}"/>
    <cellStyle name="Normal 9 2 3 3 5 2 3" xfId="12916" xr:uid="{DB71833F-F814-41E3-8EE9-590BAC018C61}"/>
    <cellStyle name="Normal 9 2 3 3 5 3" xfId="6539" xr:uid="{00000000-0005-0000-0000-0000451F0000}"/>
    <cellStyle name="Normal 9 2 3 3 5 3 2" xfId="14989" xr:uid="{35C91D8C-CB4C-4BA3-9939-FD22799988A3}"/>
    <cellStyle name="Normal 9 2 3 3 5 4" xfId="10771" xr:uid="{BDB3B47E-CC80-438D-95F0-3630C306C5E5}"/>
    <cellStyle name="Normal 9 2 3 3 6" xfId="2669" xr:uid="{00000000-0005-0000-0000-0000461F0000}"/>
    <cellStyle name="Normal 9 2 3 3 6 2" xfId="6952" xr:uid="{00000000-0005-0000-0000-0000471F0000}"/>
    <cellStyle name="Normal 9 2 3 3 6 2 2" xfId="15402" xr:uid="{FE2A6C8B-F3EB-4D20-A1F8-4B6CB53211E0}"/>
    <cellStyle name="Normal 9 2 3 3 6 3" xfId="11184" xr:uid="{BFEE19F3-1A16-48B3-94AC-C20C81884EB6}"/>
    <cellStyle name="Normal 9 2 3 3 7" xfId="4887" xr:uid="{00000000-0005-0000-0000-0000481F0000}"/>
    <cellStyle name="Normal 9 2 3 3 7 2" xfId="13337" xr:uid="{111DE4D4-BA9B-4ADE-A48F-E38A2D447D25}"/>
    <cellStyle name="Normal 9 2 3 3 8" xfId="9119" xr:uid="{0AF39999-9067-4702-8468-C4FA0BB3C66F}"/>
    <cellStyle name="Normal 9 2 3 4" xfId="987" xr:uid="{00000000-0005-0000-0000-0000491F0000}"/>
    <cellStyle name="Normal 9 2 3 4 2" xfId="3220" xr:uid="{00000000-0005-0000-0000-00004A1F0000}"/>
    <cellStyle name="Normal 9 2 3 4 2 2" xfId="7442" xr:uid="{00000000-0005-0000-0000-00004B1F0000}"/>
    <cellStyle name="Normal 9 2 3 4 2 2 2" xfId="15892" xr:uid="{F24CB006-EFD0-4483-856B-C36CE24D75A3}"/>
    <cellStyle name="Normal 9 2 3 4 2 3" xfId="11674" xr:uid="{88FF0DCF-F09C-478A-AB72-50912501730B}"/>
    <cellStyle name="Normal 9 2 3 4 3" xfId="5297" xr:uid="{00000000-0005-0000-0000-00004C1F0000}"/>
    <cellStyle name="Normal 9 2 3 4 3 2" xfId="13747" xr:uid="{E2D7FC75-96FE-4587-A13D-13428D57A9F2}"/>
    <cellStyle name="Normal 9 2 3 4 4" xfId="9529" xr:uid="{3B15112E-66A2-4DE6-B45A-42EB296393A4}"/>
    <cellStyle name="Normal 9 2 3 5" xfId="1403" xr:uid="{00000000-0005-0000-0000-00004D1F0000}"/>
    <cellStyle name="Normal 9 2 3 5 2" xfId="3633" xr:uid="{00000000-0005-0000-0000-00004E1F0000}"/>
    <cellStyle name="Normal 9 2 3 5 2 2" xfId="7855" xr:uid="{00000000-0005-0000-0000-00004F1F0000}"/>
    <cellStyle name="Normal 9 2 3 5 2 2 2" xfId="16305" xr:uid="{70A95B5C-21B8-4EF5-ADBC-F041558B6E86}"/>
    <cellStyle name="Normal 9 2 3 5 2 3" xfId="12087" xr:uid="{5BDB1AF6-74A4-4DCC-AF08-9AF84B80EFB1}"/>
    <cellStyle name="Normal 9 2 3 5 3" xfId="5710" xr:uid="{00000000-0005-0000-0000-0000501F0000}"/>
    <cellStyle name="Normal 9 2 3 5 3 2" xfId="14160" xr:uid="{7EBADD46-1D75-42B9-82C9-5790CF6F1AD3}"/>
    <cellStyle name="Normal 9 2 3 5 4" xfId="9942" xr:uid="{33B99DC2-94AB-4C63-ADE7-44A304661A1C}"/>
    <cellStyle name="Normal 9 2 3 6" xfId="1816" xr:uid="{00000000-0005-0000-0000-0000511F0000}"/>
    <cellStyle name="Normal 9 2 3 6 2" xfId="4046" xr:uid="{00000000-0005-0000-0000-0000521F0000}"/>
    <cellStyle name="Normal 9 2 3 6 2 2" xfId="8268" xr:uid="{00000000-0005-0000-0000-0000531F0000}"/>
    <cellStyle name="Normal 9 2 3 6 2 2 2" xfId="16718" xr:uid="{6100CA08-12CE-4039-9F93-D2E12C83F6CA}"/>
    <cellStyle name="Normal 9 2 3 6 2 3" xfId="12500" xr:uid="{3F713780-E456-4B4C-950C-0BF27DD71069}"/>
    <cellStyle name="Normal 9 2 3 6 3" xfId="6123" xr:uid="{00000000-0005-0000-0000-0000541F0000}"/>
    <cellStyle name="Normal 9 2 3 6 3 2" xfId="14573" xr:uid="{DC88B0D0-B7A2-4566-95C5-21C1181FF624}"/>
    <cellStyle name="Normal 9 2 3 6 4" xfId="10355" xr:uid="{7FB5B0C1-D9FF-4FFD-BCF8-7540DEA58EC3}"/>
    <cellStyle name="Normal 9 2 3 7" xfId="2230" xr:uid="{00000000-0005-0000-0000-0000551F0000}"/>
    <cellStyle name="Normal 9 2 3 7 2" xfId="4459" xr:uid="{00000000-0005-0000-0000-0000561F0000}"/>
    <cellStyle name="Normal 9 2 3 7 2 2" xfId="8681" xr:uid="{00000000-0005-0000-0000-0000571F0000}"/>
    <cellStyle name="Normal 9 2 3 7 2 2 2" xfId="17131" xr:uid="{8350CA5B-38C0-42FD-9D1B-5918DEA51C55}"/>
    <cellStyle name="Normal 9 2 3 7 2 3" xfId="12913" xr:uid="{5B850151-8922-4C5D-8495-7B4F436699BB}"/>
    <cellStyle name="Normal 9 2 3 7 3" xfId="6536" xr:uid="{00000000-0005-0000-0000-0000581F0000}"/>
    <cellStyle name="Normal 9 2 3 7 3 2" xfId="14986" xr:uid="{50FEA8B9-A5CD-44DC-8097-79A371538839}"/>
    <cellStyle name="Normal 9 2 3 7 4" xfId="10768" xr:uid="{DEA10911-C5DA-4390-BEBC-91A744ED3311}"/>
    <cellStyle name="Normal 9 2 3 8" xfId="2666" xr:uid="{00000000-0005-0000-0000-0000591F0000}"/>
    <cellStyle name="Normal 9 2 3 8 2" xfId="6949" xr:uid="{00000000-0005-0000-0000-00005A1F0000}"/>
    <cellStyle name="Normal 9 2 3 8 2 2" xfId="15399" xr:uid="{46247C19-75DE-464A-978E-943FC7224BB6}"/>
    <cellStyle name="Normal 9 2 3 8 3" xfId="11181" xr:uid="{94C95DFE-807B-40DA-B931-84D3A0600F65}"/>
    <cellStyle name="Normal 9 2 3 9" xfId="4884" xr:uid="{00000000-0005-0000-0000-00005B1F0000}"/>
    <cellStyle name="Normal 9 2 3 9 2" xfId="13334" xr:uid="{15359332-71F0-4C95-B509-E1337F2ADAE6}"/>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5897" xr:uid="{A723BB32-C5D9-490A-BC5F-4BDCE9C7FC97}"/>
    <cellStyle name="Normal 9 2 4 2 2 2 3" xfId="11679" xr:uid="{C75D54E0-C03E-47AB-8BF2-35DBFCDE1E6E}"/>
    <cellStyle name="Normal 9 2 4 2 2 3" xfId="5302" xr:uid="{00000000-0005-0000-0000-0000611F0000}"/>
    <cellStyle name="Normal 9 2 4 2 2 3 2" xfId="13752" xr:uid="{F8A9AD2A-9BA1-4230-B3EF-4A1EC9E2D4B5}"/>
    <cellStyle name="Normal 9 2 4 2 2 4" xfId="9534" xr:uid="{60D9B2CE-88A8-4F67-9F50-93B9D525E4CA}"/>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6310" xr:uid="{BE2B9460-93C5-428E-9717-FC32B7836C19}"/>
    <cellStyle name="Normal 9 2 4 2 3 2 3" xfId="12092" xr:uid="{BE46338A-987F-48BB-A270-28E9CD11BF33}"/>
    <cellStyle name="Normal 9 2 4 2 3 3" xfId="5715" xr:uid="{00000000-0005-0000-0000-0000651F0000}"/>
    <cellStyle name="Normal 9 2 4 2 3 3 2" xfId="14165" xr:uid="{16F73F23-C689-4E5A-99D1-EC067F41DD34}"/>
    <cellStyle name="Normal 9 2 4 2 3 4" xfId="9947" xr:uid="{A9BEA29B-CCAB-453C-82BD-39CB9FAFC2EF}"/>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6723" xr:uid="{50651622-3871-4834-8F9E-FE5DCE9B200D}"/>
    <cellStyle name="Normal 9 2 4 2 4 2 3" xfId="12505" xr:uid="{B05F9BB0-7CC3-43F9-A9E3-5722C89ABE61}"/>
    <cellStyle name="Normal 9 2 4 2 4 3" xfId="6128" xr:uid="{00000000-0005-0000-0000-0000691F0000}"/>
    <cellStyle name="Normal 9 2 4 2 4 3 2" xfId="14578" xr:uid="{348C3FC8-593F-4B59-81AB-85938A10324F}"/>
    <cellStyle name="Normal 9 2 4 2 4 4" xfId="10360" xr:uid="{0BD8981B-C29C-472A-9413-77EB96ED2B33}"/>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7136" xr:uid="{891982C7-9907-4C32-B01F-3C856DBF2954}"/>
    <cellStyle name="Normal 9 2 4 2 5 2 3" xfId="12918" xr:uid="{559098E3-B2B6-4B90-89EC-265FCB5DCDAD}"/>
    <cellStyle name="Normal 9 2 4 2 5 3" xfId="6541" xr:uid="{00000000-0005-0000-0000-00006D1F0000}"/>
    <cellStyle name="Normal 9 2 4 2 5 3 2" xfId="14991" xr:uid="{269C84B5-5437-414A-92A2-FB6AD55633F8}"/>
    <cellStyle name="Normal 9 2 4 2 5 4" xfId="10773" xr:uid="{13AAFB76-9CB7-4CF9-9A44-C3DDC98863A9}"/>
    <cellStyle name="Normal 9 2 4 2 6" xfId="2671" xr:uid="{00000000-0005-0000-0000-00006E1F0000}"/>
    <cellStyle name="Normal 9 2 4 2 6 2" xfId="6954" xr:uid="{00000000-0005-0000-0000-00006F1F0000}"/>
    <cellStyle name="Normal 9 2 4 2 6 2 2" xfId="15404" xr:uid="{5AB5BF63-CC92-4AA0-99B6-DDA48547F822}"/>
    <cellStyle name="Normal 9 2 4 2 6 3" xfId="11186" xr:uid="{813BA777-0FC1-476D-BC99-C9DABF5AE421}"/>
    <cellStyle name="Normal 9 2 4 2 7" xfId="4889" xr:uid="{00000000-0005-0000-0000-0000701F0000}"/>
    <cellStyle name="Normal 9 2 4 2 7 2" xfId="13339" xr:uid="{845824D1-0A94-4760-973D-12A3173E8A05}"/>
    <cellStyle name="Normal 9 2 4 2 8" xfId="9121" xr:uid="{7B44AFB4-718A-45BF-857A-34A50A3224BA}"/>
    <cellStyle name="Normal 9 2 4 3" xfId="991" xr:uid="{00000000-0005-0000-0000-0000711F0000}"/>
    <cellStyle name="Normal 9 2 4 3 2" xfId="3224" xr:uid="{00000000-0005-0000-0000-0000721F0000}"/>
    <cellStyle name="Normal 9 2 4 3 2 2" xfId="7446" xr:uid="{00000000-0005-0000-0000-0000731F0000}"/>
    <cellStyle name="Normal 9 2 4 3 2 2 2" xfId="15896" xr:uid="{28445615-7692-4BA8-822A-DFBC1455447D}"/>
    <cellStyle name="Normal 9 2 4 3 2 3" xfId="11678" xr:uid="{F9BDC8D9-AE80-4583-B089-1BA0056FD6DF}"/>
    <cellStyle name="Normal 9 2 4 3 3" xfId="5301" xr:uid="{00000000-0005-0000-0000-0000741F0000}"/>
    <cellStyle name="Normal 9 2 4 3 3 2" xfId="13751" xr:uid="{B1C1DE0C-B7EB-4AE0-8619-085844846B2E}"/>
    <cellStyle name="Normal 9 2 4 3 4" xfId="9533" xr:uid="{15DF23BD-4D6F-4A93-855E-0D0E60AE7A71}"/>
    <cellStyle name="Normal 9 2 4 4" xfId="1407" xr:uid="{00000000-0005-0000-0000-0000751F0000}"/>
    <cellStyle name="Normal 9 2 4 4 2" xfId="3637" xr:uid="{00000000-0005-0000-0000-0000761F0000}"/>
    <cellStyle name="Normal 9 2 4 4 2 2" xfId="7859" xr:uid="{00000000-0005-0000-0000-0000771F0000}"/>
    <cellStyle name="Normal 9 2 4 4 2 2 2" xfId="16309" xr:uid="{032CBFE8-57A7-4C10-B1B7-800CFF62D164}"/>
    <cellStyle name="Normal 9 2 4 4 2 3" xfId="12091" xr:uid="{FFB4B245-0BD0-4608-92D8-BC69D4097771}"/>
    <cellStyle name="Normal 9 2 4 4 3" xfId="5714" xr:uid="{00000000-0005-0000-0000-0000781F0000}"/>
    <cellStyle name="Normal 9 2 4 4 3 2" xfId="14164" xr:uid="{3F1B602D-87F7-411D-ADE9-0D06E5162F13}"/>
    <cellStyle name="Normal 9 2 4 4 4" xfId="9946" xr:uid="{A45E1B77-1EB8-4729-80A3-891AB639B362}"/>
    <cellStyle name="Normal 9 2 4 5" xfId="1820" xr:uid="{00000000-0005-0000-0000-0000791F0000}"/>
    <cellStyle name="Normal 9 2 4 5 2" xfId="4050" xr:uid="{00000000-0005-0000-0000-00007A1F0000}"/>
    <cellStyle name="Normal 9 2 4 5 2 2" xfId="8272" xr:uid="{00000000-0005-0000-0000-00007B1F0000}"/>
    <cellStyle name="Normal 9 2 4 5 2 2 2" xfId="16722" xr:uid="{970ACBF3-29A5-4E2A-BB94-2E114B529BE4}"/>
    <cellStyle name="Normal 9 2 4 5 2 3" xfId="12504" xr:uid="{563DA299-D653-4CC0-BC07-9B604D53A3FE}"/>
    <cellStyle name="Normal 9 2 4 5 3" xfId="6127" xr:uid="{00000000-0005-0000-0000-00007C1F0000}"/>
    <cellStyle name="Normal 9 2 4 5 3 2" xfId="14577" xr:uid="{C90376C3-38F2-4D20-9854-AFD9D6A50398}"/>
    <cellStyle name="Normal 9 2 4 5 4" xfId="10359" xr:uid="{619A9560-0697-4493-AC0C-F38406EF9943}"/>
    <cellStyle name="Normal 9 2 4 6" xfId="2234" xr:uid="{00000000-0005-0000-0000-00007D1F0000}"/>
    <cellStyle name="Normal 9 2 4 6 2" xfId="4463" xr:uid="{00000000-0005-0000-0000-00007E1F0000}"/>
    <cellStyle name="Normal 9 2 4 6 2 2" xfId="8685" xr:uid="{00000000-0005-0000-0000-00007F1F0000}"/>
    <cellStyle name="Normal 9 2 4 6 2 2 2" xfId="17135" xr:uid="{2256BB62-48EF-4B77-815D-A1832C2D507B}"/>
    <cellStyle name="Normal 9 2 4 6 2 3" xfId="12917" xr:uid="{C679D095-41F4-468C-98A2-C469F0E8144F}"/>
    <cellStyle name="Normal 9 2 4 6 3" xfId="6540" xr:uid="{00000000-0005-0000-0000-0000801F0000}"/>
    <cellStyle name="Normal 9 2 4 6 3 2" xfId="14990" xr:uid="{80B870FC-E789-44AE-84C3-60D447C7289F}"/>
    <cellStyle name="Normal 9 2 4 6 4" xfId="10772" xr:uid="{5FC86C85-0EA9-445A-9E9A-186BF83B7F9A}"/>
    <cellStyle name="Normal 9 2 4 7" xfId="2670" xr:uid="{00000000-0005-0000-0000-0000811F0000}"/>
    <cellStyle name="Normal 9 2 4 7 2" xfId="6953" xr:uid="{00000000-0005-0000-0000-0000821F0000}"/>
    <cellStyle name="Normal 9 2 4 7 2 2" xfId="15403" xr:uid="{AAF69F3C-6E85-45A4-B1F6-23A3F010174A}"/>
    <cellStyle name="Normal 9 2 4 7 3" xfId="11185" xr:uid="{1C759018-DD36-477E-9C48-57DA8A14F000}"/>
    <cellStyle name="Normal 9 2 4 8" xfId="4888" xr:uid="{00000000-0005-0000-0000-0000831F0000}"/>
    <cellStyle name="Normal 9 2 4 8 2" xfId="13338" xr:uid="{F497E165-EDED-4D3C-A330-E4AE63482B71}"/>
    <cellStyle name="Normal 9 2 4 9" xfId="9120" xr:uid="{8881A33C-8C33-4377-B865-FFE3BE037386}"/>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5898" xr:uid="{B7FA353B-2027-415C-9F00-DA81010640BC}"/>
    <cellStyle name="Normal 9 2 5 2 2 3" xfId="11680" xr:uid="{0909A31C-0996-4F82-A46D-E881E0213BB8}"/>
    <cellStyle name="Normal 9 2 5 2 3" xfId="5303" xr:uid="{00000000-0005-0000-0000-0000881F0000}"/>
    <cellStyle name="Normal 9 2 5 2 3 2" xfId="13753" xr:uid="{DDAA9808-E0E7-4F2E-9C96-DACA22711CF1}"/>
    <cellStyle name="Normal 9 2 5 2 4" xfId="9535" xr:uid="{3C4E2285-02E9-4731-87F9-58DCD09B57F9}"/>
    <cellStyle name="Normal 9 2 5 3" xfId="1409" xr:uid="{00000000-0005-0000-0000-0000891F0000}"/>
    <cellStyle name="Normal 9 2 5 3 2" xfId="3639" xr:uid="{00000000-0005-0000-0000-00008A1F0000}"/>
    <cellStyle name="Normal 9 2 5 3 2 2" xfId="7861" xr:uid="{00000000-0005-0000-0000-00008B1F0000}"/>
    <cellStyle name="Normal 9 2 5 3 2 2 2" xfId="16311" xr:uid="{78307B1B-2E5A-48E7-9C90-999A3DA7F12C}"/>
    <cellStyle name="Normal 9 2 5 3 2 3" xfId="12093" xr:uid="{40563520-CEA9-44E3-80F5-9E3B5367E345}"/>
    <cellStyle name="Normal 9 2 5 3 3" xfId="5716" xr:uid="{00000000-0005-0000-0000-00008C1F0000}"/>
    <cellStyle name="Normal 9 2 5 3 3 2" xfId="14166" xr:uid="{B5677987-239D-41F2-B2DF-F3E275A40E97}"/>
    <cellStyle name="Normal 9 2 5 3 4" xfId="9948" xr:uid="{E1806CC0-9817-46EF-A045-339B1DC28119}"/>
    <cellStyle name="Normal 9 2 5 4" xfId="1822" xr:uid="{00000000-0005-0000-0000-00008D1F0000}"/>
    <cellStyle name="Normal 9 2 5 4 2" xfId="4052" xr:uid="{00000000-0005-0000-0000-00008E1F0000}"/>
    <cellStyle name="Normal 9 2 5 4 2 2" xfId="8274" xr:uid="{00000000-0005-0000-0000-00008F1F0000}"/>
    <cellStyle name="Normal 9 2 5 4 2 2 2" xfId="16724" xr:uid="{86A26466-72D0-4C50-B506-20D1820B01E8}"/>
    <cellStyle name="Normal 9 2 5 4 2 3" xfId="12506" xr:uid="{EED44442-8ED0-4CBA-BECB-2BD80719359B}"/>
    <cellStyle name="Normal 9 2 5 4 3" xfId="6129" xr:uid="{00000000-0005-0000-0000-0000901F0000}"/>
    <cellStyle name="Normal 9 2 5 4 3 2" xfId="14579" xr:uid="{E2B7B617-131E-45DA-9E7E-E6886D195C4B}"/>
    <cellStyle name="Normal 9 2 5 4 4" xfId="10361" xr:uid="{BDFDA063-55B0-4FD2-B2DE-607623FFEFA7}"/>
    <cellStyle name="Normal 9 2 5 5" xfId="2236" xr:uid="{00000000-0005-0000-0000-0000911F0000}"/>
    <cellStyle name="Normal 9 2 5 5 2" xfId="4465" xr:uid="{00000000-0005-0000-0000-0000921F0000}"/>
    <cellStyle name="Normal 9 2 5 5 2 2" xfId="8687" xr:uid="{00000000-0005-0000-0000-0000931F0000}"/>
    <cellStyle name="Normal 9 2 5 5 2 2 2" xfId="17137" xr:uid="{1D4B2918-E9E4-43DE-A130-B69E1BDCCCBC}"/>
    <cellStyle name="Normal 9 2 5 5 2 3" xfId="12919" xr:uid="{DC61DE49-7571-4C52-88F8-7D4A90212564}"/>
    <cellStyle name="Normal 9 2 5 5 3" xfId="6542" xr:uid="{00000000-0005-0000-0000-0000941F0000}"/>
    <cellStyle name="Normal 9 2 5 5 3 2" xfId="14992" xr:uid="{3861C55A-5710-4D32-B869-B7FF60205140}"/>
    <cellStyle name="Normal 9 2 5 5 4" xfId="10774" xr:uid="{E067F582-F145-4F97-B18A-D20922217FCD}"/>
    <cellStyle name="Normal 9 2 5 6" xfId="2672" xr:uid="{00000000-0005-0000-0000-0000951F0000}"/>
    <cellStyle name="Normal 9 2 5 6 2" xfId="6955" xr:uid="{00000000-0005-0000-0000-0000961F0000}"/>
    <cellStyle name="Normal 9 2 5 6 2 2" xfId="15405" xr:uid="{2E76B5EC-236B-4F99-BE10-C55F3BB7C02B}"/>
    <cellStyle name="Normal 9 2 5 6 3" xfId="11187" xr:uid="{8248DE5B-1660-44DD-8421-F4CC3BDFC0EC}"/>
    <cellStyle name="Normal 9 2 5 7" xfId="4890" xr:uid="{00000000-0005-0000-0000-0000971F0000}"/>
    <cellStyle name="Normal 9 2 5 7 2" xfId="13340" xr:uid="{A5DC8378-B00B-4B02-8E02-619CB27B279A}"/>
    <cellStyle name="Normal 9 2 5 8" xfId="9122" xr:uid="{14BEFF28-17F0-455F-A3C4-06F40358B6CC}"/>
    <cellStyle name="Normal 9 2 6" xfId="978" xr:uid="{00000000-0005-0000-0000-0000981F0000}"/>
    <cellStyle name="Normal 9 2 6 2" xfId="3211" xr:uid="{00000000-0005-0000-0000-0000991F0000}"/>
    <cellStyle name="Normal 9 2 6 2 2" xfId="7433" xr:uid="{00000000-0005-0000-0000-00009A1F0000}"/>
    <cellStyle name="Normal 9 2 6 2 2 2" xfId="15883" xr:uid="{C3B2AEA1-DC98-4CC4-BE6A-1BC58A9490C9}"/>
    <cellStyle name="Normal 9 2 6 2 3" xfId="11665" xr:uid="{30A3ADE5-E780-463A-B0F5-C61DAE432D2C}"/>
    <cellStyle name="Normal 9 2 6 3" xfId="5288" xr:uid="{00000000-0005-0000-0000-00009B1F0000}"/>
    <cellStyle name="Normal 9 2 6 3 2" xfId="13738" xr:uid="{F02A0BC9-9E3A-4282-A9F5-836CB9367BD9}"/>
    <cellStyle name="Normal 9 2 6 4" xfId="9520" xr:uid="{6BCA7BBE-72D1-40F7-B14A-6C74D4D7D172}"/>
    <cellStyle name="Normal 9 2 7" xfId="1394" xr:uid="{00000000-0005-0000-0000-00009C1F0000}"/>
    <cellStyle name="Normal 9 2 7 2" xfId="3624" xr:uid="{00000000-0005-0000-0000-00009D1F0000}"/>
    <cellStyle name="Normal 9 2 7 2 2" xfId="7846" xr:uid="{00000000-0005-0000-0000-00009E1F0000}"/>
    <cellStyle name="Normal 9 2 7 2 2 2" xfId="16296" xr:uid="{13AED3BE-E8EC-471F-BC58-6735D4C8C6FC}"/>
    <cellStyle name="Normal 9 2 7 2 3" xfId="12078" xr:uid="{AACFDB67-0A19-44BD-A1A6-5BFB8274F1AE}"/>
    <cellStyle name="Normal 9 2 7 3" xfId="5701" xr:uid="{00000000-0005-0000-0000-00009F1F0000}"/>
    <cellStyle name="Normal 9 2 7 3 2" xfId="14151" xr:uid="{643A2326-985F-462E-8D91-521806A1FAFA}"/>
    <cellStyle name="Normal 9 2 7 4" xfId="9933" xr:uid="{0FE923B5-B9CB-44AC-94A0-DB37A07AFCFC}"/>
    <cellStyle name="Normal 9 2 8" xfId="1807" xr:uid="{00000000-0005-0000-0000-0000A01F0000}"/>
    <cellStyle name="Normal 9 2 8 2" xfId="4037" xr:uid="{00000000-0005-0000-0000-0000A11F0000}"/>
    <cellStyle name="Normal 9 2 8 2 2" xfId="8259" xr:uid="{00000000-0005-0000-0000-0000A21F0000}"/>
    <cellStyle name="Normal 9 2 8 2 2 2" xfId="16709" xr:uid="{ACA3EE50-0873-4B18-97A4-516025152FB6}"/>
    <cellStyle name="Normal 9 2 8 2 3" xfId="12491" xr:uid="{EEE7727C-325C-4BC4-8DFE-0F4A7094313A}"/>
    <cellStyle name="Normal 9 2 8 3" xfId="6114" xr:uid="{00000000-0005-0000-0000-0000A31F0000}"/>
    <cellStyle name="Normal 9 2 8 3 2" xfId="14564" xr:uid="{9E47F99F-C921-4943-A750-45294E5CF3ED}"/>
    <cellStyle name="Normal 9 2 8 4" xfId="10346" xr:uid="{927F2861-07C4-44F9-ACD5-F85A026498D8}"/>
    <cellStyle name="Normal 9 2 9" xfId="2221" xr:uid="{00000000-0005-0000-0000-0000A41F0000}"/>
    <cellStyle name="Normal 9 2 9 2" xfId="4450" xr:uid="{00000000-0005-0000-0000-0000A51F0000}"/>
    <cellStyle name="Normal 9 2 9 2 2" xfId="8672" xr:uid="{00000000-0005-0000-0000-0000A61F0000}"/>
    <cellStyle name="Normal 9 2 9 2 2 2" xfId="17122" xr:uid="{00AB6821-8D9E-4F32-87F6-7FEC30083678}"/>
    <cellStyle name="Normal 9 2 9 2 3" xfId="12904" xr:uid="{2A1AC55B-6AF5-4AFA-915F-BE773A5C09BD}"/>
    <cellStyle name="Normal 9 2 9 3" xfId="6527" xr:uid="{00000000-0005-0000-0000-0000A71F0000}"/>
    <cellStyle name="Normal 9 2 9 3 2" xfId="14977" xr:uid="{A8CD9EC6-8746-4594-85BB-7F80FE466D29}"/>
    <cellStyle name="Normal 9 2 9 4" xfId="10759" xr:uid="{94BB2E33-448F-4ABD-A835-587A15707FA7}"/>
    <cellStyle name="Normal 9 3" xfId="527" xr:uid="{00000000-0005-0000-0000-0000A81F0000}"/>
    <cellStyle name="Normal 9 3 10" xfId="4891" xr:uid="{00000000-0005-0000-0000-0000A91F0000}"/>
    <cellStyle name="Normal 9 3 10 2" xfId="13341" xr:uid="{323A34CE-453C-4895-B0A4-EC15F39CF80B}"/>
    <cellStyle name="Normal 9 3 11" xfId="9123" xr:uid="{6A99B5B9-7448-4C60-8833-2A862254973E}"/>
    <cellStyle name="Normal 9 3 2" xfId="528" xr:uid="{00000000-0005-0000-0000-0000AA1F0000}"/>
    <cellStyle name="Normal 9 3 2 10" xfId="9124" xr:uid="{20CD5449-E7B8-4E75-97E6-8F77BB34CD35}"/>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5902" xr:uid="{160EB863-072A-4663-AB9A-8E3D9823F539}"/>
    <cellStyle name="Normal 9 3 2 2 2 2 2 3" xfId="11684" xr:uid="{DB2397A0-6080-438C-B3F9-F6F0A40D001E}"/>
    <cellStyle name="Normal 9 3 2 2 2 2 3" xfId="5307" xr:uid="{00000000-0005-0000-0000-0000B01F0000}"/>
    <cellStyle name="Normal 9 3 2 2 2 2 3 2" xfId="13757" xr:uid="{5318F195-2A02-4C58-AFB8-E4DC550DAE19}"/>
    <cellStyle name="Normal 9 3 2 2 2 2 4" xfId="9539" xr:uid="{BBA90F0C-B4EA-47DE-81FE-512BCAE2259D}"/>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6315" xr:uid="{A5DBACB9-E8D2-4ED5-B9B8-60664F2A8338}"/>
    <cellStyle name="Normal 9 3 2 2 2 3 2 3" xfId="12097" xr:uid="{10622B10-7206-4BBE-B5A0-8334D4593DDB}"/>
    <cellStyle name="Normal 9 3 2 2 2 3 3" xfId="5720" xr:uid="{00000000-0005-0000-0000-0000B41F0000}"/>
    <cellStyle name="Normal 9 3 2 2 2 3 3 2" xfId="14170" xr:uid="{F2DD31AE-9FB9-4DC1-B394-A5F7CC026F54}"/>
    <cellStyle name="Normal 9 3 2 2 2 3 4" xfId="9952" xr:uid="{EC7CEE12-5125-44AB-A68F-CB152997011B}"/>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6728" xr:uid="{7D903416-C2EC-42DA-80A3-EC1EE2C74AE0}"/>
    <cellStyle name="Normal 9 3 2 2 2 4 2 3" xfId="12510" xr:uid="{7D498E07-0FD9-483C-AAE2-E332650DDC68}"/>
    <cellStyle name="Normal 9 3 2 2 2 4 3" xfId="6133" xr:uid="{00000000-0005-0000-0000-0000B81F0000}"/>
    <cellStyle name="Normal 9 3 2 2 2 4 3 2" xfId="14583" xr:uid="{0A133DD7-24EB-4D26-A344-51E357E8D92B}"/>
    <cellStyle name="Normal 9 3 2 2 2 4 4" xfId="10365" xr:uid="{AAAA46E7-99C6-492F-BB3B-EDA5F746C0D3}"/>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7141" xr:uid="{55BD7A18-7E4A-4637-B64C-F9EDE224252B}"/>
    <cellStyle name="Normal 9 3 2 2 2 5 2 3" xfId="12923" xr:uid="{8AE46947-5FB8-44C8-9956-E52F6175D3E1}"/>
    <cellStyle name="Normal 9 3 2 2 2 5 3" xfId="6546" xr:uid="{00000000-0005-0000-0000-0000BC1F0000}"/>
    <cellStyle name="Normal 9 3 2 2 2 5 3 2" xfId="14996" xr:uid="{5D2F03EE-24F8-45BD-B47A-2FFD53B450BD}"/>
    <cellStyle name="Normal 9 3 2 2 2 5 4" xfId="10778" xr:uid="{BB5E8DC8-A9BE-4B10-9D59-6D37C5322018}"/>
    <cellStyle name="Normal 9 3 2 2 2 6" xfId="2676" xr:uid="{00000000-0005-0000-0000-0000BD1F0000}"/>
    <cellStyle name="Normal 9 3 2 2 2 6 2" xfId="6959" xr:uid="{00000000-0005-0000-0000-0000BE1F0000}"/>
    <cellStyle name="Normal 9 3 2 2 2 6 2 2" xfId="15409" xr:uid="{4FCF1A97-5BBD-400A-9FC4-D581D20A51D3}"/>
    <cellStyle name="Normal 9 3 2 2 2 6 3" xfId="11191" xr:uid="{CF07D6C0-3D55-4A65-9A9D-3902B42BFDE7}"/>
    <cellStyle name="Normal 9 3 2 2 2 7" xfId="4894" xr:uid="{00000000-0005-0000-0000-0000BF1F0000}"/>
    <cellStyle name="Normal 9 3 2 2 2 7 2" xfId="13344" xr:uid="{51A20854-C6D3-4E1A-A554-4CD89DDB332C}"/>
    <cellStyle name="Normal 9 3 2 2 2 8" xfId="9126" xr:uid="{0F3BA51F-98A5-451B-A05B-3266CEA0CD9E}"/>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5901" xr:uid="{E8AFCF66-DF57-4B21-9BD4-99752EC0919E}"/>
    <cellStyle name="Normal 9 3 2 2 3 2 3" xfId="11683" xr:uid="{DA0833D7-FE9C-48D4-9BCD-337442298EF5}"/>
    <cellStyle name="Normal 9 3 2 2 3 3" xfId="5306" xr:uid="{00000000-0005-0000-0000-0000C31F0000}"/>
    <cellStyle name="Normal 9 3 2 2 3 3 2" xfId="13756" xr:uid="{51CAC9F7-9ABF-4F2D-8EA3-0F3B57EF77D4}"/>
    <cellStyle name="Normal 9 3 2 2 3 4" xfId="9538" xr:uid="{E75CB7D5-0EF9-4F3A-91C3-4CF007E5018C}"/>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6314" xr:uid="{9A9B6091-363C-47CF-8ED2-E7DADC7187AF}"/>
    <cellStyle name="Normal 9 3 2 2 4 2 3" xfId="12096" xr:uid="{9D954FD1-4559-49A1-B0FE-5E02D7CA97C9}"/>
    <cellStyle name="Normal 9 3 2 2 4 3" xfId="5719" xr:uid="{00000000-0005-0000-0000-0000C71F0000}"/>
    <cellStyle name="Normal 9 3 2 2 4 3 2" xfId="14169" xr:uid="{301A1538-7255-430C-A8D9-93EAF4C813D7}"/>
    <cellStyle name="Normal 9 3 2 2 4 4" xfId="9951" xr:uid="{A50942A1-B0A3-448D-BDB2-BA693E2831F0}"/>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6727" xr:uid="{8AF0B05D-A9C4-4891-AD34-309A9EF7EF97}"/>
    <cellStyle name="Normal 9 3 2 2 5 2 3" xfId="12509" xr:uid="{C12F5CD8-07EF-453A-A29E-5292E826BDFB}"/>
    <cellStyle name="Normal 9 3 2 2 5 3" xfId="6132" xr:uid="{00000000-0005-0000-0000-0000CB1F0000}"/>
    <cellStyle name="Normal 9 3 2 2 5 3 2" xfId="14582" xr:uid="{FB5FDE14-C273-4AA1-9764-B159571B4A7B}"/>
    <cellStyle name="Normal 9 3 2 2 5 4" xfId="10364" xr:uid="{A618F976-C125-4C38-BE51-C059E7D5A3BD}"/>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7140" xr:uid="{A07B14AB-BC78-4628-9DD5-16A9C7AE9729}"/>
    <cellStyle name="Normal 9 3 2 2 6 2 3" xfId="12922" xr:uid="{8B8D05B3-4E50-4A81-AE62-0D01EC888781}"/>
    <cellStyle name="Normal 9 3 2 2 6 3" xfId="6545" xr:uid="{00000000-0005-0000-0000-0000CF1F0000}"/>
    <cellStyle name="Normal 9 3 2 2 6 3 2" xfId="14995" xr:uid="{516B6B4B-F073-4D80-8D4E-1405110107B9}"/>
    <cellStyle name="Normal 9 3 2 2 6 4" xfId="10777" xr:uid="{4864308E-B19E-47F6-9D3F-47D0664ECC59}"/>
    <cellStyle name="Normal 9 3 2 2 7" xfId="2675" xr:uid="{00000000-0005-0000-0000-0000D01F0000}"/>
    <cellStyle name="Normal 9 3 2 2 7 2" xfId="6958" xr:uid="{00000000-0005-0000-0000-0000D11F0000}"/>
    <cellStyle name="Normal 9 3 2 2 7 2 2" xfId="15408" xr:uid="{A2DF8B6E-2278-4913-BB02-DDC940120B23}"/>
    <cellStyle name="Normal 9 3 2 2 7 3" xfId="11190" xr:uid="{8B8EC568-3AC5-4531-914B-C98FC8A79C72}"/>
    <cellStyle name="Normal 9 3 2 2 8" xfId="4893" xr:uid="{00000000-0005-0000-0000-0000D21F0000}"/>
    <cellStyle name="Normal 9 3 2 2 8 2" xfId="13343" xr:uid="{E1CCBDDC-A89A-43F7-AA92-F2D8CC18D5D7}"/>
    <cellStyle name="Normal 9 3 2 2 9" xfId="9125" xr:uid="{5F3999BF-F1C5-42BE-B8D6-D1B4B8AD0A63}"/>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5903" xr:uid="{8CC18FA6-4EFD-47ED-93F1-7AEC9E81C6AF}"/>
    <cellStyle name="Normal 9 3 2 3 2 2 3" xfId="11685" xr:uid="{BC06B494-AABB-4F16-B1A4-41393F81C4FC}"/>
    <cellStyle name="Normal 9 3 2 3 2 3" xfId="5308" xr:uid="{00000000-0005-0000-0000-0000D71F0000}"/>
    <cellStyle name="Normal 9 3 2 3 2 3 2" xfId="13758" xr:uid="{25136539-D09A-41C5-9781-ADE598375D6A}"/>
    <cellStyle name="Normal 9 3 2 3 2 4" xfId="9540" xr:uid="{94D898A5-D685-444E-B09C-A651619B7FAE}"/>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6316" xr:uid="{C2D8E64B-E936-4375-B543-CFAD8D6720EF}"/>
    <cellStyle name="Normal 9 3 2 3 3 2 3" xfId="12098" xr:uid="{21CB4EDD-C751-47CA-976D-82E82E0E62D2}"/>
    <cellStyle name="Normal 9 3 2 3 3 3" xfId="5721" xr:uid="{00000000-0005-0000-0000-0000DB1F0000}"/>
    <cellStyle name="Normal 9 3 2 3 3 3 2" xfId="14171" xr:uid="{7AF57034-4C86-4EB6-B73B-2864ACC77750}"/>
    <cellStyle name="Normal 9 3 2 3 3 4" xfId="9953" xr:uid="{181BF690-B109-42CA-9167-0E8F123C94AC}"/>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6729" xr:uid="{C68CE294-125D-4D4C-B08E-89AB87D831A9}"/>
    <cellStyle name="Normal 9 3 2 3 4 2 3" xfId="12511" xr:uid="{54BC0FA8-5AE0-4482-A666-44862DA87F78}"/>
    <cellStyle name="Normal 9 3 2 3 4 3" xfId="6134" xr:uid="{00000000-0005-0000-0000-0000DF1F0000}"/>
    <cellStyle name="Normal 9 3 2 3 4 3 2" xfId="14584" xr:uid="{D5EC154B-B3A9-43B8-BEA9-2272D6B2EE7E}"/>
    <cellStyle name="Normal 9 3 2 3 4 4" xfId="10366" xr:uid="{A899936D-1D7B-465C-A0BC-26DFD94C1812}"/>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7142" xr:uid="{7E7C20BF-1255-472B-9297-F93CD24EA44A}"/>
    <cellStyle name="Normal 9 3 2 3 5 2 3" xfId="12924" xr:uid="{E29D58A6-5BF8-4DB1-9414-0D83E4A6AE39}"/>
    <cellStyle name="Normal 9 3 2 3 5 3" xfId="6547" xr:uid="{00000000-0005-0000-0000-0000E31F0000}"/>
    <cellStyle name="Normal 9 3 2 3 5 3 2" xfId="14997" xr:uid="{93298C5E-26FA-4323-9F6C-5C16F07C10B1}"/>
    <cellStyle name="Normal 9 3 2 3 5 4" xfId="10779" xr:uid="{A87B1C38-5020-4D8B-909E-A594405670EB}"/>
    <cellStyle name="Normal 9 3 2 3 6" xfId="2677" xr:uid="{00000000-0005-0000-0000-0000E41F0000}"/>
    <cellStyle name="Normal 9 3 2 3 6 2" xfId="6960" xr:uid="{00000000-0005-0000-0000-0000E51F0000}"/>
    <cellStyle name="Normal 9 3 2 3 6 2 2" xfId="15410" xr:uid="{FAD5F62E-25FD-416B-AACC-A708507675F6}"/>
    <cellStyle name="Normal 9 3 2 3 6 3" xfId="11192" xr:uid="{57ABEDDE-A043-4759-982C-127230BDF4C9}"/>
    <cellStyle name="Normal 9 3 2 3 7" xfId="4895" xr:uid="{00000000-0005-0000-0000-0000E61F0000}"/>
    <cellStyle name="Normal 9 3 2 3 7 2" xfId="13345" xr:uid="{85948EC4-E764-4B65-A86B-F15E9DB08664}"/>
    <cellStyle name="Normal 9 3 2 3 8" xfId="9127" xr:uid="{79BB522D-969E-49A7-AA09-6FBCDD83AB40}"/>
    <cellStyle name="Normal 9 3 2 4" xfId="995" xr:uid="{00000000-0005-0000-0000-0000E71F0000}"/>
    <cellStyle name="Normal 9 3 2 4 2" xfId="3228" xr:uid="{00000000-0005-0000-0000-0000E81F0000}"/>
    <cellStyle name="Normal 9 3 2 4 2 2" xfId="7450" xr:uid="{00000000-0005-0000-0000-0000E91F0000}"/>
    <cellStyle name="Normal 9 3 2 4 2 2 2" xfId="15900" xr:uid="{9D722271-B51D-494A-BB80-7488B0329FA1}"/>
    <cellStyle name="Normal 9 3 2 4 2 3" xfId="11682" xr:uid="{FAFA054A-F500-43B3-87E3-9C1D5B7989C8}"/>
    <cellStyle name="Normal 9 3 2 4 3" xfId="5305" xr:uid="{00000000-0005-0000-0000-0000EA1F0000}"/>
    <cellStyle name="Normal 9 3 2 4 3 2" xfId="13755" xr:uid="{CE388D71-642B-448B-80F1-936FAABAC323}"/>
    <cellStyle name="Normal 9 3 2 4 4" xfId="9537" xr:uid="{6001DD93-0803-46FF-B6C8-D7CA7DB24712}"/>
    <cellStyle name="Normal 9 3 2 5" xfId="1411" xr:uid="{00000000-0005-0000-0000-0000EB1F0000}"/>
    <cellStyle name="Normal 9 3 2 5 2" xfId="3641" xr:uid="{00000000-0005-0000-0000-0000EC1F0000}"/>
    <cellStyle name="Normal 9 3 2 5 2 2" xfId="7863" xr:uid="{00000000-0005-0000-0000-0000ED1F0000}"/>
    <cellStyle name="Normal 9 3 2 5 2 2 2" xfId="16313" xr:uid="{6F3A638C-18D9-4DAC-B6C9-E368127874DF}"/>
    <cellStyle name="Normal 9 3 2 5 2 3" xfId="12095" xr:uid="{4C12D782-09F2-4A4A-BC13-8D0CE7227B8E}"/>
    <cellStyle name="Normal 9 3 2 5 3" xfId="5718" xr:uid="{00000000-0005-0000-0000-0000EE1F0000}"/>
    <cellStyle name="Normal 9 3 2 5 3 2" xfId="14168" xr:uid="{0D334E2A-5061-43B7-9121-19ED1FCB6051}"/>
    <cellStyle name="Normal 9 3 2 5 4" xfId="9950" xr:uid="{4465466C-ED5B-4020-A4FD-5FD56B336FE8}"/>
    <cellStyle name="Normal 9 3 2 6" xfId="1824" xr:uid="{00000000-0005-0000-0000-0000EF1F0000}"/>
    <cellStyle name="Normal 9 3 2 6 2" xfId="4054" xr:uid="{00000000-0005-0000-0000-0000F01F0000}"/>
    <cellStyle name="Normal 9 3 2 6 2 2" xfId="8276" xr:uid="{00000000-0005-0000-0000-0000F11F0000}"/>
    <cellStyle name="Normal 9 3 2 6 2 2 2" xfId="16726" xr:uid="{B0F03CFC-4A17-4EF1-BEE7-2F2353F30BD0}"/>
    <cellStyle name="Normal 9 3 2 6 2 3" xfId="12508" xr:uid="{D0C30F70-9341-4C05-8B40-7CAB4D5A3C18}"/>
    <cellStyle name="Normal 9 3 2 6 3" xfId="6131" xr:uid="{00000000-0005-0000-0000-0000F21F0000}"/>
    <cellStyle name="Normal 9 3 2 6 3 2" xfId="14581" xr:uid="{FB732C69-F05B-44BD-A4FD-1EE8BEF94E30}"/>
    <cellStyle name="Normal 9 3 2 6 4" xfId="10363" xr:uid="{D6941171-E5B9-43CC-AD6C-B68A0E9B41A3}"/>
    <cellStyle name="Normal 9 3 2 7" xfId="2238" xr:uid="{00000000-0005-0000-0000-0000F31F0000}"/>
    <cellStyle name="Normal 9 3 2 7 2" xfId="4467" xr:uid="{00000000-0005-0000-0000-0000F41F0000}"/>
    <cellStyle name="Normal 9 3 2 7 2 2" xfId="8689" xr:uid="{00000000-0005-0000-0000-0000F51F0000}"/>
    <cellStyle name="Normal 9 3 2 7 2 2 2" xfId="17139" xr:uid="{9A80E381-8271-479D-ABA1-324A8BEAC6D0}"/>
    <cellStyle name="Normal 9 3 2 7 2 3" xfId="12921" xr:uid="{AE88540C-7CDC-4C66-8F00-8AA397B81494}"/>
    <cellStyle name="Normal 9 3 2 7 3" xfId="6544" xr:uid="{00000000-0005-0000-0000-0000F61F0000}"/>
    <cellStyle name="Normal 9 3 2 7 3 2" xfId="14994" xr:uid="{309258D5-FE0E-4E85-9956-E3B6C6F2C604}"/>
    <cellStyle name="Normal 9 3 2 7 4" xfId="10776" xr:uid="{0E40026D-AD00-45EB-832D-E554CE59A76F}"/>
    <cellStyle name="Normal 9 3 2 8" xfId="2674" xr:uid="{00000000-0005-0000-0000-0000F71F0000}"/>
    <cellStyle name="Normal 9 3 2 8 2" xfId="6957" xr:uid="{00000000-0005-0000-0000-0000F81F0000}"/>
    <cellStyle name="Normal 9 3 2 8 2 2" xfId="15407" xr:uid="{3F0B1DA0-38A9-4603-AF58-0CEB7E1AEF40}"/>
    <cellStyle name="Normal 9 3 2 8 3" xfId="11189" xr:uid="{88E32039-18F8-4B0D-A8D1-667EAC91C151}"/>
    <cellStyle name="Normal 9 3 2 9" xfId="4892" xr:uid="{00000000-0005-0000-0000-0000F91F0000}"/>
    <cellStyle name="Normal 9 3 2 9 2" xfId="13342" xr:uid="{8710A77C-8117-4CA0-91BC-35C51C039FAE}"/>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5905" xr:uid="{ECAE8098-B98E-437F-B5E2-5592D82E7225}"/>
    <cellStyle name="Normal 9 3 3 2 2 2 3" xfId="11687" xr:uid="{FF0C085D-FE37-4B8D-8A78-8C9599DBB4EF}"/>
    <cellStyle name="Normal 9 3 3 2 2 3" xfId="5310" xr:uid="{00000000-0005-0000-0000-0000FF1F0000}"/>
    <cellStyle name="Normal 9 3 3 2 2 3 2" xfId="13760" xr:uid="{E48C9D58-75F5-4C77-BAF6-3F80B46D3031}"/>
    <cellStyle name="Normal 9 3 3 2 2 4" xfId="9542" xr:uid="{505CD5A7-8921-4220-A4D0-196A393FD3B1}"/>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6318" xr:uid="{3B40B06C-74EA-4967-9E64-D1F4A4E959B8}"/>
    <cellStyle name="Normal 9 3 3 2 3 2 3" xfId="12100" xr:uid="{0E3859B3-8A0F-487E-9B2E-1C1CE30FAAD3}"/>
    <cellStyle name="Normal 9 3 3 2 3 3" xfId="5723" xr:uid="{00000000-0005-0000-0000-000003200000}"/>
    <cellStyle name="Normal 9 3 3 2 3 3 2" xfId="14173" xr:uid="{8A4F5223-D787-4AEF-AA31-3BC3C56F6D77}"/>
    <cellStyle name="Normal 9 3 3 2 3 4" xfId="9955" xr:uid="{CE610ABE-705A-4CDE-A9FD-CB4009972717}"/>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6731" xr:uid="{2D883843-ACD6-44D8-A875-E1D7A05F4C4E}"/>
    <cellStyle name="Normal 9 3 3 2 4 2 3" xfId="12513" xr:uid="{000838DE-4779-4A4B-BB8E-CE21FF3F958A}"/>
    <cellStyle name="Normal 9 3 3 2 4 3" xfId="6136" xr:uid="{00000000-0005-0000-0000-000007200000}"/>
    <cellStyle name="Normal 9 3 3 2 4 3 2" xfId="14586" xr:uid="{892FFD50-CD8D-4293-8EE9-0B0303012DAA}"/>
    <cellStyle name="Normal 9 3 3 2 4 4" xfId="10368" xr:uid="{522D9A1B-8B84-45F4-A0E0-C5434F00A17A}"/>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7144" xr:uid="{3FE7BC82-86B7-42B7-AC0F-1562BF41896F}"/>
    <cellStyle name="Normal 9 3 3 2 5 2 3" xfId="12926" xr:uid="{658EFDE4-0920-49AF-81F0-F0B164D30851}"/>
    <cellStyle name="Normal 9 3 3 2 5 3" xfId="6549" xr:uid="{00000000-0005-0000-0000-00000B200000}"/>
    <cellStyle name="Normal 9 3 3 2 5 3 2" xfId="14999" xr:uid="{E0B0EB68-6CAA-4B3B-96E3-605045D682C0}"/>
    <cellStyle name="Normal 9 3 3 2 5 4" xfId="10781" xr:uid="{45A28E7E-6CDD-4104-A426-CE4C5AA645D5}"/>
    <cellStyle name="Normal 9 3 3 2 6" xfId="2679" xr:uid="{00000000-0005-0000-0000-00000C200000}"/>
    <cellStyle name="Normal 9 3 3 2 6 2" xfId="6962" xr:uid="{00000000-0005-0000-0000-00000D200000}"/>
    <cellStyle name="Normal 9 3 3 2 6 2 2" xfId="15412" xr:uid="{CE6E7F52-C9FE-4BFF-BD3C-F3F1C9647762}"/>
    <cellStyle name="Normal 9 3 3 2 6 3" xfId="11194" xr:uid="{D313E745-5EF4-418D-8836-F0FEE293C189}"/>
    <cellStyle name="Normal 9 3 3 2 7" xfId="4897" xr:uid="{00000000-0005-0000-0000-00000E200000}"/>
    <cellStyle name="Normal 9 3 3 2 7 2" xfId="13347" xr:uid="{6D31C7E7-ACB5-4899-AD33-5A65C62EF875}"/>
    <cellStyle name="Normal 9 3 3 2 8" xfId="9129" xr:uid="{FC7A3E82-4624-4F24-9E31-0F511D029972}"/>
    <cellStyle name="Normal 9 3 3 3" xfId="999" xr:uid="{00000000-0005-0000-0000-00000F200000}"/>
    <cellStyle name="Normal 9 3 3 3 2" xfId="3232" xr:uid="{00000000-0005-0000-0000-000010200000}"/>
    <cellStyle name="Normal 9 3 3 3 2 2" xfId="7454" xr:uid="{00000000-0005-0000-0000-000011200000}"/>
    <cellStyle name="Normal 9 3 3 3 2 2 2" xfId="15904" xr:uid="{AD481523-BD4A-4746-AF39-490022F7DEBE}"/>
    <cellStyle name="Normal 9 3 3 3 2 3" xfId="11686" xr:uid="{31638444-C0D8-4CA8-A8F0-5B74CB501F3A}"/>
    <cellStyle name="Normal 9 3 3 3 3" xfId="5309" xr:uid="{00000000-0005-0000-0000-000012200000}"/>
    <cellStyle name="Normal 9 3 3 3 3 2" xfId="13759" xr:uid="{F56D87F6-9234-4FF7-AB6E-E7CCA1EE0135}"/>
    <cellStyle name="Normal 9 3 3 3 4" xfId="9541" xr:uid="{7E376DD9-5545-46FE-A80A-365B36C9A203}"/>
    <cellStyle name="Normal 9 3 3 4" xfId="1415" xr:uid="{00000000-0005-0000-0000-000013200000}"/>
    <cellStyle name="Normal 9 3 3 4 2" xfId="3645" xr:uid="{00000000-0005-0000-0000-000014200000}"/>
    <cellStyle name="Normal 9 3 3 4 2 2" xfId="7867" xr:uid="{00000000-0005-0000-0000-000015200000}"/>
    <cellStyle name="Normal 9 3 3 4 2 2 2" xfId="16317" xr:uid="{DFED722A-4107-498D-B3FF-0B5E6375F2CA}"/>
    <cellStyle name="Normal 9 3 3 4 2 3" xfId="12099" xr:uid="{4E70D046-1180-48C1-96FB-3840F5229C67}"/>
    <cellStyle name="Normal 9 3 3 4 3" xfId="5722" xr:uid="{00000000-0005-0000-0000-000016200000}"/>
    <cellStyle name="Normal 9 3 3 4 3 2" xfId="14172" xr:uid="{19FC67E3-0428-44E8-A6C9-17FE43B67EE5}"/>
    <cellStyle name="Normal 9 3 3 4 4" xfId="9954" xr:uid="{5A93EF73-B0E0-48D7-B41D-9CD3F70FC4A5}"/>
    <cellStyle name="Normal 9 3 3 5" xfId="1828" xr:uid="{00000000-0005-0000-0000-000017200000}"/>
    <cellStyle name="Normal 9 3 3 5 2" xfId="4058" xr:uid="{00000000-0005-0000-0000-000018200000}"/>
    <cellStyle name="Normal 9 3 3 5 2 2" xfId="8280" xr:uid="{00000000-0005-0000-0000-000019200000}"/>
    <cellStyle name="Normal 9 3 3 5 2 2 2" xfId="16730" xr:uid="{6DAD6A2F-7978-4B31-8670-ED96899798D3}"/>
    <cellStyle name="Normal 9 3 3 5 2 3" xfId="12512" xr:uid="{2B9A1B90-2512-4A98-ABFB-DC5D10F9DD01}"/>
    <cellStyle name="Normal 9 3 3 5 3" xfId="6135" xr:uid="{00000000-0005-0000-0000-00001A200000}"/>
    <cellStyle name="Normal 9 3 3 5 3 2" xfId="14585" xr:uid="{495E8BDB-564F-4CBF-B8FB-8B8F30702A93}"/>
    <cellStyle name="Normal 9 3 3 5 4" xfId="10367" xr:uid="{55A234F2-3432-489F-AA5D-4086C120346A}"/>
    <cellStyle name="Normal 9 3 3 6" xfId="2242" xr:uid="{00000000-0005-0000-0000-00001B200000}"/>
    <cellStyle name="Normal 9 3 3 6 2" xfId="4471" xr:uid="{00000000-0005-0000-0000-00001C200000}"/>
    <cellStyle name="Normal 9 3 3 6 2 2" xfId="8693" xr:uid="{00000000-0005-0000-0000-00001D200000}"/>
    <cellStyle name="Normal 9 3 3 6 2 2 2" xfId="17143" xr:uid="{8E50DF4A-BE39-4254-BC82-6183F5B7EA88}"/>
    <cellStyle name="Normal 9 3 3 6 2 3" xfId="12925" xr:uid="{6DB81A3C-F98D-417E-8096-CA2B4795B5B6}"/>
    <cellStyle name="Normal 9 3 3 6 3" xfId="6548" xr:uid="{00000000-0005-0000-0000-00001E200000}"/>
    <cellStyle name="Normal 9 3 3 6 3 2" xfId="14998" xr:uid="{B649EDE8-9FD3-4E0B-8147-AAC38AF48BB5}"/>
    <cellStyle name="Normal 9 3 3 6 4" xfId="10780" xr:uid="{0ABD5814-BC74-4596-974F-C3111D16202F}"/>
    <cellStyle name="Normal 9 3 3 7" xfId="2678" xr:uid="{00000000-0005-0000-0000-00001F200000}"/>
    <cellStyle name="Normal 9 3 3 7 2" xfId="6961" xr:uid="{00000000-0005-0000-0000-000020200000}"/>
    <cellStyle name="Normal 9 3 3 7 2 2" xfId="15411" xr:uid="{E96BF670-9BBE-4D58-9328-097447D88B57}"/>
    <cellStyle name="Normal 9 3 3 7 3" xfId="11193" xr:uid="{7B19246C-858A-4BB8-8BD9-1419B09C7DC4}"/>
    <cellStyle name="Normal 9 3 3 8" xfId="4896" xr:uid="{00000000-0005-0000-0000-000021200000}"/>
    <cellStyle name="Normal 9 3 3 8 2" xfId="13346" xr:uid="{E65F8870-87BC-453C-8477-F4C0A899912E}"/>
    <cellStyle name="Normal 9 3 3 9" xfId="9128" xr:uid="{A2524244-1466-4B27-BEA6-38FC41C0D77E}"/>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5906" xr:uid="{0D62A90A-EA1D-420A-A95D-836D7BE44E62}"/>
    <cellStyle name="Normal 9 3 4 2 2 3" xfId="11688" xr:uid="{173E0043-40D1-49E9-8E32-75FC44EB556D}"/>
    <cellStyle name="Normal 9 3 4 2 3" xfId="5311" xr:uid="{00000000-0005-0000-0000-000026200000}"/>
    <cellStyle name="Normal 9 3 4 2 3 2" xfId="13761" xr:uid="{7654BFD9-2E4B-44EC-8BE5-95E15098ECF9}"/>
    <cellStyle name="Normal 9 3 4 2 4" xfId="9543" xr:uid="{CA58BD27-44CB-4C98-8009-926629F1B089}"/>
    <cellStyle name="Normal 9 3 4 3" xfId="1417" xr:uid="{00000000-0005-0000-0000-000027200000}"/>
    <cellStyle name="Normal 9 3 4 3 2" xfId="3647" xr:uid="{00000000-0005-0000-0000-000028200000}"/>
    <cellStyle name="Normal 9 3 4 3 2 2" xfId="7869" xr:uid="{00000000-0005-0000-0000-000029200000}"/>
    <cellStyle name="Normal 9 3 4 3 2 2 2" xfId="16319" xr:uid="{7DC109BC-2CED-497E-9336-6F2ADE6ADFCA}"/>
    <cellStyle name="Normal 9 3 4 3 2 3" xfId="12101" xr:uid="{F1B7873F-C6CD-4EEF-8D18-77E75786169D}"/>
    <cellStyle name="Normal 9 3 4 3 3" xfId="5724" xr:uid="{00000000-0005-0000-0000-00002A200000}"/>
    <cellStyle name="Normal 9 3 4 3 3 2" xfId="14174" xr:uid="{4A6C6F82-23B7-450A-BE0E-7578D48B8A93}"/>
    <cellStyle name="Normal 9 3 4 3 4" xfId="9956" xr:uid="{CC042E24-E6C6-4AA2-A526-3119881F32AB}"/>
    <cellStyle name="Normal 9 3 4 4" xfId="1830" xr:uid="{00000000-0005-0000-0000-00002B200000}"/>
    <cellStyle name="Normal 9 3 4 4 2" xfId="4060" xr:uid="{00000000-0005-0000-0000-00002C200000}"/>
    <cellStyle name="Normal 9 3 4 4 2 2" xfId="8282" xr:uid="{00000000-0005-0000-0000-00002D200000}"/>
    <cellStyle name="Normal 9 3 4 4 2 2 2" xfId="16732" xr:uid="{2EDAB30F-C80E-4378-88CE-FC4AD581A74A}"/>
    <cellStyle name="Normal 9 3 4 4 2 3" xfId="12514" xr:uid="{5F9C646E-BB97-4F81-B91E-19CE8FA6A159}"/>
    <cellStyle name="Normal 9 3 4 4 3" xfId="6137" xr:uid="{00000000-0005-0000-0000-00002E200000}"/>
    <cellStyle name="Normal 9 3 4 4 3 2" xfId="14587" xr:uid="{D58F770C-3C6D-41D2-9405-5878DEA88A8B}"/>
    <cellStyle name="Normal 9 3 4 4 4" xfId="10369" xr:uid="{95AF1575-DDC5-4AC0-8355-8C5489D3C228}"/>
    <cellStyle name="Normal 9 3 4 5" xfId="2244" xr:uid="{00000000-0005-0000-0000-00002F200000}"/>
    <cellStyle name="Normal 9 3 4 5 2" xfId="4473" xr:uid="{00000000-0005-0000-0000-000030200000}"/>
    <cellStyle name="Normal 9 3 4 5 2 2" xfId="8695" xr:uid="{00000000-0005-0000-0000-000031200000}"/>
    <cellStyle name="Normal 9 3 4 5 2 2 2" xfId="17145" xr:uid="{D7CE81F7-11C2-4557-A198-F8C19D5E3EDC}"/>
    <cellStyle name="Normal 9 3 4 5 2 3" xfId="12927" xr:uid="{AADA19E5-8A2B-40C8-9803-BDA4A249E3DF}"/>
    <cellStyle name="Normal 9 3 4 5 3" xfId="6550" xr:uid="{00000000-0005-0000-0000-000032200000}"/>
    <cellStyle name="Normal 9 3 4 5 3 2" xfId="15000" xr:uid="{F012B77B-0F74-44DE-8BFF-3FA2AAE92B29}"/>
    <cellStyle name="Normal 9 3 4 5 4" xfId="10782" xr:uid="{F77892DF-72F7-490E-A00E-244E3A1B6900}"/>
    <cellStyle name="Normal 9 3 4 6" xfId="2680" xr:uid="{00000000-0005-0000-0000-000033200000}"/>
    <cellStyle name="Normal 9 3 4 6 2" xfId="6963" xr:uid="{00000000-0005-0000-0000-000034200000}"/>
    <cellStyle name="Normal 9 3 4 6 2 2" xfId="15413" xr:uid="{F62D965A-CDF6-4A75-A6C4-F2651E44D175}"/>
    <cellStyle name="Normal 9 3 4 6 3" xfId="11195" xr:uid="{9AFD2A6B-AA8C-4F0D-8D54-669970E9CB3D}"/>
    <cellStyle name="Normal 9 3 4 7" xfId="4898" xr:uid="{00000000-0005-0000-0000-000035200000}"/>
    <cellStyle name="Normal 9 3 4 7 2" xfId="13348" xr:uid="{5326E941-F0AC-494D-8D5A-DEE62AC03B98}"/>
    <cellStyle name="Normal 9 3 4 8" xfId="9130" xr:uid="{F99AF2DF-5F0C-4DCE-8266-9F951DA5CE05}"/>
    <cellStyle name="Normal 9 3 5" xfId="994" xr:uid="{00000000-0005-0000-0000-000036200000}"/>
    <cellStyle name="Normal 9 3 5 2" xfId="3227" xr:uid="{00000000-0005-0000-0000-000037200000}"/>
    <cellStyle name="Normal 9 3 5 2 2" xfId="7449" xr:uid="{00000000-0005-0000-0000-000038200000}"/>
    <cellStyle name="Normal 9 3 5 2 2 2" xfId="15899" xr:uid="{21B958A1-8247-4683-AFAB-73B2B3589743}"/>
    <cellStyle name="Normal 9 3 5 2 3" xfId="11681" xr:uid="{C42442AD-F766-44D7-96B1-7C6DAA217B84}"/>
    <cellStyle name="Normal 9 3 5 3" xfId="5304" xr:uid="{00000000-0005-0000-0000-000039200000}"/>
    <cellStyle name="Normal 9 3 5 3 2" xfId="13754" xr:uid="{E18EA3B8-E53B-4A35-8238-00F21B749D45}"/>
    <cellStyle name="Normal 9 3 5 4" xfId="9536" xr:uid="{61B2AC8F-1BB3-4449-ADEA-037018A107E0}"/>
    <cellStyle name="Normal 9 3 6" xfId="1410" xr:uid="{00000000-0005-0000-0000-00003A200000}"/>
    <cellStyle name="Normal 9 3 6 2" xfId="3640" xr:uid="{00000000-0005-0000-0000-00003B200000}"/>
    <cellStyle name="Normal 9 3 6 2 2" xfId="7862" xr:uid="{00000000-0005-0000-0000-00003C200000}"/>
    <cellStyle name="Normal 9 3 6 2 2 2" xfId="16312" xr:uid="{5DADB2C5-21E0-4B06-B8A7-DD7D83309A1D}"/>
    <cellStyle name="Normal 9 3 6 2 3" xfId="12094" xr:uid="{2D22FE90-582F-4C69-A8EA-146E5D72CFBA}"/>
    <cellStyle name="Normal 9 3 6 3" xfId="5717" xr:uid="{00000000-0005-0000-0000-00003D200000}"/>
    <cellStyle name="Normal 9 3 6 3 2" xfId="14167" xr:uid="{FC791BDA-4231-4B12-A927-915FC550BCF0}"/>
    <cellStyle name="Normal 9 3 6 4" xfId="9949" xr:uid="{2B73808E-5846-4F0E-B0D0-DA6C8950376A}"/>
    <cellStyle name="Normal 9 3 7" xfId="1823" xr:uid="{00000000-0005-0000-0000-00003E200000}"/>
    <cellStyle name="Normal 9 3 7 2" xfId="4053" xr:uid="{00000000-0005-0000-0000-00003F200000}"/>
    <cellStyle name="Normal 9 3 7 2 2" xfId="8275" xr:uid="{00000000-0005-0000-0000-000040200000}"/>
    <cellStyle name="Normal 9 3 7 2 2 2" xfId="16725" xr:uid="{F1073239-EA22-4E5A-911A-CB094067999A}"/>
    <cellStyle name="Normal 9 3 7 2 3" xfId="12507" xr:uid="{9173E31F-264E-481C-8C9C-396964540F78}"/>
    <cellStyle name="Normal 9 3 7 3" xfId="6130" xr:uid="{00000000-0005-0000-0000-000041200000}"/>
    <cellStyle name="Normal 9 3 7 3 2" xfId="14580" xr:uid="{4028FC38-643E-44DA-95E6-C53A20241A44}"/>
    <cellStyle name="Normal 9 3 7 4" xfId="10362" xr:uid="{14A8ED8A-6874-4C57-A809-BD197212E483}"/>
    <cellStyle name="Normal 9 3 8" xfId="2237" xr:uid="{00000000-0005-0000-0000-000042200000}"/>
    <cellStyle name="Normal 9 3 8 2" xfId="4466" xr:uid="{00000000-0005-0000-0000-000043200000}"/>
    <cellStyle name="Normal 9 3 8 2 2" xfId="8688" xr:uid="{00000000-0005-0000-0000-000044200000}"/>
    <cellStyle name="Normal 9 3 8 2 2 2" xfId="17138" xr:uid="{9A3A6016-BA26-4D0C-876E-269C52DE1139}"/>
    <cellStyle name="Normal 9 3 8 2 3" xfId="12920" xr:uid="{4E01FB0D-4130-4486-9E23-ED76CB2AABFB}"/>
    <cellStyle name="Normal 9 3 8 3" xfId="6543" xr:uid="{00000000-0005-0000-0000-000045200000}"/>
    <cellStyle name="Normal 9 3 8 3 2" xfId="14993" xr:uid="{601AE9F7-18DE-4C52-BB71-050EDF16D1EF}"/>
    <cellStyle name="Normal 9 3 8 4" xfId="10775" xr:uid="{986C891E-4085-48B9-9A23-072DFD2642A0}"/>
    <cellStyle name="Normal 9 3 9" xfId="2673" xr:uid="{00000000-0005-0000-0000-000046200000}"/>
    <cellStyle name="Normal 9 3 9 2" xfId="6956" xr:uid="{00000000-0005-0000-0000-000047200000}"/>
    <cellStyle name="Normal 9 3 9 2 2" xfId="15406" xr:uid="{F95D760D-A850-487F-AA27-56403575D744}"/>
    <cellStyle name="Normal 9 3 9 3" xfId="11188" xr:uid="{D548AE65-E12A-4165-B55F-1D76B31AACFA}"/>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5908" xr:uid="{7DA7D31D-0400-4937-AFE1-496BE6577064}"/>
    <cellStyle name="Normal 9 5 2 2 2 3" xfId="11690" xr:uid="{1F6251F2-4955-4605-9201-A7C60D82B611}"/>
    <cellStyle name="Normal 9 5 2 2 3" xfId="5313" xr:uid="{00000000-0005-0000-0000-00004F200000}"/>
    <cellStyle name="Normal 9 5 2 2 3 2" xfId="13763" xr:uid="{3159AF5B-053E-42FD-8E96-0A32B6FB3939}"/>
    <cellStyle name="Normal 9 5 2 2 4" xfId="9545" xr:uid="{AB5A09AF-3D73-4D2F-80F6-6B6B687A463F}"/>
    <cellStyle name="Normal 9 5 2 3" xfId="1419" xr:uid="{00000000-0005-0000-0000-000050200000}"/>
    <cellStyle name="Normal 9 5 2 3 2" xfId="3649" xr:uid="{00000000-0005-0000-0000-000051200000}"/>
    <cellStyle name="Normal 9 5 2 3 2 2" xfId="7871" xr:uid="{00000000-0005-0000-0000-000052200000}"/>
    <cellStyle name="Normal 9 5 2 3 2 2 2" xfId="16321" xr:uid="{1757D056-B468-4B7B-9E81-0A58520AD9D0}"/>
    <cellStyle name="Normal 9 5 2 3 2 3" xfId="12103" xr:uid="{25833567-44F3-4CF9-85FA-EBD15E839AE2}"/>
    <cellStyle name="Normal 9 5 2 3 3" xfId="5726" xr:uid="{00000000-0005-0000-0000-000053200000}"/>
    <cellStyle name="Normal 9 5 2 3 3 2" xfId="14176" xr:uid="{AB813013-9126-4501-BBC7-963AEAF902C4}"/>
    <cellStyle name="Normal 9 5 2 3 4" xfId="9958" xr:uid="{8F939D80-98B3-4B75-A887-28D899398CBF}"/>
    <cellStyle name="Normal 9 5 2 4" xfId="1832" xr:uid="{00000000-0005-0000-0000-000054200000}"/>
    <cellStyle name="Normal 9 5 2 4 2" xfId="4062" xr:uid="{00000000-0005-0000-0000-000055200000}"/>
    <cellStyle name="Normal 9 5 2 4 2 2" xfId="8284" xr:uid="{00000000-0005-0000-0000-000056200000}"/>
    <cellStyle name="Normal 9 5 2 4 2 2 2" xfId="16734" xr:uid="{1518D14F-5FA3-4F36-9975-35643BE171B5}"/>
    <cellStyle name="Normal 9 5 2 4 2 3" xfId="12516" xr:uid="{1BA0B967-7DA5-4EEB-AFE1-B25A68F1FD05}"/>
    <cellStyle name="Normal 9 5 2 4 3" xfId="6139" xr:uid="{00000000-0005-0000-0000-000057200000}"/>
    <cellStyle name="Normal 9 5 2 4 3 2" xfId="14589" xr:uid="{E6F62B93-EF56-4EAE-8466-8DF6829D7EFD}"/>
    <cellStyle name="Normal 9 5 2 4 4" xfId="10371" xr:uid="{3E72F5C1-F3D6-4B7D-8B65-E54A46E7BEB5}"/>
    <cellStyle name="Normal 9 5 2 5" xfId="2246" xr:uid="{00000000-0005-0000-0000-000058200000}"/>
    <cellStyle name="Normal 9 5 2 5 2" xfId="4475" xr:uid="{00000000-0005-0000-0000-000059200000}"/>
    <cellStyle name="Normal 9 5 2 5 2 2" xfId="8697" xr:uid="{00000000-0005-0000-0000-00005A200000}"/>
    <cellStyle name="Normal 9 5 2 5 2 2 2" xfId="17147" xr:uid="{22E333BF-2E83-49A7-BF89-4AEAA566E7FB}"/>
    <cellStyle name="Normal 9 5 2 5 2 3" xfId="12929" xr:uid="{2249B278-71A9-4641-AFEA-C1B4C0281243}"/>
    <cellStyle name="Normal 9 5 2 5 3" xfId="6552" xr:uid="{00000000-0005-0000-0000-00005B200000}"/>
    <cellStyle name="Normal 9 5 2 5 3 2" xfId="15002" xr:uid="{4953EFB2-CBCE-4025-BB26-AB3D52853AD7}"/>
    <cellStyle name="Normal 9 5 2 5 4" xfId="10784" xr:uid="{3E686653-ECE2-440C-8A10-1E09BA26E540}"/>
    <cellStyle name="Normal 9 5 2 6" xfId="2682" xr:uid="{00000000-0005-0000-0000-00005C200000}"/>
    <cellStyle name="Normal 9 5 2 6 2" xfId="6965" xr:uid="{00000000-0005-0000-0000-00005D200000}"/>
    <cellStyle name="Normal 9 5 2 6 2 2" xfId="15415" xr:uid="{430FC38D-7DA0-478E-9B00-72FFAB2822FE}"/>
    <cellStyle name="Normal 9 5 2 6 3" xfId="11197" xr:uid="{EE6D2B59-73B1-4544-86E9-3E8DBE6C6CA7}"/>
    <cellStyle name="Normal 9 5 2 7" xfId="4900" xr:uid="{00000000-0005-0000-0000-00005E200000}"/>
    <cellStyle name="Normal 9 5 2 7 2" xfId="13350" xr:uid="{4B982D04-FB9F-44D0-ADA9-BE08D3B54DD9}"/>
    <cellStyle name="Normal 9 5 2 8" xfId="9132" xr:uid="{71E4F0D1-4EAF-4DA2-8D19-2CDF7CD907C9}"/>
    <cellStyle name="Normal 9 5 3" xfId="1003" xr:uid="{00000000-0005-0000-0000-00005F200000}"/>
    <cellStyle name="Normal 9 5 3 2" xfId="3235" xr:uid="{00000000-0005-0000-0000-000060200000}"/>
    <cellStyle name="Normal 9 5 3 2 2" xfId="7457" xr:uid="{00000000-0005-0000-0000-000061200000}"/>
    <cellStyle name="Normal 9 5 3 2 2 2" xfId="15907" xr:uid="{1CAE6E30-541A-4115-B6FE-D826BCFF1019}"/>
    <cellStyle name="Normal 9 5 3 2 3" xfId="11689" xr:uid="{9D84E35F-C829-400B-8E5C-DF9B48A9A5B1}"/>
    <cellStyle name="Normal 9 5 3 3" xfId="5312" xr:uid="{00000000-0005-0000-0000-000062200000}"/>
    <cellStyle name="Normal 9 5 3 3 2" xfId="13762" xr:uid="{865026F9-CFF6-4C28-BF45-DBE816B22501}"/>
    <cellStyle name="Normal 9 5 3 4" xfId="9544" xr:uid="{EDE2542D-2333-4E84-9970-04E522EAFFE6}"/>
    <cellStyle name="Normal 9 5 4" xfId="1418" xr:uid="{00000000-0005-0000-0000-000063200000}"/>
    <cellStyle name="Normal 9 5 4 2" xfId="3648" xr:uid="{00000000-0005-0000-0000-000064200000}"/>
    <cellStyle name="Normal 9 5 4 2 2" xfId="7870" xr:uid="{00000000-0005-0000-0000-000065200000}"/>
    <cellStyle name="Normal 9 5 4 2 2 2" xfId="16320" xr:uid="{16AED1B4-CA5F-43FF-96E8-FFD087AF85AE}"/>
    <cellStyle name="Normal 9 5 4 2 3" xfId="12102" xr:uid="{3383BC6C-0560-40AA-B5D5-362510EEE9F7}"/>
    <cellStyle name="Normal 9 5 4 3" xfId="5725" xr:uid="{00000000-0005-0000-0000-000066200000}"/>
    <cellStyle name="Normal 9 5 4 3 2" xfId="14175" xr:uid="{46480B22-13A9-490A-8326-8E37BD42CEFA}"/>
    <cellStyle name="Normal 9 5 4 4" xfId="9957" xr:uid="{84AB1EA6-5122-4B74-B8FF-28C9B276D929}"/>
    <cellStyle name="Normal 9 5 5" xfId="1831" xr:uid="{00000000-0005-0000-0000-000067200000}"/>
    <cellStyle name="Normal 9 5 5 2" xfId="4061" xr:uid="{00000000-0005-0000-0000-000068200000}"/>
    <cellStyle name="Normal 9 5 5 2 2" xfId="8283" xr:uid="{00000000-0005-0000-0000-000069200000}"/>
    <cellStyle name="Normal 9 5 5 2 2 2" xfId="16733" xr:uid="{28C821A2-75FC-4D06-8CF9-4D33ACE61D9A}"/>
    <cellStyle name="Normal 9 5 5 2 3" xfId="12515" xr:uid="{30946E99-4616-4467-B9C7-53D1D40B4209}"/>
    <cellStyle name="Normal 9 5 5 3" xfId="6138" xr:uid="{00000000-0005-0000-0000-00006A200000}"/>
    <cellStyle name="Normal 9 5 5 3 2" xfId="14588" xr:uid="{1995AD04-04FF-4C5F-A54C-FEE1DBCEEC1E}"/>
    <cellStyle name="Normal 9 5 5 4" xfId="10370" xr:uid="{CF2F27CD-1414-495D-BD58-65D76676BA4F}"/>
    <cellStyle name="Normal 9 5 6" xfId="2245" xr:uid="{00000000-0005-0000-0000-00006B200000}"/>
    <cellStyle name="Normal 9 5 6 2" xfId="4474" xr:uid="{00000000-0005-0000-0000-00006C200000}"/>
    <cellStyle name="Normal 9 5 6 2 2" xfId="8696" xr:uid="{00000000-0005-0000-0000-00006D200000}"/>
    <cellStyle name="Normal 9 5 6 2 2 2" xfId="17146" xr:uid="{446F500E-859D-4EAF-AC7B-BB19E2BB3C25}"/>
    <cellStyle name="Normal 9 5 6 2 3" xfId="12928" xr:uid="{E953A300-D6CA-44BE-8BAD-8734041188A4}"/>
    <cellStyle name="Normal 9 5 6 3" xfId="6551" xr:uid="{00000000-0005-0000-0000-00006E200000}"/>
    <cellStyle name="Normal 9 5 6 3 2" xfId="15001" xr:uid="{F6707F55-2796-4D70-A9E3-91B6F0458041}"/>
    <cellStyle name="Normal 9 5 6 4" xfId="10783" xr:uid="{0E0F7DF2-B243-4DEB-B2AC-8466BF741014}"/>
    <cellStyle name="Normal 9 5 7" xfId="2681" xr:uid="{00000000-0005-0000-0000-00006F200000}"/>
    <cellStyle name="Normal 9 5 7 2" xfId="6964" xr:uid="{00000000-0005-0000-0000-000070200000}"/>
    <cellStyle name="Normal 9 5 7 2 2" xfId="15414" xr:uid="{916F7AF3-7AA8-4F88-8332-C00E7FCE0337}"/>
    <cellStyle name="Normal 9 5 7 3" xfId="11196" xr:uid="{618EA92C-201D-44D4-B477-9A0A60F0AC0D}"/>
    <cellStyle name="Normal 9 5 8" xfId="4899" xr:uid="{00000000-0005-0000-0000-000071200000}"/>
    <cellStyle name="Normal 9 5 8 2" xfId="13349" xr:uid="{8ACC9F6A-C75C-4AF7-933F-58D7113B89F8}"/>
    <cellStyle name="Normal 9 5 9" xfId="9131" xr:uid="{1D5B773C-BE6A-471C-A6C0-8D5BCA06733F}"/>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5909" xr:uid="{6DD9DE91-D3CC-4F97-AA93-9F00401AE734}"/>
    <cellStyle name="Normal 9 6 2 2 3" xfId="11691" xr:uid="{9B909481-9DD0-4963-9508-2C91D116AA6B}"/>
    <cellStyle name="Normal 9 6 2 3" xfId="5314" xr:uid="{00000000-0005-0000-0000-000076200000}"/>
    <cellStyle name="Normal 9 6 2 3 2" xfId="13764" xr:uid="{0A473E87-F27C-41E2-9B77-204E35D0629C}"/>
    <cellStyle name="Normal 9 6 2 4" xfId="9546" xr:uid="{B202D7E1-931B-4309-99B9-C3E5E0A7D5FE}"/>
    <cellStyle name="Normal 9 6 3" xfId="1420" xr:uid="{00000000-0005-0000-0000-000077200000}"/>
    <cellStyle name="Normal 9 6 3 2" xfId="3650" xr:uid="{00000000-0005-0000-0000-000078200000}"/>
    <cellStyle name="Normal 9 6 3 2 2" xfId="7872" xr:uid="{00000000-0005-0000-0000-000079200000}"/>
    <cellStyle name="Normal 9 6 3 2 2 2" xfId="16322" xr:uid="{37A13577-4D8B-40F8-89AB-0D73ED77A3CE}"/>
    <cellStyle name="Normal 9 6 3 2 3" xfId="12104" xr:uid="{77D4C7A3-9640-4366-BE9F-08B5C28FA84A}"/>
    <cellStyle name="Normal 9 6 3 3" xfId="5727" xr:uid="{00000000-0005-0000-0000-00007A200000}"/>
    <cellStyle name="Normal 9 6 3 3 2" xfId="14177" xr:uid="{2A419A30-C493-4C75-9318-82B70D09E196}"/>
    <cellStyle name="Normal 9 6 3 4" xfId="9959" xr:uid="{38E94904-3901-4EE8-821D-1206C7A141CB}"/>
    <cellStyle name="Normal 9 6 4" xfId="1833" xr:uid="{00000000-0005-0000-0000-00007B200000}"/>
    <cellStyle name="Normal 9 6 4 2" xfId="4063" xr:uid="{00000000-0005-0000-0000-00007C200000}"/>
    <cellStyle name="Normal 9 6 4 2 2" xfId="8285" xr:uid="{00000000-0005-0000-0000-00007D200000}"/>
    <cellStyle name="Normal 9 6 4 2 2 2" xfId="16735" xr:uid="{2864C795-81A7-42A5-A659-A33AA7314A09}"/>
    <cellStyle name="Normal 9 6 4 2 3" xfId="12517" xr:uid="{B0E6A6EC-237A-455A-9680-54A683B301B0}"/>
    <cellStyle name="Normal 9 6 4 3" xfId="6140" xr:uid="{00000000-0005-0000-0000-00007E200000}"/>
    <cellStyle name="Normal 9 6 4 3 2" xfId="14590" xr:uid="{89EDFEAC-580C-4A64-8DC6-41A5F2DD487B}"/>
    <cellStyle name="Normal 9 6 4 4" xfId="10372" xr:uid="{4D47FA3F-2160-4FEA-AF1A-C20E2A927ACC}"/>
    <cellStyle name="Normal 9 6 5" xfId="2247" xr:uid="{00000000-0005-0000-0000-00007F200000}"/>
    <cellStyle name="Normal 9 6 5 2" xfId="4476" xr:uid="{00000000-0005-0000-0000-000080200000}"/>
    <cellStyle name="Normal 9 6 5 2 2" xfId="8698" xr:uid="{00000000-0005-0000-0000-000081200000}"/>
    <cellStyle name="Normal 9 6 5 2 2 2" xfId="17148" xr:uid="{4FEC057D-9714-41CE-98FE-98ECBF92543A}"/>
    <cellStyle name="Normal 9 6 5 2 3" xfId="12930" xr:uid="{A6B68C1C-DEE1-45C7-9B1C-4AB0B3ADA2C1}"/>
    <cellStyle name="Normal 9 6 5 3" xfId="6553" xr:uid="{00000000-0005-0000-0000-000082200000}"/>
    <cellStyle name="Normal 9 6 5 3 2" xfId="15003" xr:uid="{1D3CCA3A-1EEF-49B8-BA90-1E33D63842A0}"/>
    <cellStyle name="Normal 9 6 5 4" xfId="10785" xr:uid="{4654878B-6FB2-4BCB-BEE8-5C8E78862A69}"/>
    <cellStyle name="Normal 9 6 6" xfId="2683" xr:uid="{00000000-0005-0000-0000-000083200000}"/>
    <cellStyle name="Normal 9 6 6 2" xfId="6966" xr:uid="{00000000-0005-0000-0000-000084200000}"/>
    <cellStyle name="Normal 9 6 6 2 2" xfId="15416" xr:uid="{F209AF81-8462-4DF2-8000-BABB8E0C2BE5}"/>
    <cellStyle name="Normal 9 6 6 3" xfId="11198" xr:uid="{DF218F87-D047-4C84-B483-A856DD0307DE}"/>
    <cellStyle name="Normal 9 6 7" xfId="4901" xr:uid="{00000000-0005-0000-0000-000085200000}"/>
    <cellStyle name="Normal 9 6 7 2" xfId="13351" xr:uid="{DF6AB5DC-19D0-4103-9C95-C6EEA009C443}"/>
    <cellStyle name="Normal 9 6 8" xfId="9133" xr:uid="{555ABFF8-3845-455D-82F3-B81930D89992}"/>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5497" xr:uid="{B1ECC95C-B2A7-43D9-A4D2-E38F5FE99975}"/>
    <cellStyle name="Note 2 2 10 3" xfId="11279" xr:uid="{66C081B0-E40D-4C60-A3B5-5143EC4BF1FC}"/>
    <cellStyle name="Note 2 2 11" xfId="4902" xr:uid="{00000000-0005-0000-0000-000094200000}"/>
    <cellStyle name="Note 2 2 11 2" xfId="13352" xr:uid="{09F1AABE-4940-4297-8596-53BEAA47353C}"/>
    <cellStyle name="Note 2 2 12" xfId="9134" xr:uid="{C1CE0612-E786-4B15-A3B9-4BC86963DBB8}"/>
    <cellStyle name="Note 2 2 2" xfId="546" xr:uid="{00000000-0005-0000-0000-000095200000}"/>
    <cellStyle name="Note 2 2 2 10" xfId="4903" xr:uid="{00000000-0005-0000-0000-000096200000}"/>
    <cellStyle name="Note 2 2 2 10 2" xfId="13353" xr:uid="{605799A6-89FE-4769-A912-B085C2F2A341}"/>
    <cellStyle name="Note 2 2 2 11" xfId="9135" xr:uid="{1467C1AF-82B1-4C29-B6C8-E0A34ED1EE34}"/>
    <cellStyle name="Note 2 2 2 2" xfId="547" xr:uid="{00000000-0005-0000-0000-000097200000}"/>
    <cellStyle name="Note 2 2 2 2 10" xfId="9136" xr:uid="{3162EDB2-4893-4BD5-BD9B-27F49BDA1A6A}"/>
    <cellStyle name="Note 2 2 2 2 2" xfId="1008" xr:uid="{00000000-0005-0000-0000-000098200000}"/>
    <cellStyle name="Note 2 2 2 2 2 2" xfId="3240" xr:uid="{00000000-0005-0000-0000-000099200000}"/>
    <cellStyle name="Note 2 2 2 2 2 2 2" xfId="7462" xr:uid="{00000000-0005-0000-0000-00009A200000}"/>
    <cellStyle name="Note 2 2 2 2 2 2 2 2" xfId="15912" xr:uid="{A21920AF-2BCF-4A49-A2EB-894800CEB593}"/>
    <cellStyle name="Note 2 2 2 2 2 2 3" xfId="11694" xr:uid="{639267CD-2173-4737-9590-F996EC396C36}"/>
    <cellStyle name="Note 2 2 2 2 2 3" xfId="5317" xr:uid="{00000000-0005-0000-0000-00009B200000}"/>
    <cellStyle name="Note 2 2 2 2 2 3 2" xfId="13767" xr:uid="{25383B43-0E49-4E2C-AB60-73CC7252AA9A}"/>
    <cellStyle name="Note 2 2 2 2 2 4" xfId="9549" xr:uid="{44107494-D023-417A-AD32-AE6049C94884}"/>
    <cellStyle name="Note 2 2 2 2 3" xfId="1423" xr:uid="{00000000-0005-0000-0000-00009C200000}"/>
    <cellStyle name="Note 2 2 2 2 3 2" xfId="3653" xr:uid="{00000000-0005-0000-0000-00009D200000}"/>
    <cellStyle name="Note 2 2 2 2 3 2 2" xfId="7875" xr:uid="{00000000-0005-0000-0000-00009E200000}"/>
    <cellStyle name="Note 2 2 2 2 3 2 2 2" xfId="16325" xr:uid="{11AE0417-EEBF-4B1C-9F1E-BFC40D44F0EA}"/>
    <cellStyle name="Note 2 2 2 2 3 2 3" xfId="12107" xr:uid="{478AF0FB-CE48-45FB-87A5-1C9C4404E3A0}"/>
    <cellStyle name="Note 2 2 2 2 3 3" xfId="5730" xr:uid="{00000000-0005-0000-0000-00009F200000}"/>
    <cellStyle name="Note 2 2 2 2 3 3 2" xfId="14180" xr:uid="{A855077D-9E1F-4D33-AD04-11F8BE0B0FD2}"/>
    <cellStyle name="Note 2 2 2 2 3 4" xfId="9962" xr:uid="{70F210B3-0690-44FD-BBD0-E00758B54EE6}"/>
    <cellStyle name="Note 2 2 2 2 4" xfId="1837" xr:uid="{00000000-0005-0000-0000-0000A0200000}"/>
    <cellStyle name="Note 2 2 2 2 4 2" xfId="4066" xr:uid="{00000000-0005-0000-0000-0000A1200000}"/>
    <cellStyle name="Note 2 2 2 2 4 2 2" xfId="8288" xr:uid="{00000000-0005-0000-0000-0000A2200000}"/>
    <cellStyle name="Note 2 2 2 2 4 2 2 2" xfId="16738" xr:uid="{A3DC3D41-E71D-422E-B58E-534855F28F3E}"/>
    <cellStyle name="Note 2 2 2 2 4 2 3" xfId="12520" xr:uid="{78AD08DB-F17F-4B2F-B6E0-1F508C151CF4}"/>
    <cellStyle name="Note 2 2 2 2 4 3" xfId="6143" xr:uid="{00000000-0005-0000-0000-0000A3200000}"/>
    <cellStyle name="Note 2 2 2 2 4 3 2" xfId="14593" xr:uid="{5EC95EF6-F4A9-4C93-94B3-477C2D2A2A3B}"/>
    <cellStyle name="Note 2 2 2 2 4 4" xfId="10375" xr:uid="{32399584-55EB-47E9-9C8B-1D369787200C}"/>
    <cellStyle name="Note 2 2 2 2 5" xfId="2250" xr:uid="{00000000-0005-0000-0000-0000A4200000}"/>
    <cellStyle name="Note 2 2 2 2 5 2" xfId="4479" xr:uid="{00000000-0005-0000-0000-0000A5200000}"/>
    <cellStyle name="Note 2 2 2 2 5 2 2" xfId="8701" xr:uid="{00000000-0005-0000-0000-0000A6200000}"/>
    <cellStyle name="Note 2 2 2 2 5 2 2 2" xfId="17151" xr:uid="{83E3114C-1A3E-4530-B482-C9390FFCE1BD}"/>
    <cellStyle name="Note 2 2 2 2 5 2 3" xfId="12933" xr:uid="{AEC9EDDF-D1C7-457E-986F-C5A7B8D0E162}"/>
    <cellStyle name="Note 2 2 2 2 5 3" xfId="6556" xr:uid="{00000000-0005-0000-0000-0000A7200000}"/>
    <cellStyle name="Note 2 2 2 2 5 3 2" xfId="15006" xr:uid="{500A4099-2FE5-4D0F-91FD-4876047FB0D8}"/>
    <cellStyle name="Note 2 2 2 2 5 4" xfId="10788" xr:uid="{AAF8ADFE-C7A2-4C0F-9396-8A53F1EF5B46}"/>
    <cellStyle name="Note 2 2 2 2 6" xfId="2686" xr:uid="{00000000-0005-0000-0000-0000A8200000}"/>
    <cellStyle name="Note 2 2 2 2 6 2" xfId="6969" xr:uid="{00000000-0005-0000-0000-0000A9200000}"/>
    <cellStyle name="Note 2 2 2 2 6 2 2" xfId="15419" xr:uid="{E482B11F-2DC4-49FC-A4E7-E2F713FF830B}"/>
    <cellStyle name="Note 2 2 2 2 6 3" xfId="11201" xr:uid="{09708AA7-C971-444E-8D4E-37D7B8E07CB1}"/>
    <cellStyle name="Note 2 2 2 2 7" xfId="2745" xr:uid="{00000000-0005-0000-0000-0000AA200000}"/>
    <cellStyle name="Note 2 2 2 2 8" xfId="2826" xr:uid="{00000000-0005-0000-0000-0000AB200000}"/>
    <cellStyle name="Note 2 2 2 2 8 2" xfId="7049" xr:uid="{00000000-0005-0000-0000-0000AC200000}"/>
    <cellStyle name="Note 2 2 2 2 8 2 2" xfId="15499" xr:uid="{735D98DC-E79A-40D8-AA50-22F250EBEC6F}"/>
    <cellStyle name="Note 2 2 2 2 8 3" xfId="11281" xr:uid="{94EBF911-10D1-4B63-9031-6BAC0477B206}"/>
    <cellStyle name="Note 2 2 2 2 9" xfId="4904" xr:uid="{00000000-0005-0000-0000-0000AD200000}"/>
    <cellStyle name="Note 2 2 2 2 9 2" xfId="13354" xr:uid="{2F942E10-C9C4-4449-92A4-9F62A0B05FCE}"/>
    <cellStyle name="Note 2 2 2 3" xfId="1007" xr:uid="{00000000-0005-0000-0000-0000AE200000}"/>
    <cellStyle name="Note 2 2 2 3 2" xfId="3239" xr:uid="{00000000-0005-0000-0000-0000AF200000}"/>
    <cellStyle name="Note 2 2 2 3 2 2" xfId="7461" xr:uid="{00000000-0005-0000-0000-0000B0200000}"/>
    <cellStyle name="Note 2 2 2 3 2 2 2" xfId="15911" xr:uid="{90D8E4FB-319B-4BC3-BD7B-4ACF5EFC3451}"/>
    <cellStyle name="Note 2 2 2 3 2 3" xfId="11693" xr:uid="{94F2E413-37AC-4791-B0B9-001134E730AD}"/>
    <cellStyle name="Note 2 2 2 3 3" xfId="5316" xr:uid="{00000000-0005-0000-0000-0000B1200000}"/>
    <cellStyle name="Note 2 2 2 3 3 2" xfId="13766" xr:uid="{41DAAC0E-FEED-4EC6-A31E-35E3C14CB1BB}"/>
    <cellStyle name="Note 2 2 2 3 4" xfId="9548" xr:uid="{AB53E134-6F1C-4807-BC6C-37C5FBD9D9FA}"/>
    <cellStyle name="Note 2 2 2 4" xfId="1422" xr:uid="{00000000-0005-0000-0000-0000B2200000}"/>
    <cellStyle name="Note 2 2 2 4 2" xfId="3652" xr:uid="{00000000-0005-0000-0000-0000B3200000}"/>
    <cellStyle name="Note 2 2 2 4 2 2" xfId="7874" xr:uid="{00000000-0005-0000-0000-0000B4200000}"/>
    <cellStyle name="Note 2 2 2 4 2 2 2" xfId="16324" xr:uid="{709158BC-3173-438B-9EB7-61D32781CD97}"/>
    <cellStyle name="Note 2 2 2 4 2 3" xfId="12106" xr:uid="{4A3A3270-02D4-47B0-B364-E067E5784014}"/>
    <cellStyle name="Note 2 2 2 4 3" xfId="5729" xr:uid="{00000000-0005-0000-0000-0000B5200000}"/>
    <cellStyle name="Note 2 2 2 4 3 2" xfId="14179" xr:uid="{2FB5AD99-743E-47AF-84EE-B0DCADB05448}"/>
    <cellStyle name="Note 2 2 2 4 4" xfId="9961" xr:uid="{4EE156ED-C4CB-40F7-9656-2DD4F4E46DAA}"/>
    <cellStyle name="Note 2 2 2 5" xfId="1836" xr:uid="{00000000-0005-0000-0000-0000B6200000}"/>
    <cellStyle name="Note 2 2 2 5 2" xfId="4065" xr:uid="{00000000-0005-0000-0000-0000B7200000}"/>
    <cellStyle name="Note 2 2 2 5 2 2" xfId="8287" xr:uid="{00000000-0005-0000-0000-0000B8200000}"/>
    <cellStyle name="Note 2 2 2 5 2 2 2" xfId="16737" xr:uid="{3531AC17-8132-4043-B6C2-0CB8C430A02F}"/>
    <cellStyle name="Note 2 2 2 5 2 3" xfId="12519" xr:uid="{5A625E9A-8486-4E84-B595-B8D622ED7608}"/>
    <cellStyle name="Note 2 2 2 5 3" xfId="6142" xr:uid="{00000000-0005-0000-0000-0000B9200000}"/>
    <cellStyle name="Note 2 2 2 5 3 2" xfId="14592" xr:uid="{B60993D6-F64D-4D36-8763-4A4555D36C2D}"/>
    <cellStyle name="Note 2 2 2 5 4" xfId="10374" xr:uid="{82F6D261-CAEC-4BB1-8456-668CE2FF0168}"/>
    <cellStyle name="Note 2 2 2 6" xfId="2249" xr:uid="{00000000-0005-0000-0000-0000BA200000}"/>
    <cellStyle name="Note 2 2 2 6 2" xfId="4478" xr:uid="{00000000-0005-0000-0000-0000BB200000}"/>
    <cellStyle name="Note 2 2 2 6 2 2" xfId="8700" xr:uid="{00000000-0005-0000-0000-0000BC200000}"/>
    <cellStyle name="Note 2 2 2 6 2 2 2" xfId="17150" xr:uid="{E6F90B4E-BCD2-4C27-82F0-01AC55CED5B4}"/>
    <cellStyle name="Note 2 2 2 6 2 3" xfId="12932" xr:uid="{6D2589C6-5F59-4CE3-85C3-BC8C22D33BAA}"/>
    <cellStyle name="Note 2 2 2 6 3" xfId="6555" xr:uid="{00000000-0005-0000-0000-0000BD200000}"/>
    <cellStyle name="Note 2 2 2 6 3 2" xfId="15005" xr:uid="{25A621BD-0370-4F31-98A1-CF71FACD1DA0}"/>
    <cellStyle name="Note 2 2 2 6 4" xfId="10787" xr:uid="{EFAD48D6-81FC-49DB-8D69-07FB5BBF4112}"/>
    <cellStyle name="Note 2 2 2 7" xfId="2685" xr:uid="{00000000-0005-0000-0000-0000BE200000}"/>
    <cellStyle name="Note 2 2 2 7 2" xfId="6968" xr:uid="{00000000-0005-0000-0000-0000BF200000}"/>
    <cellStyle name="Note 2 2 2 7 2 2" xfId="15418" xr:uid="{B8C4162F-23EA-4BE0-888E-D622775B2903}"/>
    <cellStyle name="Note 2 2 2 7 3" xfId="11200" xr:uid="{5771C99E-AD6E-40D4-9724-3A231766FB75}"/>
    <cellStyle name="Note 2 2 2 8" xfId="2744" xr:uid="{00000000-0005-0000-0000-0000C0200000}"/>
    <cellStyle name="Note 2 2 2 9" xfId="2825" xr:uid="{00000000-0005-0000-0000-0000C1200000}"/>
    <cellStyle name="Note 2 2 2 9 2" xfId="7048" xr:uid="{00000000-0005-0000-0000-0000C2200000}"/>
    <cellStyle name="Note 2 2 2 9 2 2" xfId="15498" xr:uid="{898C84BC-5DC7-4119-B4AE-0C35B4B54D2D}"/>
    <cellStyle name="Note 2 2 2 9 3" xfId="11280" xr:uid="{03F7AA18-7E0B-4FB0-85A9-37554B375399}"/>
    <cellStyle name="Note 2 2 3" xfId="548" xr:uid="{00000000-0005-0000-0000-0000C3200000}"/>
    <cellStyle name="Note 2 2 3 10" xfId="9137" xr:uid="{B80CCB5A-3DF2-4E89-8012-63788095B877}"/>
    <cellStyle name="Note 2 2 3 2" xfId="1009" xr:uid="{00000000-0005-0000-0000-0000C4200000}"/>
    <cellStyle name="Note 2 2 3 2 2" xfId="3241" xr:uid="{00000000-0005-0000-0000-0000C5200000}"/>
    <cellStyle name="Note 2 2 3 2 2 2" xfId="7463" xr:uid="{00000000-0005-0000-0000-0000C6200000}"/>
    <cellStyle name="Note 2 2 3 2 2 2 2" xfId="15913" xr:uid="{494768B4-DE77-4133-95A8-F859356765A1}"/>
    <cellStyle name="Note 2 2 3 2 2 3" xfId="11695" xr:uid="{27618730-E6B1-4DFF-A89C-FD3DC53C3471}"/>
    <cellStyle name="Note 2 2 3 2 3" xfId="5318" xr:uid="{00000000-0005-0000-0000-0000C7200000}"/>
    <cellStyle name="Note 2 2 3 2 3 2" xfId="13768" xr:uid="{187A1036-0761-4425-9BDC-1D65C7DED94D}"/>
    <cellStyle name="Note 2 2 3 2 4" xfId="9550" xr:uid="{311E6E00-E092-40A3-A5C2-197FE56B0506}"/>
    <cellStyle name="Note 2 2 3 3" xfId="1424" xr:uid="{00000000-0005-0000-0000-0000C8200000}"/>
    <cellStyle name="Note 2 2 3 3 2" xfId="3654" xr:uid="{00000000-0005-0000-0000-0000C9200000}"/>
    <cellStyle name="Note 2 2 3 3 2 2" xfId="7876" xr:uid="{00000000-0005-0000-0000-0000CA200000}"/>
    <cellStyle name="Note 2 2 3 3 2 2 2" xfId="16326" xr:uid="{ED6ECDFA-5222-4D78-A8CA-B75C4B52C1E4}"/>
    <cellStyle name="Note 2 2 3 3 2 3" xfId="12108" xr:uid="{95794E7C-C6E3-4193-897B-70641058F830}"/>
    <cellStyle name="Note 2 2 3 3 3" xfId="5731" xr:uid="{00000000-0005-0000-0000-0000CB200000}"/>
    <cellStyle name="Note 2 2 3 3 3 2" xfId="14181" xr:uid="{94438237-4B48-4BB6-98EA-2D14227A9220}"/>
    <cellStyle name="Note 2 2 3 3 4" xfId="9963" xr:uid="{A84FFE04-7060-4442-859F-CA98B0735052}"/>
    <cellStyle name="Note 2 2 3 4" xfId="1838" xr:uid="{00000000-0005-0000-0000-0000CC200000}"/>
    <cellStyle name="Note 2 2 3 4 2" xfId="4067" xr:uid="{00000000-0005-0000-0000-0000CD200000}"/>
    <cellStyle name="Note 2 2 3 4 2 2" xfId="8289" xr:uid="{00000000-0005-0000-0000-0000CE200000}"/>
    <cellStyle name="Note 2 2 3 4 2 2 2" xfId="16739" xr:uid="{DA6C9E01-B5B9-4CFB-BDB0-CFE7F3B13EE5}"/>
    <cellStyle name="Note 2 2 3 4 2 3" xfId="12521" xr:uid="{9E22CD59-CD4C-4281-80A4-01DC6BC081F5}"/>
    <cellStyle name="Note 2 2 3 4 3" xfId="6144" xr:uid="{00000000-0005-0000-0000-0000CF200000}"/>
    <cellStyle name="Note 2 2 3 4 3 2" xfId="14594" xr:uid="{DB2F01A1-EC79-4243-AA9B-FF7AA5333BC2}"/>
    <cellStyle name="Note 2 2 3 4 4" xfId="10376" xr:uid="{CF5D378F-E0A4-4799-8D79-C9919BD96437}"/>
    <cellStyle name="Note 2 2 3 5" xfId="2251" xr:uid="{00000000-0005-0000-0000-0000D0200000}"/>
    <cellStyle name="Note 2 2 3 5 2" xfId="4480" xr:uid="{00000000-0005-0000-0000-0000D1200000}"/>
    <cellStyle name="Note 2 2 3 5 2 2" xfId="8702" xr:uid="{00000000-0005-0000-0000-0000D2200000}"/>
    <cellStyle name="Note 2 2 3 5 2 2 2" xfId="17152" xr:uid="{40E1C664-A283-4A24-B627-133547E37E4F}"/>
    <cellStyle name="Note 2 2 3 5 2 3" xfId="12934" xr:uid="{258C5084-C75D-4CB9-8EE3-D6CECAD3D5E5}"/>
    <cellStyle name="Note 2 2 3 5 3" xfId="6557" xr:uid="{00000000-0005-0000-0000-0000D3200000}"/>
    <cellStyle name="Note 2 2 3 5 3 2" xfId="15007" xr:uid="{1338B016-563E-4244-A146-9ED7FA0398C5}"/>
    <cellStyle name="Note 2 2 3 5 4" xfId="10789" xr:uid="{B1052B8E-FACE-4619-9D4E-26315C36F5E4}"/>
    <cellStyle name="Note 2 2 3 6" xfId="2687" xr:uid="{00000000-0005-0000-0000-0000D4200000}"/>
    <cellStyle name="Note 2 2 3 6 2" xfId="6970" xr:uid="{00000000-0005-0000-0000-0000D5200000}"/>
    <cellStyle name="Note 2 2 3 6 2 2" xfId="15420" xr:uid="{6D19A56D-AD81-48B2-B032-9E19CD496339}"/>
    <cellStyle name="Note 2 2 3 6 3" xfId="11202" xr:uid="{13D92A3C-2EA1-4727-826F-9153F7280DDF}"/>
    <cellStyle name="Note 2 2 3 7" xfId="2746" xr:uid="{00000000-0005-0000-0000-0000D6200000}"/>
    <cellStyle name="Note 2 2 3 8" xfId="2827" xr:uid="{00000000-0005-0000-0000-0000D7200000}"/>
    <cellStyle name="Note 2 2 3 8 2" xfId="7050" xr:uid="{00000000-0005-0000-0000-0000D8200000}"/>
    <cellStyle name="Note 2 2 3 8 2 2" xfId="15500" xr:uid="{A609CAEC-4A98-406A-A602-847D794216BE}"/>
    <cellStyle name="Note 2 2 3 8 3" xfId="11282" xr:uid="{76FBF04D-E8BC-4F10-A7B2-0191737C74ED}"/>
    <cellStyle name="Note 2 2 3 9" xfId="4905" xr:uid="{00000000-0005-0000-0000-0000D9200000}"/>
    <cellStyle name="Note 2 2 3 9 2" xfId="13355" xr:uid="{1A46C5AC-F7B4-47D5-A60E-BF3D412BA1A8}"/>
    <cellStyle name="Note 2 2 4" xfId="1006" xr:uid="{00000000-0005-0000-0000-0000DA200000}"/>
    <cellStyle name="Note 2 2 4 2" xfId="3238" xr:uid="{00000000-0005-0000-0000-0000DB200000}"/>
    <cellStyle name="Note 2 2 4 2 2" xfId="7460" xr:uid="{00000000-0005-0000-0000-0000DC200000}"/>
    <cellStyle name="Note 2 2 4 2 2 2" xfId="15910" xr:uid="{BA36D228-F634-4594-A933-17400FF168DC}"/>
    <cellStyle name="Note 2 2 4 2 3" xfId="11692" xr:uid="{0CA2EBDF-CCB7-4C7D-A0CB-2C7399F19098}"/>
    <cellStyle name="Note 2 2 4 3" xfId="5315" xr:uid="{00000000-0005-0000-0000-0000DD200000}"/>
    <cellStyle name="Note 2 2 4 3 2" xfId="13765" xr:uid="{EA2EE03A-032C-469C-B3FC-049EF75036AD}"/>
    <cellStyle name="Note 2 2 4 4" xfId="9547" xr:uid="{D3F8B32A-BEEC-42F2-B071-C284B1A9BEEE}"/>
    <cellStyle name="Note 2 2 5" xfId="1421" xr:uid="{00000000-0005-0000-0000-0000DE200000}"/>
    <cellStyle name="Note 2 2 5 2" xfId="3651" xr:uid="{00000000-0005-0000-0000-0000DF200000}"/>
    <cellStyle name="Note 2 2 5 2 2" xfId="7873" xr:uid="{00000000-0005-0000-0000-0000E0200000}"/>
    <cellStyle name="Note 2 2 5 2 2 2" xfId="16323" xr:uid="{1C399441-A207-4C7F-AF21-2B227718F085}"/>
    <cellStyle name="Note 2 2 5 2 3" xfId="12105" xr:uid="{5C90F868-468C-414E-BFB5-35487A1E7EBF}"/>
    <cellStyle name="Note 2 2 5 3" xfId="5728" xr:uid="{00000000-0005-0000-0000-0000E1200000}"/>
    <cellStyle name="Note 2 2 5 3 2" xfId="14178" xr:uid="{39E2BB1D-F229-4C36-9DE7-137174828DD8}"/>
    <cellStyle name="Note 2 2 5 4" xfId="9960" xr:uid="{F1B6FF92-CFAB-497E-A539-8E9FB5FC42B5}"/>
    <cellStyle name="Note 2 2 6" xfId="1835" xr:uid="{00000000-0005-0000-0000-0000E2200000}"/>
    <cellStyle name="Note 2 2 6 2" xfId="4064" xr:uid="{00000000-0005-0000-0000-0000E3200000}"/>
    <cellStyle name="Note 2 2 6 2 2" xfId="8286" xr:uid="{00000000-0005-0000-0000-0000E4200000}"/>
    <cellStyle name="Note 2 2 6 2 2 2" xfId="16736" xr:uid="{A9D64EC1-8FA3-4686-9F3F-ACE587F968DF}"/>
    <cellStyle name="Note 2 2 6 2 3" xfId="12518" xr:uid="{9DBE1438-91E4-4065-BADC-7EDC5A05A940}"/>
    <cellStyle name="Note 2 2 6 3" xfId="6141" xr:uid="{00000000-0005-0000-0000-0000E5200000}"/>
    <cellStyle name="Note 2 2 6 3 2" xfId="14591" xr:uid="{4217B18C-8F72-4AAB-9FD0-B8DACDA385D3}"/>
    <cellStyle name="Note 2 2 6 4" xfId="10373" xr:uid="{412D0072-8789-4802-AA74-C4835E987F31}"/>
    <cellStyle name="Note 2 2 7" xfId="2248" xr:uid="{00000000-0005-0000-0000-0000E6200000}"/>
    <cellStyle name="Note 2 2 7 2" xfId="4477" xr:uid="{00000000-0005-0000-0000-0000E7200000}"/>
    <cellStyle name="Note 2 2 7 2 2" xfId="8699" xr:uid="{00000000-0005-0000-0000-0000E8200000}"/>
    <cellStyle name="Note 2 2 7 2 2 2" xfId="17149" xr:uid="{43F92729-ABC9-4ADA-93FE-C759BCBD469A}"/>
    <cellStyle name="Note 2 2 7 2 3" xfId="12931" xr:uid="{B6A4406A-8E3A-4090-ABC2-0F394837D245}"/>
    <cellStyle name="Note 2 2 7 3" xfId="6554" xr:uid="{00000000-0005-0000-0000-0000E9200000}"/>
    <cellStyle name="Note 2 2 7 3 2" xfId="15004" xr:uid="{39A54D27-4979-456E-AA05-9A3BF4529109}"/>
    <cellStyle name="Note 2 2 7 4" xfId="10786" xr:uid="{02BEF77B-8DB0-4B6B-BE62-D3B9808BEC6B}"/>
    <cellStyle name="Note 2 2 8" xfId="2684" xr:uid="{00000000-0005-0000-0000-0000EA200000}"/>
    <cellStyle name="Note 2 2 8 2" xfId="6967" xr:uid="{00000000-0005-0000-0000-0000EB200000}"/>
    <cellStyle name="Note 2 2 8 2 2" xfId="15417" xr:uid="{80B15EC5-A4A4-465E-9D0F-3CC17AF0BBDE}"/>
    <cellStyle name="Note 2 2 8 3" xfId="11199" xr:uid="{B41A3311-9082-4C1A-8F5A-EAACDA3F4836}"/>
    <cellStyle name="Note 2 2 9" xfId="2743" xr:uid="{00000000-0005-0000-0000-0000EC200000}"/>
    <cellStyle name="Note 2 3" xfId="549" xr:uid="{00000000-0005-0000-0000-0000ED200000}"/>
    <cellStyle name="Note 2 3 10" xfId="4906" xr:uid="{00000000-0005-0000-0000-0000EE200000}"/>
    <cellStyle name="Note 2 3 10 2" xfId="13356" xr:uid="{AA97A678-906B-4C38-ACCC-6C3CA066D2A4}"/>
    <cellStyle name="Note 2 3 11" xfId="9138" xr:uid="{8FFCAC25-DC27-4F79-9095-E2C0FF95EA9B}"/>
    <cellStyle name="Note 2 3 2" xfId="550" xr:uid="{00000000-0005-0000-0000-0000EF200000}"/>
    <cellStyle name="Note 2 3 2 10" xfId="9139" xr:uid="{07B2A0AC-5447-41A4-8D54-F581DD7E0C24}"/>
    <cellStyle name="Note 2 3 2 2" xfId="1011" xr:uid="{00000000-0005-0000-0000-0000F0200000}"/>
    <cellStyle name="Note 2 3 2 2 2" xfId="3243" xr:uid="{00000000-0005-0000-0000-0000F1200000}"/>
    <cellStyle name="Note 2 3 2 2 2 2" xfId="7465" xr:uid="{00000000-0005-0000-0000-0000F2200000}"/>
    <cellStyle name="Note 2 3 2 2 2 2 2" xfId="15915" xr:uid="{D11CBCAE-804A-4489-81B6-9816C9D41F07}"/>
    <cellStyle name="Note 2 3 2 2 2 3" xfId="11697" xr:uid="{D3DF7155-B88C-4EC2-9359-7DA16F18E6B4}"/>
    <cellStyle name="Note 2 3 2 2 3" xfId="5320" xr:uid="{00000000-0005-0000-0000-0000F3200000}"/>
    <cellStyle name="Note 2 3 2 2 3 2" xfId="13770" xr:uid="{115C1EAB-7ADD-4234-8092-819F2D6CF38A}"/>
    <cellStyle name="Note 2 3 2 2 4" xfId="9552" xr:uid="{138FF3E9-2166-46CA-8628-4DA9E17F8F27}"/>
    <cellStyle name="Note 2 3 2 3" xfId="1426" xr:uid="{00000000-0005-0000-0000-0000F4200000}"/>
    <cellStyle name="Note 2 3 2 3 2" xfId="3656" xr:uid="{00000000-0005-0000-0000-0000F5200000}"/>
    <cellStyle name="Note 2 3 2 3 2 2" xfId="7878" xr:uid="{00000000-0005-0000-0000-0000F6200000}"/>
    <cellStyle name="Note 2 3 2 3 2 2 2" xfId="16328" xr:uid="{380E8B9C-4D00-4F93-9A13-ACDC03C38F65}"/>
    <cellStyle name="Note 2 3 2 3 2 3" xfId="12110" xr:uid="{C895472A-AC8C-4B3B-868F-A6619FE1D415}"/>
    <cellStyle name="Note 2 3 2 3 3" xfId="5733" xr:uid="{00000000-0005-0000-0000-0000F7200000}"/>
    <cellStyle name="Note 2 3 2 3 3 2" xfId="14183" xr:uid="{23421ED4-5CBF-41DA-AD6C-A5B0978DD7AD}"/>
    <cellStyle name="Note 2 3 2 3 4" xfId="9965" xr:uid="{6B8A468F-4720-4957-9DF3-BD55F9D60CCE}"/>
    <cellStyle name="Note 2 3 2 4" xfId="1840" xr:uid="{00000000-0005-0000-0000-0000F8200000}"/>
    <cellStyle name="Note 2 3 2 4 2" xfId="4069" xr:uid="{00000000-0005-0000-0000-0000F9200000}"/>
    <cellStyle name="Note 2 3 2 4 2 2" xfId="8291" xr:uid="{00000000-0005-0000-0000-0000FA200000}"/>
    <cellStyle name="Note 2 3 2 4 2 2 2" xfId="16741" xr:uid="{25669AD8-8A30-4DB9-BEA7-1DE365E0932E}"/>
    <cellStyle name="Note 2 3 2 4 2 3" xfId="12523" xr:uid="{C304B06F-CD04-42EB-9090-989286AB3431}"/>
    <cellStyle name="Note 2 3 2 4 3" xfId="6146" xr:uid="{00000000-0005-0000-0000-0000FB200000}"/>
    <cellStyle name="Note 2 3 2 4 3 2" xfId="14596" xr:uid="{318C05CC-D30A-43BA-B3A0-EEC77F69689D}"/>
    <cellStyle name="Note 2 3 2 4 4" xfId="10378" xr:uid="{97EC09E0-A1BB-4B39-BE66-4A05A931167A}"/>
    <cellStyle name="Note 2 3 2 5" xfId="2253" xr:uid="{00000000-0005-0000-0000-0000FC200000}"/>
    <cellStyle name="Note 2 3 2 5 2" xfId="4482" xr:uid="{00000000-0005-0000-0000-0000FD200000}"/>
    <cellStyle name="Note 2 3 2 5 2 2" xfId="8704" xr:uid="{00000000-0005-0000-0000-0000FE200000}"/>
    <cellStyle name="Note 2 3 2 5 2 2 2" xfId="17154" xr:uid="{AB488D6C-B12C-481F-AC85-D6636A3AE326}"/>
    <cellStyle name="Note 2 3 2 5 2 3" xfId="12936" xr:uid="{BDAD4837-0D7D-447E-91FA-4CB66B117571}"/>
    <cellStyle name="Note 2 3 2 5 3" xfId="6559" xr:uid="{00000000-0005-0000-0000-0000FF200000}"/>
    <cellStyle name="Note 2 3 2 5 3 2" xfId="15009" xr:uid="{2DBC9857-040A-4EBC-B65B-3A6DC8523098}"/>
    <cellStyle name="Note 2 3 2 5 4" xfId="10791" xr:uid="{F902C5DB-22E1-49EB-89EB-246BB4BEC610}"/>
    <cellStyle name="Note 2 3 2 6" xfId="2689" xr:uid="{00000000-0005-0000-0000-000000210000}"/>
    <cellStyle name="Note 2 3 2 6 2" xfId="6972" xr:uid="{00000000-0005-0000-0000-000001210000}"/>
    <cellStyle name="Note 2 3 2 6 2 2" xfId="15422" xr:uid="{3E51D5BA-E749-4D98-BA83-A4965B89BEE3}"/>
    <cellStyle name="Note 2 3 2 6 3" xfId="11204" xr:uid="{1ED3E29E-CDE2-47C4-8380-2FFE69782D11}"/>
    <cellStyle name="Note 2 3 2 7" xfId="2748" xr:uid="{00000000-0005-0000-0000-000002210000}"/>
    <cellStyle name="Note 2 3 2 8" xfId="2829" xr:uid="{00000000-0005-0000-0000-000003210000}"/>
    <cellStyle name="Note 2 3 2 8 2" xfId="7052" xr:uid="{00000000-0005-0000-0000-000004210000}"/>
    <cellStyle name="Note 2 3 2 8 2 2" xfId="15502" xr:uid="{DD5FDDA3-1029-4428-812C-5B2A5DD9C465}"/>
    <cellStyle name="Note 2 3 2 8 3" xfId="11284" xr:uid="{8180A0F8-2421-4E2F-9719-81F77C1D0378}"/>
    <cellStyle name="Note 2 3 2 9" xfId="4907" xr:uid="{00000000-0005-0000-0000-000005210000}"/>
    <cellStyle name="Note 2 3 2 9 2" xfId="13357" xr:uid="{C00DA06E-B7D2-497C-90F7-1A95027721F5}"/>
    <cellStyle name="Note 2 3 3" xfId="1010" xr:uid="{00000000-0005-0000-0000-000006210000}"/>
    <cellStyle name="Note 2 3 3 2" xfId="3242" xr:uid="{00000000-0005-0000-0000-000007210000}"/>
    <cellStyle name="Note 2 3 3 2 2" xfId="7464" xr:uid="{00000000-0005-0000-0000-000008210000}"/>
    <cellStyle name="Note 2 3 3 2 2 2" xfId="15914" xr:uid="{7A7AA05D-DD3F-4E10-B7A3-E2F6BF22D34F}"/>
    <cellStyle name="Note 2 3 3 2 3" xfId="11696" xr:uid="{BC299DD3-C4AD-485D-BD93-055FB999D8E1}"/>
    <cellStyle name="Note 2 3 3 3" xfId="5319" xr:uid="{00000000-0005-0000-0000-000009210000}"/>
    <cellStyle name="Note 2 3 3 3 2" xfId="13769" xr:uid="{9CC42B99-0A40-4F35-B50E-3A48F1A6B820}"/>
    <cellStyle name="Note 2 3 3 4" xfId="9551" xr:uid="{D245D656-B7A2-4388-BF00-23FD89D90DAD}"/>
    <cellStyle name="Note 2 3 4" xfId="1425" xr:uid="{00000000-0005-0000-0000-00000A210000}"/>
    <cellStyle name="Note 2 3 4 2" xfId="3655" xr:uid="{00000000-0005-0000-0000-00000B210000}"/>
    <cellStyle name="Note 2 3 4 2 2" xfId="7877" xr:uid="{00000000-0005-0000-0000-00000C210000}"/>
    <cellStyle name="Note 2 3 4 2 2 2" xfId="16327" xr:uid="{B9C10F7A-3361-4880-96C2-5435EB24FD9D}"/>
    <cellStyle name="Note 2 3 4 2 3" xfId="12109" xr:uid="{1F1BDA48-8B9F-458F-9DC6-487932A08F73}"/>
    <cellStyle name="Note 2 3 4 3" xfId="5732" xr:uid="{00000000-0005-0000-0000-00000D210000}"/>
    <cellStyle name="Note 2 3 4 3 2" xfId="14182" xr:uid="{D54ADC39-0F8E-48CD-967B-99940900D16E}"/>
    <cellStyle name="Note 2 3 4 4" xfId="9964" xr:uid="{8A8E9701-E1E5-4108-AC61-9AEACD1F4C6E}"/>
    <cellStyle name="Note 2 3 5" xfId="1839" xr:uid="{00000000-0005-0000-0000-00000E210000}"/>
    <cellStyle name="Note 2 3 5 2" xfId="4068" xr:uid="{00000000-0005-0000-0000-00000F210000}"/>
    <cellStyle name="Note 2 3 5 2 2" xfId="8290" xr:uid="{00000000-0005-0000-0000-000010210000}"/>
    <cellStyle name="Note 2 3 5 2 2 2" xfId="16740" xr:uid="{ACCCDA5A-97B4-433C-8881-D1BF6B0194D3}"/>
    <cellStyle name="Note 2 3 5 2 3" xfId="12522" xr:uid="{6776D6CE-892F-4D9B-9E19-2CB558F4F76C}"/>
    <cellStyle name="Note 2 3 5 3" xfId="6145" xr:uid="{00000000-0005-0000-0000-000011210000}"/>
    <cellStyle name="Note 2 3 5 3 2" xfId="14595" xr:uid="{4C088870-FF8F-4D48-874E-9A9F9A16E559}"/>
    <cellStyle name="Note 2 3 5 4" xfId="10377" xr:uid="{13FDC670-13BB-4C0A-A060-EAA565150F22}"/>
    <cellStyle name="Note 2 3 6" xfId="2252" xr:uid="{00000000-0005-0000-0000-000012210000}"/>
    <cellStyle name="Note 2 3 6 2" xfId="4481" xr:uid="{00000000-0005-0000-0000-000013210000}"/>
    <cellStyle name="Note 2 3 6 2 2" xfId="8703" xr:uid="{00000000-0005-0000-0000-000014210000}"/>
    <cellStyle name="Note 2 3 6 2 2 2" xfId="17153" xr:uid="{2EAF8E21-C669-47F4-B784-21596461CADD}"/>
    <cellStyle name="Note 2 3 6 2 3" xfId="12935" xr:uid="{99283DEE-8BD9-4BDE-92F2-4B428F145C89}"/>
    <cellStyle name="Note 2 3 6 3" xfId="6558" xr:uid="{00000000-0005-0000-0000-000015210000}"/>
    <cellStyle name="Note 2 3 6 3 2" xfId="15008" xr:uid="{B56F99BF-2A2E-405A-8527-19CB60E76F77}"/>
    <cellStyle name="Note 2 3 6 4" xfId="10790" xr:uid="{3920F6CA-939B-4785-AF7A-402F8C40225A}"/>
    <cellStyle name="Note 2 3 7" xfId="2688" xr:uid="{00000000-0005-0000-0000-000016210000}"/>
    <cellStyle name="Note 2 3 7 2" xfId="6971" xr:uid="{00000000-0005-0000-0000-000017210000}"/>
    <cellStyle name="Note 2 3 7 2 2" xfId="15421" xr:uid="{DD7B80CF-830A-4DB9-8558-94B4606CFACC}"/>
    <cellStyle name="Note 2 3 7 3" xfId="11203" xr:uid="{851970BB-CF20-4AA4-8343-29EF9FC1D10B}"/>
    <cellStyle name="Note 2 3 8" xfId="2747" xr:uid="{00000000-0005-0000-0000-000018210000}"/>
    <cellStyle name="Note 2 3 9" xfId="2828" xr:uid="{00000000-0005-0000-0000-000019210000}"/>
    <cellStyle name="Note 2 3 9 2" xfId="7051" xr:uid="{00000000-0005-0000-0000-00001A210000}"/>
    <cellStyle name="Note 2 3 9 2 2" xfId="15501" xr:uid="{E4BAA805-AFE9-4F4B-A849-0705D6178605}"/>
    <cellStyle name="Note 2 3 9 3" xfId="11283" xr:uid="{F8E3EACC-5AE0-4ADC-9042-1D5F08C530C4}"/>
    <cellStyle name="Note 2 4" xfId="551" xr:uid="{00000000-0005-0000-0000-00001B210000}"/>
    <cellStyle name="Note 2 4 10" xfId="9140" xr:uid="{A35B0F2F-CACC-4942-AE75-FE1DB70DD80B}"/>
    <cellStyle name="Note 2 4 2" xfId="1012" xr:uid="{00000000-0005-0000-0000-00001C210000}"/>
    <cellStyle name="Note 2 4 2 2" xfId="3244" xr:uid="{00000000-0005-0000-0000-00001D210000}"/>
    <cellStyle name="Note 2 4 2 2 2" xfId="7466" xr:uid="{00000000-0005-0000-0000-00001E210000}"/>
    <cellStyle name="Note 2 4 2 2 2 2" xfId="15916" xr:uid="{0B45223B-1A28-4BF5-8328-2C6C5A0BE6CE}"/>
    <cellStyle name="Note 2 4 2 2 3" xfId="11698" xr:uid="{25D1FDF8-8818-4AD0-AC2D-9EF800D2C3AA}"/>
    <cellStyle name="Note 2 4 2 3" xfId="5321" xr:uid="{00000000-0005-0000-0000-00001F210000}"/>
    <cellStyle name="Note 2 4 2 3 2" xfId="13771" xr:uid="{4C338363-4EAB-4F57-AE22-CD40C54F70A1}"/>
    <cellStyle name="Note 2 4 2 4" xfId="9553" xr:uid="{3D37C394-8295-4799-A63E-630CD4D8FFD7}"/>
    <cellStyle name="Note 2 4 3" xfId="1427" xr:uid="{00000000-0005-0000-0000-000020210000}"/>
    <cellStyle name="Note 2 4 3 2" xfId="3657" xr:uid="{00000000-0005-0000-0000-000021210000}"/>
    <cellStyle name="Note 2 4 3 2 2" xfId="7879" xr:uid="{00000000-0005-0000-0000-000022210000}"/>
    <cellStyle name="Note 2 4 3 2 2 2" xfId="16329" xr:uid="{D2E7D9D4-FBAC-4E6D-91B8-60B263F58A3C}"/>
    <cellStyle name="Note 2 4 3 2 3" xfId="12111" xr:uid="{B505D517-1F06-4B68-9A52-74A3E396C837}"/>
    <cellStyle name="Note 2 4 3 3" xfId="5734" xr:uid="{00000000-0005-0000-0000-000023210000}"/>
    <cellStyle name="Note 2 4 3 3 2" xfId="14184" xr:uid="{89D3F705-6292-4D9A-8D8C-F2DFE6A3A5FF}"/>
    <cellStyle name="Note 2 4 3 4" xfId="9966" xr:uid="{C8AA5103-1D03-47BD-8380-FF429C18D99C}"/>
    <cellStyle name="Note 2 4 4" xfId="1841" xr:uid="{00000000-0005-0000-0000-000024210000}"/>
    <cellStyle name="Note 2 4 4 2" xfId="4070" xr:uid="{00000000-0005-0000-0000-000025210000}"/>
    <cellStyle name="Note 2 4 4 2 2" xfId="8292" xr:uid="{00000000-0005-0000-0000-000026210000}"/>
    <cellStyle name="Note 2 4 4 2 2 2" xfId="16742" xr:uid="{21258A95-E96D-485F-96DB-8C9F75414E54}"/>
    <cellStyle name="Note 2 4 4 2 3" xfId="12524" xr:uid="{7E220422-CD18-4F46-B987-0AF4A68A9272}"/>
    <cellStyle name="Note 2 4 4 3" xfId="6147" xr:uid="{00000000-0005-0000-0000-000027210000}"/>
    <cellStyle name="Note 2 4 4 3 2" xfId="14597" xr:uid="{E2020E47-0613-4574-9672-C500EE9154E1}"/>
    <cellStyle name="Note 2 4 4 4" xfId="10379" xr:uid="{13F667DE-727A-42CC-8301-B1C737860E31}"/>
    <cellStyle name="Note 2 4 5" xfId="2254" xr:uid="{00000000-0005-0000-0000-000028210000}"/>
    <cellStyle name="Note 2 4 5 2" xfId="4483" xr:uid="{00000000-0005-0000-0000-000029210000}"/>
    <cellStyle name="Note 2 4 5 2 2" xfId="8705" xr:uid="{00000000-0005-0000-0000-00002A210000}"/>
    <cellStyle name="Note 2 4 5 2 2 2" xfId="17155" xr:uid="{CA55AB4A-C06A-4103-ABD6-C46AE731A6E4}"/>
    <cellStyle name="Note 2 4 5 2 3" xfId="12937" xr:uid="{C5946BDC-7549-482F-B9DD-CDFE11704713}"/>
    <cellStyle name="Note 2 4 5 3" xfId="6560" xr:uid="{00000000-0005-0000-0000-00002B210000}"/>
    <cellStyle name="Note 2 4 5 3 2" xfId="15010" xr:uid="{4C5F146A-A9C7-4AD5-B0C7-FCB15F0FAB31}"/>
    <cellStyle name="Note 2 4 5 4" xfId="10792" xr:uid="{8C8FC950-E181-49D0-A563-AC3F762A1701}"/>
    <cellStyle name="Note 2 4 6" xfId="2690" xr:uid="{00000000-0005-0000-0000-00002C210000}"/>
    <cellStyle name="Note 2 4 6 2" xfId="6973" xr:uid="{00000000-0005-0000-0000-00002D210000}"/>
    <cellStyle name="Note 2 4 6 2 2" xfId="15423" xr:uid="{233F4AAE-38BE-4A1B-BB68-5A8E33C6C99C}"/>
    <cellStyle name="Note 2 4 6 3" xfId="11205" xr:uid="{13514075-B64F-4E20-B946-4FCEA8CF371F}"/>
    <cellStyle name="Note 2 4 7" xfId="2749" xr:uid="{00000000-0005-0000-0000-00002E210000}"/>
    <cellStyle name="Note 2 4 8" xfId="2830" xr:uid="{00000000-0005-0000-0000-00002F210000}"/>
    <cellStyle name="Note 2 4 8 2" xfId="7053" xr:uid="{00000000-0005-0000-0000-000030210000}"/>
    <cellStyle name="Note 2 4 8 2 2" xfId="15503" xr:uid="{EBFBA5B6-EC28-41F1-A41C-B08BC49BE0D3}"/>
    <cellStyle name="Note 2 4 8 3" xfId="11285" xr:uid="{071C3702-A3E2-4E33-A4C2-630CFBDAA07D}"/>
    <cellStyle name="Note 2 4 9" xfId="4908" xr:uid="{00000000-0005-0000-0000-000031210000}"/>
    <cellStyle name="Note 2 4 9 2" xfId="13358" xr:uid="{A992626C-3805-47D0-BB7C-BB66C44D666F}"/>
    <cellStyle name="Note 2 5" xfId="552" xr:uid="{00000000-0005-0000-0000-000032210000}"/>
    <cellStyle name="Note 2 5 10" xfId="9141" xr:uid="{9121C9BE-9297-4A41-A1BE-C19178F5CFFE}"/>
    <cellStyle name="Note 2 5 2" xfId="1013" xr:uid="{00000000-0005-0000-0000-000033210000}"/>
    <cellStyle name="Note 2 5 2 2" xfId="3245" xr:uid="{00000000-0005-0000-0000-000034210000}"/>
    <cellStyle name="Note 2 5 2 2 2" xfId="7467" xr:uid="{00000000-0005-0000-0000-000035210000}"/>
    <cellStyle name="Note 2 5 2 2 2 2" xfId="15917" xr:uid="{BA43051C-6BEF-4628-B004-CDDA9D16799B}"/>
    <cellStyle name="Note 2 5 2 2 3" xfId="11699" xr:uid="{F4883FB1-6EA2-4F0A-8B78-24AFD6999BFA}"/>
    <cellStyle name="Note 2 5 2 3" xfId="5322" xr:uid="{00000000-0005-0000-0000-000036210000}"/>
    <cellStyle name="Note 2 5 2 3 2" xfId="13772" xr:uid="{0979F712-3F24-4EF7-9559-384EB9105967}"/>
    <cellStyle name="Note 2 5 2 4" xfId="9554" xr:uid="{2FF8C782-2555-4DB7-B9DB-EBEA9F76C4C8}"/>
    <cellStyle name="Note 2 5 3" xfId="1428" xr:uid="{00000000-0005-0000-0000-000037210000}"/>
    <cellStyle name="Note 2 5 3 2" xfId="3658" xr:uid="{00000000-0005-0000-0000-000038210000}"/>
    <cellStyle name="Note 2 5 3 2 2" xfId="7880" xr:uid="{00000000-0005-0000-0000-000039210000}"/>
    <cellStyle name="Note 2 5 3 2 2 2" xfId="16330" xr:uid="{F9C28340-7C7F-4B64-8C40-4A319344B116}"/>
    <cellStyle name="Note 2 5 3 2 3" xfId="12112" xr:uid="{944712F1-01BB-4223-ACDB-4CF7FCFC7A2C}"/>
    <cellStyle name="Note 2 5 3 3" xfId="5735" xr:uid="{00000000-0005-0000-0000-00003A210000}"/>
    <cellStyle name="Note 2 5 3 3 2" xfId="14185" xr:uid="{A2DC886F-6013-47D2-BB1F-D524346B77D4}"/>
    <cellStyle name="Note 2 5 3 4" xfId="9967" xr:uid="{14BE1418-836F-4884-8805-8671FD695F51}"/>
    <cellStyle name="Note 2 5 4" xfId="1842" xr:uid="{00000000-0005-0000-0000-00003B210000}"/>
    <cellStyle name="Note 2 5 4 2" xfId="4071" xr:uid="{00000000-0005-0000-0000-00003C210000}"/>
    <cellStyle name="Note 2 5 4 2 2" xfId="8293" xr:uid="{00000000-0005-0000-0000-00003D210000}"/>
    <cellStyle name="Note 2 5 4 2 2 2" xfId="16743" xr:uid="{58B8971F-63DA-4DE8-A375-E4A9B936963A}"/>
    <cellStyle name="Note 2 5 4 2 3" xfId="12525" xr:uid="{737CE792-A70E-43F9-BEBF-F1B882684B13}"/>
    <cellStyle name="Note 2 5 4 3" xfId="6148" xr:uid="{00000000-0005-0000-0000-00003E210000}"/>
    <cellStyle name="Note 2 5 4 3 2" xfId="14598" xr:uid="{38DC4AE6-C89A-4F4C-9EEA-9D5E6A16A806}"/>
    <cellStyle name="Note 2 5 4 4" xfId="10380" xr:uid="{CC73A192-05C1-478E-B56E-9EBCD50586F5}"/>
    <cellStyle name="Note 2 5 5" xfId="2255" xr:uid="{00000000-0005-0000-0000-00003F210000}"/>
    <cellStyle name="Note 2 5 5 2" xfId="4484" xr:uid="{00000000-0005-0000-0000-000040210000}"/>
    <cellStyle name="Note 2 5 5 2 2" xfId="8706" xr:uid="{00000000-0005-0000-0000-000041210000}"/>
    <cellStyle name="Note 2 5 5 2 2 2" xfId="17156" xr:uid="{E4A8224E-47DD-4310-9FC0-3D29479EBF1B}"/>
    <cellStyle name="Note 2 5 5 2 3" xfId="12938" xr:uid="{88A8FDAF-473A-42EE-BFF6-7C5211E67A1F}"/>
    <cellStyle name="Note 2 5 5 3" xfId="6561" xr:uid="{00000000-0005-0000-0000-000042210000}"/>
    <cellStyle name="Note 2 5 5 3 2" xfId="15011" xr:uid="{B8DC4184-9E8F-4C2D-A3F6-61383AE53549}"/>
    <cellStyle name="Note 2 5 5 4" xfId="10793" xr:uid="{F0D903A6-B996-4F81-93C7-E87AEB160D16}"/>
    <cellStyle name="Note 2 5 6" xfId="2691" xr:uid="{00000000-0005-0000-0000-000043210000}"/>
    <cellStyle name="Note 2 5 6 2" xfId="6974" xr:uid="{00000000-0005-0000-0000-000044210000}"/>
    <cellStyle name="Note 2 5 6 2 2" xfId="15424" xr:uid="{61F0986B-6D88-4312-BE03-58CA7331742B}"/>
    <cellStyle name="Note 2 5 6 3" xfId="11206" xr:uid="{4B1D5AD5-2C39-49F2-8F32-93A75830AE57}"/>
    <cellStyle name="Note 2 5 7" xfId="2750" xr:uid="{00000000-0005-0000-0000-000045210000}"/>
    <cellStyle name="Note 2 5 8" xfId="2831" xr:uid="{00000000-0005-0000-0000-000046210000}"/>
    <cellStyle name="Note 2 5 8 2" xfId="7054" xr:uid="{00000000-0005-0000-0000-000047210000}"/>
    <cellStyle name="Note 2 5 8 2 2" xfId="15504" xr:uid="{76607D6C-1407-4C58-A135-67D8B61F4F56}"/>
    <cellStyle name="Note 2 5 8 3" xfId="11286" xr:uid="{C69354DD-D585-42F9-B0C5-9EA935056FA1}"/>
    <cellStyle name="Note 2 5 9" xfId="4909" xr:uid="{00000000-0005-0000-0000-000048210000}"/>
    <cellStyle name="Note 2 5 9 2" xfId="13359" xr:uid="{DF92663C-3742-4D27-AC9D-42671753428D}"/>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5505" xr:uid="{35AB16C4-2A77-4102-BBFE-BA611CB4B848}"/>
    <cellStyle name="Note 3 2 10 3" xfId="11287" xr:uid="{9AB39AD7-BCA1-422C-98F8-5E238F896416}"/>
    <cellStyle name="Note 3 2 11" xfId="4910" xr:uid="{00000000-0005-0000-0000-00004D210000}"/>
    <cellStyle name="Note 3 2 11 2" xfId="13360" xr:uid="{507AC6C2-665D-499E-940A-47F9A4263E1C}"/>
    <cellStyle name="Note 3 2 12" xfId="9142" xr:uid="{686712BD-2376-446C-A2A6-D92C370B99BD}"/>
    <cellStyle name="Note 3 2 2" xfId="555" xr:uid="{00000000-0005-0000-0000-00004E210000}"/>
    <cellStyle name="Note 3 2 2 10" xfId="4911" xr:uid="{00000000-0005-0000-0000-00004F210000}"/>
    <cellStyle name="Note 3 2 2 10 2" xfId="13361" xr:uid="{EE20C08D-6A86-44D2-901A-1DFAC1D46D44}"/>
    <cellStyle name="Note 3 2 2 11" xfId="9143" xr:uid="{DBBE7464-11CC-49FA-BB54-D83C9108B603}"/>
    <cellStyle name="Note 3 2 2 2" xfId="556" xr:uid="{00000000-0005-0000-0000-000050210000}"/>
    <cellStyle name="Note 3 2 2 2 10" xfId="9144" xr:uid="{5FB840E0-1813-46B9-A075-786E7C8499C5}"/>
    <cellStyle name="Note 3 2 2 2 2" xfId="1016" xr:uid="{00000000-0005-0000-0000-000051210000}"/>
    <cellStyle name="Note 3 2 2 2 2 2" xfId="3248" xr:uid="{00000000-0005-0000-0000-000052210000}"/>
    <cellStyle name="Note 3 2 2 2 2 2 2" xfId="7470" xr:uid="{00000000-0005-0000-0000-000053210000}"/>
    <cellStyle name="Note 3 2 2 2 2 2 2 2" xfId="15920" xr:uid="{BDFD6D05-43C6-48BB-9DF9-EBC3482C807B}"/>
    <cellStyle name="Note 3 2 2 2 2 2 3" xfId="11702" xr:uid="{AB6D2D1A-E705-47CA-8BC3-C227E4264C2A}"/>
    <cellStyle name="Note 3 2 2 2 2 3" xfId="5325" xr:uid="{00000000-0005-0000-0000-000054210000}"/>
    <cellStyle name="Note 3 2 2 2 2 3 2" xfId="13775" xr:uid="{DCA4633B-07C2-4F59-8892-413466C19B71}"/>
    <cellStyle name="Note 3 2 2 2 2 4" xfId="9557" xr:uid="{E4BF79E2-374C-4F53-ADFE-4490497FFAAD}"/>
    <cellStyle name="Note 3 2 2 2 3" xfId="1431" xr:uid="{00000000-0005-0000-0000-000055210000}"/>
    <cellStyle name="Note 3 2 2 2 3 2" xfId="3661" xr:uid="{00000000-0005-0000-0000-000056210000}"/>
    <cellStyle name="Note 3 2 2 2 3 2 2" xfId="7883" xr:uid="{00000000-0005-0000-0000-000057210000}"/>
    <cellStyle name="Note 3 2 2 2 3 2 2 2" xfId="16333" xr:uid="{1823A462-2A89-4A54-A8C1-D27B7290C494}"/>
    <cellStyle name="Note 3 2 2 2 3 2 3" xfId="12115" xr:uid="{C12D23F0-7720-4BB9-9FDC-05656795EAEA}"/>
    <cellStyle name="Note 3 2 2 2 3 3" xfId="5738" xr:uid="{00000000-0005-0000-0000-000058210000}"/>
    <cellStyle name="Note 3 2 2 2 3 3 2" xfId="14188" xr:uid="{F3891DF4-2DB3-4AF7-945B-0EB463C628F0}"/>
    <cellStyle name="Note 3 2 2 2 3 4" xfId="9970" xr:uid="{7FE92D96-D99B-4157-8649-5A87B6F34E23}"/>
    <cellStyle name="Note 3 2 2 2 4" xfId="1845" xr:uid="{00000000-0005-0000-0000-000059210000}"/>
    <cellStyle name="Note 3 2 2 2 4 2" xfId="4074" xr:uid="{00000000-0005-0000-0000-00005A210000}"/>
    <cellStyle name="Note 3 2 2 2 4 2 2" xfId="8296" xr:uid="{00000000-0005-0000-0000-00005B210000}"/>
    <cellStyle name="Note 3 2 2 2 4 2 2 2" xfId="16746" xr:uid="{5B091BB6-F2F2-4E6B-97D1-52502AD7A492}"/>
    <cellStyle name="Note 3 2 2 2 4 2 3" xfId="12528" xr:uid="{DDB3C878-1CDD-45CB-B2BB-2F3729161396}"/>
    <cellStyle name="Note 3 2 2 2 4 3" xfId="6151" xr:uid="{00000000-0005-0000-0000-00005C210000}"/>
    <cellStyle name="Note 3 2 2 2 4 3 2" xfId="14601" xr:uid="{862ADF33-46A1-46B6-83CE-26C16A617AD7}"/>
    <cellStyle name="Note 3 2 2 2 4 4" xfId="10383" xr:uid="{BA8A1651-6F16-4F2B-AC6F-2F22102068A9}"/>
    <cellStyle name="Note 3 2 2 2 5" xfId="2258" xr:uid="{00000000-0005-0000-0000-00005D210000}"/>
    <cellStyle name="Note 3 2 2 2 5 2" xfId="4487" xr:uid="{00000000-0005-0000-0000-00005E210000}"/>
    <cellStyle name="Note 3 2 2 2 5 2 2" xfId="8709" xr:uid="{00000000-0005-0000-0000-00005F210000}"/>
    <cellStyle name="Note 3 2 2 2 5 2 2 2" xfId="17159" xr:uid="{73AF6764-E825-40A9-A6F4-DA31CBBFD492}"/>
    <cellStyle name="Note 3 2 2 2 5 2 3" xfId="12941" xr:uid="{0BE6D738-3CA5-43C2-9658-AACB8ED95693}"/>
    <cellStyle name="Note 3 2 2 2 5 3" xfId="6564" xr:uid="{00000000-0005-0000-0000-000060210000}"/>
    <cellStyle name="Note 3 2 2 2 5 3 2" xfId="15014" xr:uid="{E690C371-AF96-4073-AFE5-6FB362BD4902}"/>
    <cellStyle name="Note 3 2 2 2 5 4" xfId="10796" xr:uid="{3076226C-E8DB-48FE-96A0-0D0054B04E1A}"/>
    <cellStyle name="Note 3 2 2 2 6" xfId="2694" xr:uid="{00000000-0005-0000-0000-000061210000}"/>
    <cellStyle name="Note 3 2 2 2 6 2" xfId="6977" xr:uid="{00000000-0005-0000-0000-000062210000}"/>
    <cellStyle name="Note 3 2 2 2 6 2 2" xfId="15427" xr:uid="{69599657-B761-4652-B943-D28DCF0D8B8B}"/>
    <cellStyle name="Note 3 2 2 2 6 3" xfId="11209" xr:uid="{F7EF5C84-6B7C-481D-BE05-7FDC59C3A044}"/>
    <cellStyle name="Note 3 2 2 2 7" xfId="2753" xr:uid="{00000000-0005-0000-0000-000063210000}"/>
    <cellStyle name="Note 3 2 2 2 8" xfId="2834" xr:uid="{00000000-0005-0000-0000-000064210000}"/>
    <cellStyle name="Note 3 2 2 2 8 2" xfId="7057" xr:uid="{00000000-0005-0000-0000-000065210000}"/>
    <cellStyle name="Note 3 2 2 2 8 2 2" xfId="15507" xr:uid="{FAC4E077-9C4B-46C4-8C56-0E1B63919CC4}"/>
    <cellStyle name="Note 3 2 2 2 8 3" xfId="11289" xr:uid="{FD788F29-6EE0-4DAD-8C7B-07FEA76149AB}"/>
    <cellStyle name="Note 3 2 2 2 9" xfId="4912" xr:uid="{00000000-0005-0000-0000-000066210000}"/>
    <cellStyle name="Note 3 2 2 2 9 2" xfId="13362" xr:uid="{49471E6D-331A-4784-8FE8-7F030729D364}"/>
    <cellStyle name="Note 3 2 2 3" xfId="1015" xr:uid="{00000000-0005-0000-0000-000067210000}"/>
    <cellStyle name="Note 3 2 2 3 2" xfId="3247" xr:uid="{00000000-0005-0000-0000-000068210000}"/>
    <cellStyle name="Note 3 2 2 3 2 2" xfId="7469" xr:uid="{00000000-0005-0000-0000-000069210000}"/>
    <cellStyle name="Note 3 2 2 3 2 2 2" xfId="15919" xr:uid="{B5F97F86-72B4-49AB-92BD-265987BADDD8}"/>
    <cellStyle name="Note 3 2 2 3 2 3" xfId="11701" xr:uid="{D591002D-AB60-49A6-B098-EDE5FBE4919D}"/>
    <cellStyle name="Note 3 2 2 3 3" xfId="5324" xr:uid="{00000000-0005-0000-0000-00006A210000}"/>
    <cellStyle name="Note 3 2 2 3 3 2" xfId="13774" xr:uid="{6D104317-7A41-499D-8A9D-6CB599C8F879}"/>
    <cellStyle name="Note 3 2 2 3 4" xfId="9556" xr:uid="{7971B34C-B1E8-44DA-BB1B-EBEFE4A49581}"/>
    <cellStyle name="Note 3 2 2 4" xfId="1430" xr:uid="{00000000-0005-0000-0000-00006B210000}"/>
    <cellStyle name="Note 3 2 2 4 2" xfId="3660" xr:uid="{00000000-0005-0000-0000-00006C210000}"/>
    <cellStyle name="Note 3 2 2 4 2 2" xfId="7882" xr:uid="{00000000-0005-0000-0000-00006D210000}"/>
    <cellStyle name="Note 3 2 2 4 2 2 2" xfId="16332" xr:uid="{C0110DD6-FC36-4698-82C3-D02C641524C5}"/>
    <cellStyle name="Note 3 2 2 4 2 3" xfId="12114" xr:uid="{35394E99-C389-4E43-9B02-211E59E7D8E9}"/>
    <cellStyle name="Note 3 2 2 4 3" xfId="5737" xr:uid="{00000000-0005-0000-0000-00006E210000}"/>
    <cellStyle name="Note 3 2 2 4 3 2" xfId="14187" xr:uid="{DD276AB5-B75D-454C-A29B-0049A7D7214F}"/>
    <cellStyle name="Note 3 2 2 4 4" xfId="9969" xr:uid="{EBC544E8-3170-404B-982F-99EA97316A8E}"/>
    <cellStyle name="Note 3 2 2 5" xfId="1844" xr:uid="{00000000-0005-0000-0000-00006F210000}"/>
    <cellStyle name="Note 3 2 2 5 2" xfId="4073" xr:uid="{00000000-0005-0000-0000-000070210000}"/>
    <cellStyle name="Note 3 2 2 5 2 2" xfId="8295" xr:uid="{00000000-0005-0000-0000-000071210000}"/>
    <cellStyle name="Note 3 2 2 5 2 2 2" xfId="16745" xr:uid="{546A059F-361E-431E-9E46-2DA268757BAD}"/>
    <cellStyle name="Note 3 2 2 5 2 3" xfId="12527" xr:uid="{B203CEF9-20DE-4BDF-90D6-AB01992E12DF}"/>
    <cellStyle name="Note 3 2 2 5 3" xfId="6150" xr:uid="{00000000-0005-0000-0000-000072210000}"/>
    <cellStyle name="Note 3 2 2 5 3 2" xfId="14600" xr:uid="{65B3B77E-53E6-460C-AB9C-40F8022D9E02}"/>
    <cellStyle name="Note 3 2 2 5 4" xfId="10382" xr:uid="{3BCF8004-55FB-4FD5-9225-14741D3EF9C7}"/>
    <cellStyle name="Note 3 2 2 6" xfId="2257" xr:uid="{00000000-0005-0000-0000-000073210000}"/>
    <cellStyle name="Note 3 2 2 6 2" xfId="4486" xr:uid="{00000000-0005-0000-0000-000074210000}"/>
    <cellStyle name="Note 3 2 2 6 2 2" xfId="8708" xr:uid="{00000000-0005-0000-0000-000075210000}"/>
    <cellStyle name="Note 3 2 2 6 2 2 2" xfId="17158" xr:uid="{F74414D6-2ED2-4351-89D6-AC4640B9BF68}"/>
    <cellStyle name="Note 3 2 2 6 2 3" xfId="12940" xr:uid="{10B90743-D388-45D0-9DE9-1612250A410D}"/>
    <cellStyle name="Note 3 2 2 6 3" xfId="6563" xr:uid="{00000000-0005-0000-0000-000076210000}"/>
    <cellStyle name="Note 3 2 2 6 3 2" xfId="15013" xr:uid="{ECDC9591-181F-42E4-A466-13C6880D7334}"/>
    <cellStyle name="Note 3 2 2 6 4" xfId="10795" xr:uid="{A2548B13-7C8A-4E09-B7B6-35F3E5880FBC}"/>
    <cellStyle name="Note 3 2 2 7" xfId="2693" xr:uid="{00000000-0005-0000-0000-000077210000}"/>
    <cellStyle name="Note 3 2 2 7 2" xfId="6976" xr:uid="{00000000-0005-0000-0000-000078210000}"/>
    <cellStyle name="Note 3 2 2 7 2 2" xfId="15426" xr:uid="{0D02DE95-CC21-47B4-A967-B7361BDEE2E3}"/>
    <cellStyle name="Note 3 2 2 7 3" xfId="11208" xr:uid="{B9D3C435-1F98-45F4-AFE6-B3CD36B74509}"/>
    <cellStyle name="Note 3 2 2 8" xfId="2752" xr:uid="{00000000-0005-0000-0000-000079210000}"/>
    <cellStyle name="Note 3 2 2 9" xfId="2833" xr:uid="{00000000-0005-0000-0000-00007A210000}"/>
    <cellStyle name="Note 3 2 2 9 2" xfId="7056" xr:uid="{00000000-0005-0000-0000-00007B210000}"/>
    <cellStyle name="Note 3 2 2 9 2 2" xfId="15506" xr:uid="{38D098C1-A306-40A7-A53E-5C8D9C022632}"/>
    <cellStyle name="Note 3 2 2 9 3" xfId="11288" xr:uid="{15CCD9E1-E703-431F-B9B4-5C783A9CB03B}"/>
    <cellStyle name="Note 3 2 3" xfId="557" xr:uid="{00000000-0005-0000-0000-00007C210000}"/>
    <cellStyle name="Note 3 2 3 10" xfId="9145" xr:uid="{2D776BE0-9A1D-4D1D-A8DD-6729E3F6AD58}"/>
    <cellStyle name="Note 3 2 3 2" xfId="1017" xr:uid="{00000000-0005-0000-0000-00007D210000}"/>
    <cellStyle name="Note 3 2 3 2 2" xfId="3249" xr:uid="{00000000-0005-0000-0000-00007E210000}"/>
    <cellStyle name="Note 3 2 3 2 2 2" xfId="7471" xr:uid="{00000000-0005-0000-0000-00007F210000}"/>
    <cellStyle name="Note 3 2 3 2 2 2 2" xfId="15921" xr:uid="{9055F6D2-1699-47E3-8238-BE0A5CB394A3}"/>
    <cellStyle name="Note 3 2 3 2 2 3" xfId="11703" xr:uid="{41B76033-BF82-4F4A-BB2C-5CF8CD1D0562}"/>
    <cellStyle name="Note 3 2 3 2 3" xfId="5326" xr:uid="{00000000-0005-0000-0000-000080210000}"/>
    <cellStyle name="Note 3 2 3 2 3 2" xfId="13776" xr:uid="{6C2E1E21-0655-4712-951E-D35D13E0DD97}"/>
    <cellStyle name="Note 3 2 3 2 4" xfId="9558" xr:uid="{5251CFEA-6A93-44AF-AE65-3A5C9BE0AEC2}"/>
    <cellStyle name="Note 3 2 3 3" xfId="1432" xr:uid="{00000000-0005-0000-0000-000081210000}"/>
    <cellStyle name="Note 3 2 3 3 2" xfId="3662" xr:uid="{00000000-0005-0000-0000-000082210000}"/>
    <cellStyle name="Note 3 2 3 3 2 2" xfId="7884" xr:uid="{00000000-0005-0000-0000-000083210000}"/>
    <cellStyle name="Note 3 2 3 3 2 2 2" xfId="16334" xr:uid="{479E33AC-FB5F-4E0B-95B3-743FB382CC9F}"/>
    <cellStyle name="Note 3 2 3 3 2 3" xfId="12116" xr:uid="{C1CD2660-B124-4C77-B349-89159A87F011}"/>
    <cellStyle name="Note 3 2 3 3 3" xfId="5739" xr:uid="{00000000-0005-0000-0000-000084210000}"/>
    <cellStyle name="Note 3 2 3 3 3 2" xfId="14189" xr:uid="{B071876C-8E93-437B-9C64-FDE2C0403318}"/>
    <cellStyle name="Note 3 2 3 3 4" xfId="9971" xr:uid="{8E6EA451-7E8D-41DA-A29B-DF4366C9BF2A}"/>
    <cellStyle name="Note 3 2 3 4" xfId="1846" xr:uid="{00000000-0005-0000-0000-000085210000}"/>
    <cellStyle name="Note 3 2 3 4 2" xfId="4075" xr:uid="{00000000-0005-0000-0000-000086210000}"/>
    <cellStyle name="Note 3 2 3 4 2 2" xfId="8297" xr:uid="{00000000-0005-0000-0000-000087210000}"/>
    <cellStyle name="Note 3 2 3 4 2 2 2" xfId="16747" xr:uid="{7DD4B1F4-1588-4417-8E0A-5FBE1CBE5BA3}"/>
    <cellStyle name="Note 3 2 3 4 2 3" xfId="12529" xr:uid="{DAED9AF8-7242-4A4E-B19D-D37590CD8B7F}"/>
    <cellStyle name="Note 3 2 3 4 3" xfId="6152" xr:uid="{00000000-0005-0000-0000-000088210000}"/>
    <cellStyle name="Note 3 2 3 4 3 2" xfId="14602" xr:uid="{DD5C33DB-92D0-4549-8700-816CA32FBA9A}"/>
    <cellStyle name="Note 3 2 3 4 4" xfId="10384" xr:uid="{F01B7610-EDEC-4D1B-98CE-D05FE1EF61EC}"/>
    <cellStyle name="Note 3 2 3 5" xfId="2259" xr:uid="{00000000-0005-0000-0000-000089210000}"/>
    <cellStyle name="Note 3 2 3 5 2" xfId="4488" xr:uid="{00000000-0005-0000-0000-00008A210000}"/>
    <cellStyle name="Note 3 2 3 5 2 2" xfId="8710" xr:uid="{00000000-0005-0000-0000-00008B210000}"/>
    <cellStyle name="Note 3 2 3 5 2 2 2" xfId="17160" xr:uid="{696E826D-DBD6-433B-8D5D-74F65A9F5F07}"/>
    <cellStyle name="Note 3 2 3 5 2 3" xfId="12942" xr:uid="{EA13FFF4-8B19-41F4-A382-C01CC6B005FD}"/>
    <cellStyle name="Note 3 2 3 5 3" xfId="6565" xr:uid="{00000000-0005-0000-0000-00008C210000}"/>
    <cellStyle name="Note 3 2 3 5 3 2" xfId="15015" xr:uid="{244BF523-8E05-43D7-B6E6-B0BB8775E6FE}"/>
    <cellStyle name="Note 3 2 3 5 4" xfId="10797" xr:uid="{3B09D0F2-996D-4524-9B5A-3BFBA928B85F}"/>
    <cellStyle name="Note 3 2 3 6" xfId="2695" xr:uid="{00000000-0005-0000-0000-00008D210000}"/>
    <cellStyle name="Note 3 2 3 6 2" xfId="6978" xr:uid="{00000000-0005-0000-0000-00008E210000}"/>
    <cellStyle name="Note 3 2 3 6 2 2" xfId="15428" xr:uid="{0764388C-C613-406F-93D2-9F1DE2799F1B}"/>
    <cellStyle name="Note 3 2 3 6 3" xfId="11210" xr:uid="{A42976BD-824D-4FCB-BA98-765AB0D7473E}"/>
    <cellStyle name="Note 3 2 3 7" xfId="2754" xr:uid="{00000000-0005-0000-0000-00008F210000}"/>
    <cellStyle name="Note 3 2 3 8" xfId="2835" xr:uid="{00000000-0005-0000-0000-000090210000}"/>
    <cellStyle name="Note 3 2 3 8 2" xfId="7058" xr:uid="{00000000-0005-0000-0000-000091210000}"/>
    <cellStyle name="Note 3 2 3 8 2 2" xfId="15508" xr:uid="{7B9871DB-C28C-48C2-AC1F-899CF9A13681}"/>
    <cellStyle name="Note 3 2 3 8 3" xfId="11290" xr:uid="{C9C2A2D2-9EF8-4D81-9B1D-B61755877DDF}"/>
    <cellStyle name="Note 3 2 3 9" xfId="4913" xr:uid="{00000000-0005-0000-0000-000092210000}"/>
    <cellStyle name="Note 3 2 3 9 2" xfId="13363" xr:uid="{7C6FFADC-6659-49AB-B68E-24725E26030A}"/>
    <cellStyle name="Note 3 2 4" xfId="1014" xr:uid="{00000000-0005-0000-0000-000093210000}"/>
    <cellStyle name="Note 3 2 4 2" xfId="3246" xr:uid="{00000000-0005-0000-0000-000094210000}"/>
    <cellStyle name="Note 3 2 4 2 2" xfId="7468" xr:uid="{00000000-0005-0000-0000-000095210000}"/>
    <cellStyle name="Note 3 2 4 2 2 2" xfId="15918" xr:uid="{C68C9B78-0E3F-4601-84E0-EBD00C5C00F1}"/>
    <cellStyle name="Note 3 2 4 2 3" xfId="11700" xr:uid="{B2E301F3-FB78-4680-B48B-E97BF043EBF9}"/>
    <cellStyle name="Note 3 2 4 3" xfId="5323" xr:uid="{00000000-0005-0000-0000-000096210000}"/>
    <cellStyle name="Note 3 2 4 3 2" xfId="13773" xr:uid="{0DB40403-A8C7-41A1-AAAB-8CF78920E667}"/>
    <cellStyle name="Note 3 2 4 4" xfId="9555" xr:uid="{FA63FF99-36A0-452E-A729-EE423695E7A7}"/>
    <cellStyle name="Note 3 2 5" xfId="1429" xr:uid="{00000000-0005-0000-0000-000097210000}"/>
    <cellStyle name="Note 3 2 5 2" xfId="3659" xr:uid="{00000000-0005-0000-0000-000098210000}"/>
    <cellStyle name="Note 3 2 5 2 2" xfId="7881" xr:uid="{00000000-0005-0000-0000-000099210000}"/>
    <cellStyle name="Note 3 2 5 2 2 2" xfId="16331" xr:uid="{A7814796-F4AA-4768-8DD7-F188B186DF21}"/>
    <cellStyle name="Note 3 2 5 2 3" xfId="12113" xr:uid="{78DFE44A-F303-4505-AC72-8BD7156265D4}"/>
    <cellStyle name="Note 3 2 5 3" xfId="5736" xr:uid="{00000000-0005-0000-0000-00009A210000}"/>
    <cellStyle name="Note 3 2 5 3 2" xfId="14186" xr:uid="{E3122780-4BFB-46D1-8325-B49F951452E5}"/>
    <cellStyle name="Note 3 2 5 4" xfId="9968" xr:uid="{3947A1F3-8774-42D0-A02D-BCF11305FBBB}"/>
    <cellStyle name="Note 3 2 6" xfId="1843" xr:uid="{00000000-0005-0000-0000-00009B210000}"/>
    <cellStyle name="Note 3 2 6 2" xfId="4072" xr:uid="{00000000-0005-0000-0000-00009C210000}"/>
    <cellStyle name="Note 3 2 6 2 2" xfId="8294" xr:uid="{00000000-0005-0000-0000-00009D210000}"/>
    <cellStyle name="Note 3 2 6 2 2 2" xfId="16744" xr:uid="{9A2451B3-0261-476C-81F3-797C0715CDB5}"/>
    <cellStyle name="Note 3 2 6 2 3" xfId="12526" xr:uid="{29FB0361-AAE2-43CD-8984-61CC99A61C42}"/>
    <cellStyle name="Note 3 2 6 3" xfId="6149" xr:uid="{00000000-0005-0000-0000-00009E210000}"/>
    <cellStyle name="Note 3 2 6 3 2" xfId="14599" xr:uid="{D2BEDD8C-25E4-47B2-B41C-7481650C61D3}"/>
    <cellStyle name="Note 3 2 6 4" xfId="10381" xr:uid="{F2584CD5-73FC-4BA8-A133-B43DE7018D57}"/>
    <cellStyle name="Note 3 2 7" xfId="2256" xr:uid="{00000000-0005-0000-0000-00009F210000}"/>
    <cellStyle name="Note 3 2 7 2" xfId="4485" xr:uid="{00000000-0005-0000-0000-0000A0210000}"/>
    <cellStyle name="Note 3 2 7 2 2" xfId="8707" xr:uid="{00000000-0005-0000-0000-0000A1210000}"/>
    <cellStyle name="Note 3 2 7 2 2 2" xfId="17157" xr:uid="{E9405B40-B50A-433E-B988-1EBEB3FF1B87}"/>
    <cellStyle name="Note 3 2 7 2 3" xfId="12939" xr:uid="{1853CBEA-A45E-4491-BEB8-42D5E2A87A3F}"/>
    <cellStyle name="Note 3 2 7 3" xfId="6562" xr:uid="{00000000-0005-0000-0000-0000A2210000}"/>
    <cellStyle name="Note 3 2 7 3 2" xfId="15012" xr:uid="{03256616-FE36-4658-831C-F044EB5B06BB}"/>
    <cellStyle name="Note 3 2 7 4" xfId="10794" xr:uid="{DBD63C52-DE72-478B-935A-27D7D8620105}"/>
    <cellStyle name="Note 3 2 8" xfId="2692" xr:uid="{00000000-0005-0000-0000-0000A3210000}"/>
    <cellStyle name="Note 3 2 8 2" xfId="6975" xr:uid="{00000000-0005-0000-0000-0000A4210000}"/>
    <cellStyle name="Note 3 2 8 2 2" xfId="15425" xr:uid="{8186A4A5-9103-4C1F-B6B5-6F750121EC7B}"/>
    <cellStyle name="Note 3 2 8 3" xfId="11207" xr:uid="{D16446BD-4D86-4546-9E68-624B02FC74B5}"/>
    <cellStyle name="Note 3 2 9" xfId="2751" xr:uid="{00000000-0005-0000-0000-0000A5210000}"/>
    <cellStyle name="Note 3 3" xfId="558" xr:uid="{00000000-0005-0000-0000-0000A6210000}"/>
    <cellStyle name="Note 3 3 10" xfId="4914" xr:uid="{00000000-0005-0000-0000-0000A7210000}"/>
    <cellStyle name="Note 3 3 10 2" xfId="13364" xr:uid="{371FA0D0-06FE-48BE-9D39-67E221B07701}"/>
    <cellStyle name="Note 3 3 11" xfId="9146" xr:uid="{5191D164-06E9-4518-BFCE-D41712EE2E80}"/>
    <cellStyle name="Note 3 3 2" xfId="559" xr:uid="{00000000-0005-0000-0000-0000A8210000}"/>
    <cellStyle name="Note 3 3 2 10" xfId="9147" xr:uid="{A14F0F76-853A-42E3-9A84-D41E0F8FBAD3}"/>
    <cellStyle name="Note 3 3 2 2" xfId="1019" xr:uid="{00000000-0005-0000-0000-0000A9210000}"/>
    <cellStyle name="Note 3 3 2 2 2" xfId="3251" xr:uid="{00000000-0005-0000-0000-0000AA210000}"/>
    <cellStyle name="Note 3 3 2 2 2 2" xfId="7473" xr:uid="{00000000-0005-0000-0000-0000AB210000}"/>
    <cellStyle name="Note 3 3 2 2 2 2 2" xfId="15923" xr:uid="{91D14FB0-18E1-4D9C-91F5-B80577FBC57D}"/>
    <cellStyle name="Note 3 3 2 2 2 3" xfId="11705" xr:uid="{E2FE8564-BA17-4663-8CD8-D3DCFDC23BBA}"/>
    <cellStyle name="Note 3 3 2 2 3" xfId="5328" xr:uid="{00000000-0005-0000-0000-0000AC210000}"/>
    <cellStyle name="Note 3 3 2 2 3 2" xfId="13778" xr:uid="{E26F59AB-F89A-49BE-B9DB-CB1F74D0DD60}"/>
    <cellStyle name="Note 3 3 2 2 4" xfId="9560" xr:uid="{43AF2963-8C43-44E6-AA5E-E144C5A2A5F2}"/>
    <cellStyle name="Note 3 3 2 3" xfId="1434" xr:uid="{00000000-0005-0000-0000-0000AD210000}"/>
    <cellStyle name="Note 3 3 2 3 2" xfId="3664" xr:uid="{00000000-0005-0000-0000-0000AE210000}"/>
    <cellStyle name="Note 3 3 2 3 2 2" xfId="7886" xr:uid="{00000000-0005-0000-0000-0000AF210000}"/>
    <cellStyle name="Note 3 3 2 3 2 2 2" xfId="16336" xr:uid="{1529C6C5-D5A4-44A3-B521-F76C572D854C}"/>
    <cellStyle name="Note 3 3 2 3 2 3" xfId="12118" xr:uid="{6B9750AE-D4E9-4E4C-83CD-933C9BDA99AD}"/>
    <cellStyle name="Note 3 3 2 3 3" xfId="5741" xr:uid="{00000000-0005-0000-0000-0000B0210000}"/>
    <cellStyle name="Note 3 3 2 3 3 2" xfId="14191" xr:uid="{83B11654-89DB-40BD-8186-932A36230951}"/>
    <cellStyle name="Note 3 3 2 3 4" xfId="9973" xr:uid="{0482706B-FE52-4BAB-880D-037330B5599A}"/>
    <cellStyle name="Note 3 3 2 4" xfId="1848" xr:uid="{00000000-0005-0000-0000-0000B1210000}"/>
    <cellStyle name="Note 3 3 2 4 2" xfId="4077" xr:uid="{00000000-0005-0000-0000-0000B2210000}"/>
    <cellStyle name="Note 3 3 2 4 2 2" xfId="8299" xr:uid="{00000000-0005-0000-0000-0000B3210000}"/>
    <cellStyle name="Note 3 3 2 4 2 2 2" xfId="16749" xr:uid="{EE7FEFAC-A0FC-41FC-8836-F9054FAD675A}"/>
    <cellStyle name="Note 3 3 2 4 2 3" xfId="12531" xr:uid="{B3A6AE67-895B-4030-9E99-101D420198EA}"/>
    <cellStyle name="Note 3 3 2 4 3" xfId="6154" xr:uid="{00000000-0005-0000-0000-0000B4210000}"/>
    <cellStyle name="Note 3 3 2 4 3 2" xfId="14604" xr:uid="{65628B73-F187-4BE8-A393-3512D808F2A9}"/>
    <cellStyle name="Note 3 3 2 4 4" xfId="10386" xr:uid="{ECB26255-3BAF-4C9B-8D47-A2720D41E04E}"/>
    <cellStyle name="Note 3 3 2 5" xfId="2261" xr:uid="{00000000-0005-0000-0000-0000B5210000}"/>
    <cellStyle name="Note 3 3 2 5 2" xfId="4490" xr:uid="{00000000-0005-0000-0000-0000B6210000}"/>
    <cellStyle name="Note 3 3 2 5 2 2" xfId="8712" xr:uid="{00000000-0005-0000-0000-0000B7210000}"/>
    <cellStyle name="Note 3 3 2 5 2 2 2" xfId="17162" xr:uid="{C5B929B9-6803-4E66-BDD3-0EC1759A7C2C}"/>
    <cellStyle name="Note 3 3 2 5 2 3" xfId="12944" xr:uid="{E7A0F9A1-717D-4A07-8042-7FA24EAAF477}"/>
    <cellStyle name="Note 3 3 2 5 3" xfId="6567" xr:uid="{00000000-0005-0000-0000-0000B8210000}"/>
    <cellStyle name="Note 3 3 2 5 3 2" xfId="15017" xr:uid="{C62CA358-41E6-4E0C-9959-C9E47BE4160A}"/>
    <cellStyle name="Note 3 3 2 5 4" xfId="10799" xr:uid="{1E94A69A-A35E-4D3B-A4A9-6F7C0991205D}"/>
    <cellStyle name="Note 3 3 2 6" xfId="2697" xr:uid="{00000000-0005-0000-0000-0000B9210000}"/>
    <cellStyle name="Note 3 3 2 6 2" xfId="6980" xr:uid="{00000000-0005-0000-0000-0000BA210000}"/>
    <cellStyle name="Note 3 3 2 6 2 2" xfId="15430" xr:uid="{254C3BC7-00A7-4895-8137-C2DC0BB0691C}"/>
    <cellStyle name="Note 3 3 2 6 3" xfId="11212" xr:uid="{EE0EE497-2275-46C7-8985-B7501CC60FFF}"/>
    <cellStyle name="Note 3 3 2 7" xfId="2756" xr:uid="{00000000-0005-0000-0000-0000BB210000}"/>
    <cellStyle name="Note 3 3 2 8" xfId="2837" xr:uid="{00000000-0005-0000-0000-0000BC210000}"/>
    <cellStyle name="Note 3 3 2 8 2" xfId="7060" xr:uid="{00000000-0005-0000-0000-0000BD210000}"/>
    <cellStyle name="Note 3 3 2 8 2 2" xfId="15510" xr:uid="{5256810B-5749-4B07-88F5-62764184A1C2}"/>
    <cellStyle name="Note 3 3 2 8 3" xfId="11292" xr:uid="{5AFA036B-8D26-4E72-A5E0-B90455B4DC9B}"/>
    <cellStyle name="Note 3 3 2 9" xfId="4915" xr:uid="{00000000-0005-0000-0000-0000BE210000}"/>
    <cellStyle name="Note 3 3 2 9 2" xfId="13365" xr:uid="{4177C51F-BD60-4E4F-AA54-08F68017B55E}"/>
    <cellStyle name="Note 3 3 3" xfId="1018" xr:uid="{00000000-0005-0000-0000-0000BF210000}"/>
    <cellStyle name="Note 3 3 3 2" xfId="3250" xr:uid="{00000000-0005-0000-0000-0000C0210000}"/>
    <cellStyle name="Note 3 3 3 2 2" xfId="7472" xr:uid="{00000000-0005-0000-0000-0000C1210000}"/>
    <cellStyle name="Note 3 3 3 2 2 2" xfId="15922" xr:uid="{69053A28-CEF2-435C-A69B-C64108479694}"/>
    <cellStyle name="Note 3 3 3 2 3" xfId="11704" xr:uid="{1BCA484B-DD37-4539-9F8B-E2FBDBF30505}"/>
    <cellStyle name="Note 3 3 3 3" xfId="5327" xr:uid="{00000000-0005-0000-0000-0000C2210000}"/>
    <cellStyle name="Note 3 3 3 3 2" xfId="13777" xr:uid="{45D94B42-433D-4FAA-AFC3-6E46EC8BE97E}"/>
    <cellStyle name="Note 3 3 3 4" xfId="9559" xr:uid="{5601DEC3-1912-4ECC-8E5F-2ED5DEDBA604}"/>
    <cellStyle name="Note 3 3 4" xfId="1433" xr:uid="{00000000-0005-0000-0000-0000C3210000}"/>
    <cellStyle name="Note 3 3 4 2" xfId="3663" xr:uid="{00000000-0005-0000-0000-0000C4210000}"/>
    <cellStyle name="Note 3 3 4 2 2" xfId="7885" xr:uid="{00000000-0005-0000-0000-0000C5210000}"/>
    <cellStyle name="Note 3 3 4 2 2 2" xfId="16335" xr:uid="{39DCFDA5-A032-4789-B521-2DED6F84A2CD}"/>
    <cellStyle name="Note 3 3 4 2 3" xfId="12117" xr:uid="{1947C934-B969-4B12-83A1-1EC54732FFD7}"/>
    <cellStyle name="Note 3 3 4 3" xfId="5740" xr:uid="{00000000-0005-0000-0000-0000C6210000}"/>
    <cellStyle name="Note 3 3 4 3 2" xfId="14190" xr:uid="{EAFEFC97-5E05-4685-A26D-90D96EDF2495}"/>
    <cellStyle name="Note 3 3 4 4" xfId="9972" xr:uid="{9063D9E0-B265-43BC-9C2F-079D7D1348B1}"/>
    <cellStyle name="Note 3 3 5" xfId="1847" xr:uid="{00000000-0005-0000-0000-0000C7210000}"/>
    <cellStyle name="Note 3 3 5 2" xfId="4076" xr:uid="{00000000-0005-0000-0000-0000C8210000}"/>
    <cellStyle name="Note 3 3 5 2 2" xfId="8298" xr:uid="{00000000-0005-0000-0000-0000C9210000}"/>
    <cellStyle name="Note 3 3 5 2 2 2" xfId="16748" xr:uid="{C99AD29A-7EA6-4AA5-A082-59EC78BC9BC9}"/>
    <cellStyle name="Note 3 3 5 2 3" xfId="12530" xr:uid="{DDD2327D-3C0D-49C6-847E-36D20145A281}"/>
    <cellStyle name="Note 3 3 5 3" xfId="6153" xr:uid="{00000000-0005-0000-0000-0000CA210000}"/>
    <cellStyle name="Note 3 3 5 3 2" xfId="14603" xr:uid="{C44D716C-E8CD-40ED-9E3F-DC68097D0112}"/>
    <cellStyle name="Note 3 3 5 4" xfId="10385" xr:uid="{03416648-59AE-4744-8DF4-F98409499459}"/>
    <cellStyle name="Note 3 3 6" xfId="2260" xr:uid="{00000000-0005-0000-0000-0000CB210000}"/>
    <cellStyle name="Note 3 3 6 2" xfId="4489" xr:uid="{00000000-0005-0000-0000-0000CC210000}"/>
    <cellStyle name="Note 3 3 6 2 2" xfId="8711" xr:uid="{00000000-0005-0000-0000-0000CD210000}"/>
    <cellStyle name="Note 3 3 6 2 2 2" xfId="17161" xr:uid="{B3F7E03E-81C6-4279-9098-C3E2FFF35608}"/>
    <cellStyle name="Note 3 3 6 2 3" xfId="12943" xr:uid="{593DFE35-93D3-463C-A01C-A32C6A6535B9}"/>
    <cellStyle name="Note 3 3 6 3" xfId="6566" xr:uid="{00000000-0005-0000-0000-0000CE210000}"/>
    <cellStyle name="Note 3 3 6 3 2" xfId="15016" xr:uid="{7EF35F72-C9A9-46E0-AD4E-08BADC9AAA68}"/>
    <cellStyle name="Note 3 3 6 4" xfId="10798" xr:uid="{0682EF9F-4EA8-42B7-90B6-D211D347E5EB}"/>
    <cellStyle name="Note 3 3 7" xfId="2696" xr:uid="{00000000-0005-0000-0000-0000CF210000}"/>
    <cellStyle name="Note 3 3 7 2" xfId="6979" xr:uid="{00000000-0005-0000-0000-0000D0210000}"/>
    <cellStyle name="Note 3 3 7 2 2" xfId="15429" xr:uid="{D48FD01E-B399-46E3-A947-556F23318980}"/>
    <cellStyle name="Note 3 3 7 3" xfId="11211" xr:uid="{1199204D-1CDA-45C7-96D1-020A0C7B9910}"/>
    <cellStyle name="Note 3 3 8" xfId="2755" xr:uid="{00000000-0005-0000-0000-0000D1210000}"/>
    <cellStyle name="Note 3 3 9" xfId="2836" xr:uid="{00000000-0005-0000-0000-0000D2210000}"/>
    <cellStyle name="Note 3 3 9 2" xfId="7059" xr:uid="{00000000-0005-0000-0000-0000D3210000}"/>
    <cellStyle name="Note 3 3 9 2 2" xfId="15509" xr:uid="{BE557BA6-2852-42B3-9130-D8250B3E61A3}"/>
    <cellStyle name="Note 3 3 9 3" xfId="11291" xr:uid="{9D0884A7-AC97-41BD-924E-0E02B0D3CD17}"/>
    <cellStyle name="Note 3 4" xfId="560" xr:uid="{00000000-0005-0000-0000-0000D4210000}"/>
    <cellStyle name="Note 3 4 10" xfId="9148" xr:uid="{9F53F13E-2DB7-4172-9D6E-D42638FE1549}"/>
    <cellStyle name="Note 3 4 2" xfId="1020" xr:uid="{00000000-0005-0000-0000-0000D5210000}"/>
    <cellStyle name="Note 3 4 2 2" xfId="3252" xr:uid="{00000000-0005-0000-0000-0000D6210000}"/>
    <cellStyle name="Note 3 4 2 2 2" xfId="7474" xr:uid="{00000000-0005-0000-0000-0000D7210000}"/>
    <cellStyle name="Note 3 4 2 2 2 2" xfId="15924" xr:uid="{7BB9B59B-3CA9-4333-992E-2F9E92E6E0C2}"/>
    <cellStyle name="Note 3 4 2 2 3" xfId="11706" xr:uid="{08344D1D-766C-4706-8EC6-2075EAF1CF41}"/>
    <cellStyle name="Note 3 4 2 3" xfId="5329" xr:uid="{00000000-0005-0000-0000-0000D8210000}"/>
    <cellStyle name="Note 3 4 2 3 2" xfId="13779" xr:uid="{62F2BBC3-A24E-4490-AE9D-A97DD23E7459}"/>
    <cellStyle name="Note 3 4 2 4" xfId="9561" xr:uid="{AADA0F9A-5DDF-4946-A497-BD914532B393}"/>
    <cellStyle name="Note 3 4 3" xfId="1435" xr:uid="{00000000-0005-0000-0000-0000D9210000}"/>
    <cellStyle name="Note 3 4 3 2" xfId="3665" xr:uid="{00000000-0005-0000-0000-0000DA210000}"/>
    <cellStyle name="Note 3 4 3 2 2" xfId="7887" xr:uid="{00000000-0005-0000-0000-0000DB210000}"/>
    <cellStyle name="Note 3 4 3 2 2 2" xfId="16337" xr:uid="{3420FF16-73E2-4065-999A-3456879824BD}"/>
    <cellStyle name="Note 3 4 3 2 3" xfId="12119" xr:uid="{3565D8DD-714D-40A4-AC99-26FF60F20970}"/>
    <cellStyle name="Note 3 4 3 3" xfId="5742" xr:uid="{00000000-0005-0000-0000-0000DC210000}"/>
    <cellStyle name="Note 3 4 3 3 2" xfId="14192" xr:uid="{4E7F8790-96ED-42EE-895C-F508FE93F992}"/>
    <cellStyle name="Note 3 4 3 4" xfId="9974" xr:uid="{8A4D4E89-D79E-4FFF-ADF8-37330482ED2D}"/>
    <cellStyle name="Note 3 4 4" xfId="1849" xr:uid="{00000000-0005-0000-0000-0000DD210000}"/>
    <cellStyle name="Note 3 4 4 2" xfId="4078" xr:uid="{00000000-0005-0000-0000-0000DE210000}"/>
    <cellStyle name="Note 3 4 4 2 2" xfId="8300" xr:uid="{00000000-0005-0000-0000-0000DF210000}"/>
    <cellStyle name="Note 3 4 4 2 2 2" xfId="16750" xr:uid="{C518D907-B5DA-4487-94EB-FE38886134B6}"/>
    <cellStyle name="Note 3 4 4 2 3" xfId="12532" xr:uid="{8B5F4CD6-F889-4480-BC3B-D9A029F0AA1F}"/>
    <cellStyle name="Note 3 4 4 3" xfId="6155" xr:uid="{00000000-0005-0000-0000-0000E0210000}"/>
    <cellStyle name="Note 3 4 4 3 2" xfId="14605" xr:uid="{00FE0CB2-D34E-4108-9013-A009704F3ADC}"/>
    <cellStyle name="Note 3 4 4 4" xfId="10387" xr:uid="{B5903270-004C-479C-AA12-0E30655BC6C1}"/>
    <cellStyle name="Note 3 4 5" xfId="2262" xr:uid="{00000000-0005-0000-0000-0000E1210000}"/>
    <cellStyle name="Note 3 4 5 2" xfId="4491" xr:uid="{00000000-0005-0000-0000-0000E2210000}"/>
    <cellStyle name="Note 3 4 5 2 2" xfId="8713" xr:uid="{00000000-0005-0000-0000-0000E3210000}"/>
    <cellStyle name="Note 3 4 5 2 2 2" xfId="17163" xr:uid="{43F6CA45-8D33-41E0-8009-140C157E296B}"/>
    <cellStyle name="Note 3 4 5 2 3" xfId="12945" xr:uid="{DAD994B6-1396-4C91-B8CE-EFC94E30177E}"/>
    <cellStyle name="Note 3 4 5 3" xfId="6568" xr:uid="{00000000-0005-0000-0000-0000E4210000}"/>
    <cellStyle name="Note 3 4 5 3 2" xfId="15018" xr:uid="{6E43B681-769E-48E2-BE97-E5C97CE73148}"/>
    <cellStyle name="Note 3 4 5 4" xfId="10800" xr:uid="{B5443AD4-28EA-43ED-82C3-779F2701D09E}"/>
    <cellStyle name="Note 3 4 6" xfId="2698" xr:uid="{00000000-0005-0000-0000-0000E5210000}"/>
    <cellStyle name="Note 3 4 6 2" xfId="6981" xr:uid="{00000000-0005-0000-0000-0000E6210000}"/>
    <cellStyle name="Note 3 4 6 2 2" xfId="15431" xr:uid="{78361650-4824-4B0F-97B8-FC779FD96A12}"/>
    <cellStyle name="Note 3 4 6 3" xfId="11213" xr:uid="{73015C99-E892-4F77-8F62-65734A29CAB3}"/>
    <cellStyle name="Note 3 4 7" xfId="2757" xr:uid="{00000000-0005-0000-0000-0000E7210000}"/>
    <cellStyle name="Note 3 4 8" xfId="2838" xr:uid="{00000000-0005-0000-0000-0000E8210000}"/>
    <cellStyle name="Note 3 4 8 2" xfId="7061" xr:uid="{00000000-0005-0000-0000-0000E9210000}"/>
    <cellStyle name="Note 3 4 8 2 2" xfId="15511" xr:uid="{DA8EFF48-0911-4543-B335-CB35EE7D8C0E}"/>
    <cellStyle name="Note 3 4 8 3" xfId="11293" xr:uid="{B26B71F3-D94D-4259-B8A8-04033D0DC371}"/>
    <cellStyle name="Note 3 4 9" xfId="4916" xr:uid="{00000000-0005-0000-0000-0000EA210000}"/>
    <cellStyle name="Note 3 4 9 2" xfId="13366" xr:uid="{487C39BF-B403-46F0-8A3D-4D0200102F4F}"/>
    <cellStyle name="Note 3 5" xfId="561" xr:uid="{00000000-0005-0000-0000-0000EB210000}"/>
    <cellStyle name="Note 3 5 10" xfId="9149" xr:uid="{0D2431DC-4F74-47FA-BA68-78C02AD6318D}"/>
    <cellStyle name="Note 3 5 2" xfId="1021" xr:uid="{00000000-0005-0000-0000-0000EC210000}"/>
    <cellStyle name="Note 3 5 2 2" xfId="3253" xr:uid="{00000000-0005-0000-0000-0000ED210000}"/>
    <cellStyle name="Note 3 5 2 2 2" xfId="7475" xr:uid="{00000000-0005-0000-0000-0000EE210000}"/>
    <cellStyle name="Note 3 5 2 2 2 2" xfId="15925" xr:uid="{1B9BF5F9-4819-4620-B6C9-B6A3D55B3671}"/>
    <cellStyle name="Note 3 5 2 2 3" xfId="11707" xr:uid="{F2D79066-B492-4C56-93F8-E63E57B85D4D}"/>
    <cellStyle name="Note 3 5 2 3" xfId="5330" xr:uid="{00000000-0005-0000-0000-0000EF210000}"/>
    <cellStyle name="Note 3 5 2 3 2" xfId="13780" xr:uid="{FCDF3ED7-FCCC-43DC-A280-EF8E7FDD364D}"/>
    <cellStyle name="Note 3 5 2 4" xfId="9562" xr:uid="{7DECCA30-E74A-435B-A3AB-68E93D8741CF}"/>
    <cellStyle name="Note 3 5 3" xfId="1436" xr:uid="{00000000-0005-0000-0000-0000F0210000}"/>
    <cellStyle name="Note 3 5 3 2" xfId="3666" xr:uid="{00000000-0005-0000-0000-0000F1210000}"/>
    <cellStyle name="Note 3 5 3 2 2" xfId="7888" xr:uid="{00000000-0005-0000-0000-0000F2210000}"/>
    <cellStyle name="Note 3 5 3 2 2 2" xfId="16338" xr:uid="{5163BE25-6573-4429-8D2A-241007B3FBCF}"/>
    <cellStyle name="Note 3 5 3 2 3" xfId="12120" xr:uid="{6219F9C6-20E9-429B-B37C-883967BB330B}"/>
    <cellStyle name="Note 3 5 3 3" xfId="5743" xr:uid="{00000000-0005-0000-0000-0000F3210000}"/>
    <cellStyle name="Note 3 5 3 3 2" xfId="14193" xr:uid="{EADFD49F-5593-4D5D-BE95-10895C459F6C}"/>
    <cellStyle name="Note 3 5 3 4" xfId="9975" xr:uid="{8137F367-5A75-4BDE-9405-C5A7BE415C1E}"/>
    <cellStyle name="Note 3 5 4" xfId="1850" xr:uid="{00000000-0005-0000-0000-0000F4210000}"/>
    <cellStyle name="Note 3 5 4 2" xfId="4079" xr:uid="{00000000-0005-0000-0000-0000F5210000}"/>
    <cellStyle name="Note 3 5 4 2 2" xfId="8301" xr:uid="{00000000-0005-0000-0000-0000F6210000}"/>
    <cellStyle name="Note 3 5 4 2 2 2" xfId="16751" xr:uid="{23446D0D-5293-4D01-A53C-0F02E21AA2BF}"/>
    <cellStyle name="Note 3 5 4 2 3" xfId="12533" xr:uid="{8E21A47B-64EA-444A-9807-FF29A39205FB}"/>
    <cellStyle name="Note 3 5 4 3" xfId="6156" xr:uid="{00000000-0005-0000-0000-0000F7210000}"/>
    <cellStyle name="Note 3 5 4 3 2" xfId="14606" xr:uid="{C2885B87-E480-4126-A344-002A2734FA68}"/>
    <cellStyle name="Note 3 5 4 4" xfId="10388" xr:uid="{93AB0406-CAF4-45AF-91F6-13005EDD9BB8}"/>
    <cellStyle name="Note 3 5 5" xfId="2263" xr:uid="{00000000-0005-0000-0000-0000F8210000}"/>
    <cellStyle name="Note 3 5 5 2" xfId="4492" xr:uid="{00000000-0005-0000-0000-0000F9210000}"/>
    <cellStyle name="Note 3 5 5 2 2" xfId="8714" xr:uid="{00000000-0005-0000-0000-0000FA210000}"/>
    <cellStyle name="Note 3 5 5 2 2 2" xfId="17164" xr:uid="{728D47B8-8D73-4C08-A4A1-E7009BE517F4}"/>
    <cellStyle name="Note 3 5 5 2 3" xfId="12946" xr:uid="{99E870F9-265D-4B17-8C84-7FE7C76CA8B4}"/>
    <cellStyle name="Note 3 5 5 3" xfId="6569" xr:uid="{00000000-0005-0000-0000-0000FB210000}"/>
    <cellStyle name="Note 3 5 5 3 2" xfId="15019" xr:uid="{5C02FBC1-C6BA-4ADC-AA0E-1326942C570D}"/>
    <cellStyle name="Note 3 5 5 4" xfId="10801" xr:uid="{645258E0-877B-4B13-88EC-950363C5C2FC}"/>
    <cellStyle name="Note 3 5 6" xfId="2699" xr:uid="{00000000-0005-0000-0000-0000FC210000}"/>
    <cellStyle name="Note 3 5 6 2" xfId="6982" xr:uid="{00000000-0005-0000-0000-0000FD210000}"/>
    <cellStyle name="Note 3 5 6 2 2" xfId="15432" xr:uid="{FC7E0514-F658-44F3-8FA9-F80B0A97CDCF}"/>
    <cellStyle name="Note 3 5 6 3" xfId="11214" xr:uid="{8612EB30-B1DD-449B-BAE8-A0CEC9B1D3F5}"/>
    <cellStyle name="Note 3 5 7" xfId="2758" xr:uid="{00000000-0005-0000-0000-0000FE210000}"/>
    <cellStyle name="Note 3 5 8" xfId="2839" xr:uid="{00000000-0005-0000-0000-0000FF210000}"/>
    <cellStyle name="Note 3 5 8 2" xfId="7062" xr:uid="{00000000-0005-0000-0000-000000220000}"/>
    <cellStyle name="Note 3 5 8 2 2" xfId="15512" xr:uid="{9E231920-3461-4537-904D-256E843CF8FB}"/>
    <cellStyle name="Note 3 5 8 3" xfId="11294" xr:uid="{488E99B3-27CA-49DE-AEF3-49F792A66BEE}"/>
    <cellStyle name="Note 3 5 9" xfId="4917" xr:uid="{00000000-0005-0000-0000-000001220000}"/>
    <cellStyle name="Note 3 5 9 2" xfId="13367" xr:uid="{4FA15B43-537E-4E95-BF6A-1CE1EB51B022}"/>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50" xr:uid="{FAC3F546-CFE3-44B1-9C44-EA5EB3FF156F}"/>
    <cellStyle name="Percent 4" xfId="4502" xr:uid="{00000000-0005-0000-0000-000007220000}"/>
    <cellStyle name="Percent 4 2" xfId="8717" xr:uid="{00000000-0005-0000-0000-000008220000}"/>
    <cellStyle name="Percent 4 2 2" xfId="17167" xr:uid="{134D035D-5253-4D37-9469-4339BFEB81F9}"/>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3" xfId="17173" xr:uid="{665BC1A2-0B50-43FA-836D-724436478D68}"/>
    <cellStyle name="Percent 4 3 3" xfId="17170" xr:uid="{C372701F-4205-485A-806D-E80487D29DD1}"/>
    <cellStyle name="Percent 4 4" xfId="12953" xr:uid="{F25F4F60-3989-4CA6-9729-C84A0B6CA26D}"/>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8" width="2.5703125" customWidth="1"/>
    <col min="39" max="16384" width="2.57031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0" t="s">
        <v>2035</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2036</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0" t="s">
        <v>2603</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3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2602</v>
      </c>
      <c r="E18" s="441"/>
      <c r="G18" s="441"/>
      <c r="H18" s="441"/>
      <c r="I18" s="441"/>
      <c r="J18" s="1273" t="s">
        <v>2601</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0" t="s">
        <v>2037</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3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0" t="s">
        <v>2038</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2517</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2142</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2045</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2046</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35" customHeight="1">
      <c r="A40" s="4"/>
      <c r="B40"/>
      <c r="C40" s="2"/>
      <c r="D40" s="4"/>
      <c r="E40" s="4" t="s">
        <v>654</v>
      </c>
      <c r="F40" s="1260" t="s">
        <v>1165</v>
      </c>
    </row>
    <row r="41" spans="1:38" s="1260" customFormat="1" ht="13.3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3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2040</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3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35"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3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1238</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1237</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1259</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1270</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3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09" zoomScale="77" workbookViewId="0">
      <selection activeCell="G142" sqref="G142"/>
    </sheetView>
  </sheetViews>
  <sheetFormatPr defaultColWidth="9.140625" defaultRowHeight="14.25"/>
  <cols>
    <col min="1" max="1" width="2.42578125" style="1044" customWidth="1"/>
    <col min="2" max="9" width="14.5703125" style="1044" customWidth="1"/>
    <col min="10" max="10" width="2.42578125" style="1044" customWidth="1"/>
    <col min="11" max="11" width="11.85546875" style="1045" customWidth="1"/>
    <col min="12" max="12" width="10.570312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71" t="s">
        <v>1586</v>
      </c>
      <c r="B1" s="2671"/>
      <c r="C1" s="2671"/>
      <c r="D1" s="2671"/>
      <c r="E1" s="2671"/>
      <c r="F1" s="2671"/>
      <c r="G1" s="2671"/>
      <c r="H1" s="2671"/>
      <c r="I1" s="2671"/>
      <c r="J1" s="2671"/>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49569104</v>
      </c>
      <c r="I3" s="1105"/>
    </row>
    <row r="4" spans="1:13" s="1051" customFormat="1" ht="20.100000000000001" customHeight="1">
      <c r="B4" s="1094"/>
      <c r="D4" s="1108"/>
      <c r="F4" s="1092" t="s">
        <v>1992</v>
      </c>
      <c r="G4" s="1091" t="s">
        <v>1991</v>
      </c>
      <c r="H4" s="1093">
        <f>I18</f>
        <v>15621074.6</v>
      </c>
      <c r="I4" s="1095"/>
      <c r="K4" s="1055"/>
    </row>
    <row r="5" spans="1:13" s="1051" customFormat="1" ht="20.100000000000001" customHeight="1" thickBot="1">
      <c r="B5" s="1096"/>
      <c r="C5" s="1097"/>
      <c r="D5" s="1109"/>
      <c r="E5" s="1098"/>
      <c r="F5" s="1109" t="s">
        <v>1942</v>
      </c>
      <c r="G5" s="1110"/>
      <c r="H5" s="1106">
        <f>IFERROR(H3/H4,0)</f>
        <v>3.1732198500607636</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4" t="s">
        <v>1940</v>
      </c>
      <c r="C8" s="2675"/>
      <c r="D8" s="2675"/>
      <c r="E8" s="2676"/>
      <c r="G8" s="2651" t="s">
        <v>1941</v>
      </c>
      <c r="H8" s="2652"/>
      <c r="I8" s="2653"/>
      <c r="K8" s="1057"/>
    </row>
    <row r="9" spans="1:13" ht="15" customHeight="1">
      <c r="A9" s="1046"/>
      <c r="B9" s="2672" t="s">
        <v>1974</v>
      </c>
      <c r="C9" s="2672"/>
      <c r="D9" s="2672"/>
      <c r="E9" s="1059">
        <f>G33</f>
        <v>9050000</v>
      </c>
      <c r="G9" s="2664" t="s">
        <v>1972</v>
      </c>
      <c r="H9" s="2664"/>
      <c r="I9" s="1060">
        <f>SUMIF(Application!M554:M565,"Loan, Tax-Exempt",Application!AM554:AM565)</f>
        <v>20570676</v>
      </c>
      <c r="K9" s="1061"/>
      <c r="M9" s="1062"/>
    </row>
    <row r="10" spans="1:13" ht="15" customHeight="1" thickBot="1">
      <c r="A10" s="1046"/>
      <c r="B10" s="2672" t="s">
        <v>1975</v>
      </c>
      <c r="C10" s="2672"/>
      <c r="D10" s="2672"/>
      <c r="E10" s="1060">
        <f>G47</f>
        <v>24574104.000000004</v>
      </c>
      <c r="G10" s="2678" t="s">
        <v>1943</v>
      </c>
      <c r="H10" s="2678"/>
      <c r="I10" s="1140">
        <f>'Basis &amp; Credits'!AB78</f>
        <v>0</v>
      </c>
      <c r="M10" s="1062"/>
    </row>
    <row r="11" spans="1:13" ht="15" customHeight="1">
      <c r="A11" s="1046"/>
      <c r="B11" s="2665" t="s">
        <v>2262</v>
      </c>
      <c r="C11" s="2666"/>
      <c r="D11" s="2667"/>
      <c r="E11" s="1060">
        <f>SUM(E12,E13)</f>
        <v>560000</v>
      </c>
      <c r="G11" s="2663" t="s">
        <v>1983</v>
      </c>
      <c r="H11" s="2663"/>
      <c r="I11" s="1139">
        <f>I9+I10</f>
        <v>20570676</v>
      </c>
      <c r="M11" s="1062"/>
    </row>
    <row r="12" spans="1:13" ht="15" customHeight="1">
      <c r="A12" s="1063"/>
      <c r="B12" s="2673" t="s">
        <v>2264</v>
      </c>
      <c r="C12" s="2673"/>
      <c r="D12" s="2673"/>
      <c r="E12" s="1165">
        <f>G56</f>
        <v>0</v>
      </c>
      <c r="M12" s="1062"/>
    </row>
    <row r="13" spans="1:13" ht="15" customHeight="1">
      <c r="A13" s="1049"/>
      <c r="B13" s="2673" t="s">
        <v>2265</v>
      </c>
      <c r="C13" s="2673"/>
      <c r="D13" s="2673"/>
      <c r="E13" s="1165">
        <f>G65</f>
        <v>560000</v>
      </c>
      <c r="G13" s="2651" t="s">
        <v>2006</v>
      </c>
      <c r="H13" s="2652"/>
      <c r="I13" s="2653"/>
      <c r="M13" s="1062"/>
    </row>
    <row r="14" spans="1:13" ht="15" customHeight="1">
      <c r="A14" s="1049"/>
      <c r="B14" s="2665" t="s">
        <v>2263</v>
      </c>
      <c r="C14" s="2666"/>
      <c r="D14" s="2667"/>
      <c r="E14" s="1167">
        <f>MAX(E15,E16)+E17</f>
        <v>15385000</v>
      </c>
      <c r="G14" s="2664" t="s">
        <v>139</v>
      </c>
      <c r="H14" s="2664"/>
      <c r="I14" s="1064">
        <f>15%*(AND(G120="Yes",G122&lt;&gt;""))</f>
        <v>0.15</v>
      </c>
      <c r="M14" s="1062"/>
    </row>
    <row r="15" spans="1:13" ht="15" customHeight="1">
      <c r="A15" s="1049"/>
      <c r="B15" s="2648" t="s">
        <v>2269</v>
      </c>
      <c r="C15" s="2649"/>
      <c r="D15" s="2650"/>
      <c r="E15" s="1165">
        <f>G80</f>
        <v>0</v>
      </c>
      <c r="G15" s="1137" t="s">
        <v>1984</v>
      </c>
      <c r="H15" s="1137"/>
      <c r="I15" s="1064">
        <f>IF(Application!AJ1032&gt;0,10%,IF(Application!AJ1036&gt;0,5%,0))</f>
        <v>0</v>
      </c>
      <c r="M15" s="1062"/>
    </row>
    <row r="16" spans="1:13" ht="15" customHeight="1">
      <c r="A16" s="1049"/>
      <c r="B16" s="2648" t="s">
        <v>2268</v>
      </c>
      <c r="C16" s="2649"/>
      <c r="D16" s="2650"/>
      <c r="E16" s="1165">
        <f>G90</f>
        <v>3620000</v>
      </c>
      <c r="G16" s="2664" t="s">
        <v>1985</v>
      </c>
      <c r="H16" s="2664"/>
      <c r="I16" s="1064">
        <f>G132</f>
        <v>0</v>
      </c>
    </row>
    <row r="17" spans="1:21" ht="15" customHeight="1" thickBot="1">
      <c r="A17" s="1049"/>
      <c r="B17" s="2648" t="s">
        <v>2267</v>
      </c>
      <c r="C17" s="2649"/>
      <c r="D17" s="2650"/>
      <c r="E17" s="1165">
        <f>G115</f>
        <v>11765000</v>
      </c>
      <c r="G17" s="2664" t="s">
        <v>2277</v>
      </c>
      <c r="H17" s="2664"/>
      <c r="I17" s="1064">
        <f>IF(AND(G139="Yes",OR(G136,G137)),IF(G143&gt;15%,15%,G143),0)</f>
        <v>9.0614426088865524E-2</v>
      </c>
    </row>
    <row r="18" spans="1:21" ht="15" customHeight="1">
      <c r="A18" s="1046"/>
      <c r="B18" s="2677" t="s">
        <v>1939</v>
      </c>
      <c r="C18" s="2677"/>
      <c r="D18" s="2677"/>
      <c r="E18" s="1111">
        <f>SUM(E9:E11,E14)</f>
        <v>49569104</v>
      </c>
      <c r="G18" s="1138" t="s">
        <v>1973</v>
      </c>
      <c r="H18" s="1138"/>
      <c r="I18" s="1112">
        <f>I11-((I11*I14)+(I11*I15)+(I11*I16)+(I11*I17))</f>
        <v>15621074.6</v>
      </c>
      <c r="M18" s="1065">
        <f>SUM(Cdlac[Quantity])</f>
        <v>141</v>
      </c>
      <c r="O18" s="1084" t="s">
        <v>583</v>
      </c>
      <c r="P18" s="1044">
        <f>MATCH(Application!T189,Application!CB160:CB217,0)</f>
        <v>12</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2260</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18</v>
      </c>
      <c r="N20" s="1071">
        <f>Application!AC718</f>
        <v>0.3</v>
      </c>
      <c r="O20" s="1071">
        <f>IF(Cdlac[[#This Row],[Quantity]]&gt;0,IF(Cdlac[[#This Row],[Federal]],30%,IF(AND(OR(NOT($G$38),$G$38=""),$G$43),40%,Cdlac[[#This Row],[iAMI]])),"")</f>
        <v>0.3</v>
      </c>
      <c r="P20" s="1065" cm="1">
        <f t="array" ref="P20">IF(Cdlac[[#This Row],[Quantity]]&gt;0,INDEX(TcacRents,$P$18,Cdlac[[#This Row],[Bedrooms]]+1)*Cdlac[[#This Row],[AMI]],"")</f>
        <v>528.6</v>
      </c>
      <c r="Q20" s="1164">
        <v>396</v>
      </c>
      <c r="R20" s="1065" cm="1">
        <f t="array" ref="R20">IF(Cdlac[[#This Row],[Quantity]]&gt;0,INDEX(HudFmrs,$P$18,Cdlac[[#This Row],[Bedrooms]]+1),"")</f>
        <v>1132</v>
      </c>
      <c r="S20" s="1065">
        <f>IF(Cdlac[[#This Row],[Quantity]]&gt;0,MAX(0,Cdlac[[#This Row],[Fair Market Rent]]-IF(AND($G$37,$G$38,$G$38&lt;&gt;"",NOT(Cdlac[[#This Row],[Federal]]),Cdlac[[#This Row],[Preservation Rent]]&lt;&gt;""),Cdlac[[#This Row],[Preservation Rent]],Cdlac[[#This Row],[Restricted Rent]])),"")</f>
        <v>603.4</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2</v>
      </c>
      <c r="M21" s="1065">
        <f>Application!G719</f>
        <v>5</v>
      </c>
      <c r="N21" s="1071">
        <f>Application!AC719</f>
        <v>0.3</v>
      </c>
      <c r="O21" s="1071">
        <f>IF(Cdlac[[#This Row],[Quantity]]&gt;0,IF(Cdlac[[#This Row],[Federal]],30%,IF(AND(OR(NOT($G$38),$G$38=""),$G$43),40%,Cdlac[[#This Row],[iAMI]])),"")</f>
        <v>0.3</v>
      </c>
      <c r="P21" s="1065" cm="1">
        <f t="array" ref="P21">IF(Cdlac[[#This Row],[Quantity]]&gt;0,INDEX(TcacRents,$P$18,Cdlac[[#This Row],[Bedrooms]]+1)*Cdlac[[#This Row],[AMI]],"")</f>
        <v>634.19999999999993</v>
      </c>
      <c r="Q21" s="1164">
        <v>457</v>
      </c>
      <c r="R21" s="1065" cm="1">
        <f t="array" ref="R21">IF(Cdlac[[#This Row],[Quantity]]&gt;0,INDEX(HudFmrs,$P$18,Cdlac[[#This Row],[Bedrooms]]+1),"")</f>
        <v>1478</v>
      </c>
      <c r="S21" s="1065">
        <f>IF(Cdlac[[#This Row],[Quantity]]&gt;0,MAX(0,Cdlac[[#This Row],[Fair Market Rent]]-IF(AND($G$37,$G$38,$G$38&lt;&gt;"",NOT(Cdlac[[#This Row],[Federal]]),Cdlac[[#This Row],[Preservation Rent]]&lt;&gt;""),Cdlac[[#This Row],[Preservation Rent]],Cdlac[[#This Row],[Restricted Rent]])),"")</f>
        <v>843.80000000000007</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55" t="s">
        <v>1987</v>
      </c>
      <c r="D22" s="2655" t="s">
        <v>1988</v>
      </c>
      <c r="E22" s="2655" t="s">
        <v>1989</v>
      </c>
      <c r="F22" s="2655" t="s">
        <v>2608</v>
      </c>
      <c r="G22" s="2655" t="s">
        <v>1986</v>
      </c>
      <c r="H22" s="1070"/>
      <c r="I22" s="1069"/>
      <c r="L22" s="1044">
        <f>IFERROR(MIN(4,MATCH(Application!B720,UnitSizes,0)-1),"")</f>
        <v>3</v>
      </c>
      <c r="M22" s="1065">
        <f>Application!G720</f>
        <v>5</v>
      </c>
      <c r="N22" s="1071">
        <f>Application!AC720</f>
        <v>0.3</v>
      </c>
      <c r="O22" s="1071">
        <f>IF(Cdlac[[#This Row],[Quantity]]&gt;0,IF(Cdlac[[#This Row],[Federal]],30%,IF(AND(OR(NOT($G$38),$G$38=""),$G$43),40%,Cdlac[[#This Row],[iAMI]])),"")</f>
        <v>0.3</v>
      </c>
      <c r="P22" s="1065" cm="1">
        <f t="array" ref="P22">IF(Cdlac[[#This Row],[Quantity]]&gt;0,INDEX(TcacRents,$P$18,Cdlac[[#This Row],[Bedrooms]]+1)*Cdlac[[#This Row],[AMI]],"")</f>
        <v>732.6</v>
      </c>
      <c r="Q22" s="1164">
        <v>590</v>
      </c>
      <c r="R22" s="1065" cm="1">
        <f t="array" ref="R22">IF(Cdlac[[#This Row],[Quantity]]&gt;0,INDEX(HudFmrs,$P$18,Cdlac[[#This Row],[Bedrooms]]+1),"")</f>
        <v>2071</v>
      </c>
      <c r="S22" s="1065">
        <f>IF(Cdlac[[#This Row],[Quantity]]&gt;0,MAX(0,Cdlac[[#This Row],[Fair Market Rent]]-IF(AND($G$37,$G$38,$G$38&lt;&gt;"",NOT(Cdlac[[#This Row],[Federal]]),Cdlac[[#This Row],[Preservation Rent]]&lt;&gt;""),Cdlac[[#This Row],[Preservation Rent]],Cdlac[[#This Row],[Restricted Rent]])),"")</f>
        <v>1338.4</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1</v>
      </c>
    </row>
    <row r="23" spans="1:21" ht="15" customHeight="1">
      <c r="A23" s="1049"/>
      <c r="C23" s="2656"/>
      <c r="D23" s="2656"/>
      <c r="E23" s="2656"/>
      <c r="F23" s="2656"/>
      <c r="G23" s="2656"/>
      <c r="H23" s="1070"/>
      <c r="I23" s="1069"/>
      <c r="L23" s="1044">
        <f>IFERROR(MIN(4,MATCH(Application!B721,UnitSizes,0)-1),"")</f>
        <v>1</v>
      </c>
      <c r="M23" s="1065">
        <f>Application!G721</f>
        <v>1</v>
      </c>
      <c r="N23" s="1071">
        <f>Application!AC721</f>
        <v>0.4</v>
      </c>
      <c r="O23" s="1071">
        <f>IF(Cdlac[[#This Row],[Quantity]]&gt;0,IF(Cdlac[[#This Row],[Federal]],30%,IF(AND(OR(NOT($G$38),$G$38=""),$G$43),40%,Cdlac[[#This Row],[iAMI]])),"")</f>
        <v>0.3</v>
      </c>
      <c r="P23" s="1065" cm="1">
        <f t="array" ref="P23">IF(Cdlac[[#This Row],[Quantity]]&gt;0,INDEX(TcacRents,$P$18,Cdlac[[#This Row],[Bedrooms]]+1)*Cdlac[[#This Row],[AMI]],"")</f>
        <v>528.6</v>
      </c>
      <c r="Q23" s="1164">
        <v>396</v>
      </c>
      <c r="R23" s="1065" cm="1">
        <f t="array" ref="R23">IF(Cdlac[[#This Row],[Quantity]]&gt;0,INDEX(HudFmrs,$P$18,Cdlac[[#This Row],[Bedrooms]]+1),"")</f>
        <v>1132</v>
      </c>
      <c r="S23" s="1065">
        <f>IF(Cdlac[[#This Row],[Quantity]]&gt;0,MAX(0,Cdlac[[#This Row],[Fair Market Rent]]-IF(AND($G$37,$G$38,$G$38&lt;&gt;"",NOT(Cdlac[[#This Row],[Federal]]),Cdlac[[#This Row],[Preservation Rent]]&lt;&gt;""),Cdlac[[#This Row],[Preservation Rent]],Cdlac[[#This Row],[Restricted Rent]])),"")</f>
        <v>603.4</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1</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3</v>
      </c>
      <c r="N24" s="1071">
        <f>Application!AC722</f>
        <v>0.4</v>
      </c>
      <c r="O24" s="1071">
        <f>IF(Cdlac[[#This Row],[Quantity]]&gt;0,IF(Cdlac[[#This Row],[Federal]],30%,IF(AND(OR(NOT($G$38),$G$38=""),$G$43),40%,Cdlac[[#This Row],[iAMI]])),"")</f>
        <v>0.3</v>
      </c>
      <c r="P24" s="1065" cm="1">
        <f t="array" ref="P24">IF(Cdlac[[#This Row],[Quantity]]&gt;0,INDEX(TcacRents,$P$18,Cdlac[[#This Row],[Bedrooms]]+1)*Cdlac[[#This Row],[AMI]],"")</f>
        <v>634.19999999999993</v>
      </c>
      <c r="Q24" s="1164">
        <v>457</v>
      </c>
      <c r="R24" s="1065" cm="1">
        <f t="array" ref="R24">IF(Cdlac[[#This Row],[Quantity]]&gt;0,INDEX(HudFmrs,$P$18,Cdlac[[#This Row],[Bedrooms]]+1),"")</f>
        <v>1478</v>
      </c>
      <c r="S24" s="1065">
        <f>IF(Cdlac[[#This Row],[Quantity]]&gt;0,MAX(0,Cdlac[[#This Row],[Fair Market Rent]]-IF(AND($G$37,$G$38,$G$38&lt;&gt;"",NOT(Cdlac[[#This Row],[Federal]]),Cdlac[[#This Row],[Preservation Rent]]&lt;&gt;""),Cdlac[[#This Row],[Preservation Rent]],Cdlac[[#This Row],[Restricted Rent]])),"")</f>
        <v>843.80000000000007</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40</v>
      </c>
      <c r="F25" s="1072">
        <f>E25</f>
        <v>40</v>
      </c>
      <c r="G25" s="1072">
        <f>D25*F25</f>
        <v>40</v>
      </c>
      <c r="L25" s="1044">
        <f>IFERROR(MIN(4,MATCH(Application!B723,UnitSizes,0)-1),"")</f>
        <v>3</v>
      </c>
      <c r="M25" s="1065">
        <f>Application!G723</f>
        <v>3</v>
      </c>
      <c r="N25" s="1071">
        <f>Application!AC723</f>
        <v>0.4</v>
      </c>
      <c r="O25" s="1071">
        <f>IF(Cdlac[[#This Row],[Quantity]]&gt;0,IF(Cdlac[[#This Row],[Federal]],30%,IF(AND(OR(NOT($G$38),$G$38=""),$G$43),40%,Cdlac[[#This Row],[iAMI]])),"")</f>
        <v>0.3</v>
      </c>
      <c r="P25" s="1065" cm="1">
        <f t="array" ref="P25">IF(Cdlac[[#This Row],[Quantity]]&gt;0,INDEX(TcacRents,$P$18,Cdlac[[#This Row],[Bedrooms]]+1)*Cdlac[[#This Row],[AMI]],"")</f>
        <v>732.6</v>
      </c>
      <c r="Q25" s="1164">
        <v>590</v>
      </c>
      <c r="R25" s="1065" cm="1">
        <f t="array" ref="R25">IF(Cdlac[[#This Row],[Quantity]]&gt;0,INDEX(HudFmrs,$P$18,Cdlac[[#This Row],[Bedrooms]]+1),"")</f>
        <v>2071</v>
      </c>
      <c r="S25" s="1065">
        <f>IF(Cdlac[[#This Row],[Quantity]]&gt;0,MAX(0,Cdlac[[#This Row],[Fair Market Rent]]-IF(AND($G$37,$G$38,$G$38&lt;&gt;"",NOT(Cdlac[[#This Row],[Federal]]),Cdlac[[#This Row],[Preservation Rent]]&lt;&gt;""),Cdlac[[#This Row],[Preservation Rent]],Cdlac[[#This Row],[Restricted Rent]])),"")</f>
        <v>1338.4</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54</v>
      </c>
      <c r="F26" s="1075">
        <f>SUM(E26:E28)-SUM(F27:F28)</f>
        <v>54</v>
      </c>
      <c r="G26" s="1072">
        <f>D26*F26</f>
        <v>67.5</v>
      </c>
      <c r="H26" s="1074"/>
      <c r="I26" s="1074"/>
      <c r="L26" s="1044">
        <f>IFERROR(MIN(4,MATCH(Application!B724,UnitSizes,0)-1),"")</f>
        <v>1</v>
      </c>
      <c r="M26" s="1065">
        <f>Application!G724</f>
        <v>1</v>
      </c>
      <c r="N26" s="1071">
        <f>Application!AC724</f>
        <v>0.6</v>
      </c>
      <c r="O26" s="1071">
        <f>IF(Cdlac[[#This Row],[Quantity]]&gt;0,IF(Cdlac[[#This Row],[Federal]],30%,IF(AND(OR(NOT($G$38),$G$38=""),$G$43),40%,Cdlac[[#This Row],[iAMI]])),"")</f>
        <v>0.3</v>
      </c>
      <c r="P26" s="1065" cm="1">
        <f t="array" ref="P26">IF(Cdlac[[#This Row],[Quantity]]&gt;0,INDEX(TcacRents,$P$18,Cdlac[[#This Row],[Bedrooms]]+1)*Cdlac[[#This Row],[AMI]],"")</f>
        <v>528.6</v>
      </c>
      <c r="Q26" s="1164">
        <v>396</v>
      </c>
      <c r="R26" s="1065" cm="1">
        <f t="array" ref="R26">IF(Cdlac[[#This Row],[Quantity]]&gt;0,INDEX(HudFmrs,$P$18,Cdlac[[#This Row],[Bedrooms]]+1),"")</f>
        <v>1132</v>
      </c>
      <c r="S26" s="1065">
        <f>IF(Cdlac[[#This Row],[Quantity]]&gt;0,MAX(0,Cdlac[[#This Row],[Fair Market Rent]]-IF(AND($G$37,$G$38,$G$38&lt;&gt;"",NOT(Cdlac[[#This Row],[Federal]]),Cdlac[[#This Row],[Preservation Rent]]&lt;&gt;""),Cdlac[[#This Row],[Preservation Rent]],Cdlac[[#This Row],[Restricted Rent]])),"")</f>
        <v>603.4</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1</v>
      </c>
    </row>
    <row r="27" spans="1:21" ht="15" customHeight="1">
      <c r="A27" s="1074"/>
      <c r="C27" s="1075">
        <v>3</v>
      </c>
      <c r="D27" s="1073">
        <f>1.5+0.25*0</f>
        <v>1.5</v>
      </c>
      <c r="E27" s="1072">
        <f>SUMIFS(Cdlac[Quantity],Cdlac[Bedrooms],C27)</f>
        <v>35</v>
      </c>
      <c r="F27" s="1075">
        <f>MIN(E27,ROUNDDOWN(E29*30%,0))</f>
        <v>35</v>
      </c>
      <c r="G27" s="1072">
        <f>D27*F27</f>
        <v>52.5</v>
      </c>
      <c r="H27" s="1074"/>
      <c r="I27" s="1074"/>
      <c r="L27" s="1044">
        <f>IFERROR(MIN(4,MATCH(Application!B725,UnitSizes,0)-1),"")</f>
        <v>2</v>
      </c>
      <c r="M27" s="1065">
        <f>Application!G725</f>
        <v>4</v>
      </c>
      <c r="N27" s="1071">
        <f>Application!AC725</f>
        <v>0.6</v>
      </c>
      <c r="O27" s="1071">
        <f>IF(Cdlac[[#This Row],[Quantity]]&gt;0,IF(Cdlac[[#This Row],[Federal]],30%,IF(AND(OR(NOT($G$38),$G$38=""),$G$43),40%,Cdlac[[#This Row],[iAMI]])),"")</f>
        <v>0.3</v>
      </c>
      <c r="P27" s="1065" cm="1">
        <f t="array" ref="P27">IF(Cdlac[[#This Row],[Quantity]]&gt;0,INDEX(TcacRents,$P$18,Cdlac[[#This Row],[Bedrooms]]+1)*Cdlac[[#This Row],[AMI]],"")</f>
        <v>634.19999999999993</v>
      </c>
      <c r="Q27" s="1164">
        <v>457</v>
      </c>
      <c r="R27" s="1065" cm="1">
        <f t="array" ref="R27">IF(Cdlac[[#This Row],[Quantity]]&gt;0,INDEX(HudFmrs,$P$18,Cdlac[[#This Row],[Bedrooms]]+1),"")</f>
        <v>1478</v>
      </c>
      <c r="S27" s="1065">
        <f>IF(Cdlac[[#This Row],[Quantity]]&gt;0,MAX(0,Cdlac[[#This Row],[Fair Market Rent]]-IF(AND($G$37,$G$38,$G$38&lt;&gt;"",NOT(Cdlac[[#This Row],[Federal]]),Cdlac[[#This Row],[Preservation Rent]]&lt;&gt;""),Cdlac[[#This Row],[Preservation Rent]],Cdlac[[#This Row],[Restricted Rent]])),"")</f>
        <v>843.80000000000007</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1</v>
      </c>
    </row>
    <row r="28" spans="1:21" ht="15" customHeight="1" thickBot="1">
      <c r="A28" s="1074"/>
      <c r="C28" s="1086">
        <v>4</v>
      </c>
      <c r="D28" s="1087">
        <f>1.75+0.25*0</f>
        <v>1.75</v>
      </c>
      <c r="E28" s="1088">
        <f>SUMIFS(Cdlac[Quantity],Cdlac[Bedrooms],C28)</f>
        <v>12</v>
      </c>
      <c r="F28" s="1086">
        <f>MIN(E28,ROUNDDOWN(E29*10%,0))</f>
        <v>12</v>
      </c>
      <c r="G28" s="1088">
        <f>D28*F28</f>
        <v>21</v>
      </c>
      <c r="H28" s="1074"/>
      <c r="I28" s="1074"/>
      <c r="L28" s="1044">
        <f>IFERROR(MIN(4,MATCH(Application!B726,UnitSizes,0)-1),"")</f>
        <v>3</v>
      </c>
      <c r="M28" s="1065">
        <f>Application!G726</f>
        <v>3</v>
      </c>
      <c r="N28" s="1071">
        <f>Application!AC726</f>
        <v>0.6</v>
      </c>
      <c r="O28" s="1071">
        <f>IF(Cdlac[[#This Row],[Quantity]]&gt;0,IF(Cdlac[[#This Row],[Federal]],30%,IF(AND(OR(NOT($G$38),$G$38=""),$G$43),40%,Cdlac[[#This Row],[iAMI]])),"")</f>
        <v>0.3</v>
      </c>
      <c r="P28" s="1065" cm="1">
        <f t="array" ref="P28">IF(Cdlac[[#This Row],[Quantity]]&gt;0,INDEX(TcacRents,$P$18,Cdlac[[#This Row],[Bedrooms]]+1)*Cdlac[[#This Row],[AMI]],"")</f>
        <v>732.6</v>
      </c>
      <c r="Q28" s="1164">
        <v>590</v>
      </c>
      <c r="R28" s="1065" cm="1">
        <f t="array" ref="R28">IF(Cdlac[[#This Row],[Quantity]]&gt;0,INDEX(HudFmrs,$P$18,Cdlac[[#This Row],[Bedrooms]]+1),"")</f>
        <v>2071</v>
      </c>
      <c r="S28" s="1065">
        <f>IF(Cdlac[[#This Row],[Quantity]]&gt;0,MAX(0,Cdlac[[#This Row],[Fair Market Rent]]-IF(AND($G$37,$G$38,$G$38&lt;&gt;"",NOT(Cdlac[[#This Row],[Federal]]),Cdlac[[#This Row],[Preservation Rent]]&lt;&gt;""),Cdlac[[#This Row],[Preservation Rent]],Cdlac[[#This Row],[Restricted Rent]])),"")</f>
        <v>1338.4</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1</v>
      </c>
    </row>
    <row r="29" spans="1:21" ht="15" customHeight="1">
      <c r="A29" s="1074"/>
      <c r="C29" s="2657" t="s">
        <v>1587</v>
      </c>
      <c r="D29" s="2658"/>
      <c r="E29" s="1089">
        <f>SUM(E24:E28)</f>
        <v>141</v>
      </c>
      <c r="F29" s="1089">
        <f>SUM(F24:F28)</f>
        <v>141</v>
      </c>
      <c r="G29" s="1090">
        <f>SUMPRODUCT(D24:D28,F24:F28)</f>
        <v>181</v>
      </c>
      <c r="H29" s="1074"/>
      <c r="I29" s="1074"/>
      <c r="L29" s="1044">
        <f>IFERROR(MIN(4,MATCH(Application!B727,UnitSizes,0)-1),"")</f>
        <v>1</v>
      </c>
      <c r="M29" s="1065">
        <f>Application!G727</f>
        <v>17</v>
      </c>
      <c r="N29" s="1071">
        <f>Application!AC727</f>
        <v>0.6</v>
      </c>
      <c r="O29" s="1071">
        <f>IF(Cdlac[[#This Row],[Quantity]]&gt;0,IF(Cdlac[[#This Row],[Federal]],30%,IF(AND(OR(NOT($G$38),$G$38=""),$G$43),40%,Cdlac[[#This Row],[iAMI]])),"")</f>
        <v>0.3</v>
      </c>
      <c r="P29" s="1065" cm="1">
        <f t="array" ref="P29">IF(Cdlac[[#This Row],[Quantity]]&gt;0,INDEX(TcacRents,$P$18,Cdlac[[#This Row],[Bedrooms]]+1)*Cdlac[[#This Row],[AMI]],"")</f>
        <v>528.6</v>
      </c>
      <c r="Q29" s="1164">
        <v>396</v>
      </c>
      <c r="R29" s="1065" cm="1">
        <f t="array" ref="R29">IF(Cdlac[[#This Row],[Quantity]]&gt;0,INDEX(HudFmrs,$P$18,Cdlac[[#This Row],[Bedrooms]]+1),"")</f>
        <v>1132</v>
      </c>
      <c r="S29" s="1065">
        <f>IF(Cdlac[[#This Row],[Quantity]]&gt;0,MAX(0,Cdlac[[#This Row],[Fair Market Rent]]-IF(AND($G$37,$G$38,$G$38&lt;&gt;"",NOT(Cdlac[[#This Row],[Federal]]),Cdlac[[#This Row],[Preservation Rent]]&lt;&gt;""),Cdlac[[#This Row],[Preservation Rent]],Cdlac[[#This Row],[Restricted Rent]])),"")</f>
        <v>603.4</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1</v>
      </c>
    </row>
    <row r="30" spans="1:21" ht="15" customHeight="1">
      <c r="A30" s="1074"/>
      <c r="C30" s="1074"/>
      <c r="D30" s="1074"/>
      <c r="E30" s="1074"/>
      <c r="F30" s="1074"/>
      <c r="G30" s="1074"/>
      <c r="H30" s="1074"/>
      <c r="I30" s="1074"/>
      <c r="L30" s="1044">
        <f>IFERROR(MIN(4,MATCH(Application!B728,UnitSizes,0)-1),"")</f>
        <v>2</v>
      </c>
      <c r="M30" s="1065">
        <f>Application!G728</f>
        <v>42</v>
      </c>
      <c r="N30" s="1071">
        <f>Application!AC728</f>
        <v>0.6</v>
      </c>
      <c r="O30" s="1071">
        <f>IF(Cdlac[[#This Row],[Quantity]]&gt;0,IF(Cdlac[[#This Row],[Federal]],30%,IF(AND(OR(NOT($G$38),$G$38=""),$G$43),40%,Cdlac[[#This Row],[iAMI]])),"")</f>
        <v>0.3</v>
      </c>
      <c r="P30" s="1065" cm="1">
        <f t="array" ref="P30">IF(Cdlac[[#This Row],[Quantity]]&gt;0,INDEX(TcacRents,$P$18,Cdlac[[#This Row],[Bedrooms]]+1)*Cdlac[[#This Row],[AMI]],"")</f>
        <v>634.19999999999993</v>
      </c>
      <c r="Q30" s="1164">
        <v>457</v>
      </c>
      <c r="R30" s="1065" cm="1">
        <f t="array" ref="R30">IF(Cdlac[[#This Row],[Quantity]]&gt;0,INDEX(HudFmrs,$P$18,Cdlac[[#This Row],[Bedrooms]]+1),"")</f>
        <v>1478</v>
      </c>
      <c r="S30" s="1065">
        <f>IF(Cdlac[[#This Row],[Quantity]]&gt;0,MAX(0,Cdlac[[#This Row],[Fair Market Rent]]-IF(AND($G$37,$G$38,$G$38&lt;&gt;"",NOT(Cdlac[[#This Row],[Federal]]),Cdlac[[#This Row],[Preservation Rent]]&lt;&gt;""),Cdlac[[#This Row],[Preservation Rent]],Cdlac[[#This Row],[Restricted Rent]])),"")</f>
        <v>843.80000000000007</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1</v>
      </c>
    </row>
    <row r="31" spans="1:21" ht="15" customHeight="1">
      <c r="A31" s="1074"/>
      <c r="E31" s="1117" t="s">
        <v>1986</v>
      </c>
      <c r="G31" s="1114">
        <f>G29</f>
        <v>181</v>
      </c>
      <c r="H31" s="1074"/>
      <c r="I31" s="1074"/>
      <c r="L31" s="1044">
        <f>IFERROR(MIN(4,MATCH(Application!B729,UnitSizes,0)-1),"")</f>
        <v>3</v>
      </c>
      <c r="M31" s="1065">
        <f>Application!G729</f>
        <v>24</v>
      </c>
      <c r="N31" s="1071">
        <f>Application!AC729</f>
        <v>0.6</v>
      </c>
      <c r="O31" s="1071">
        <f>IF(Cdlac[[#This Row],[Quantity]]&gt;0,IF(Cdlac[[#This Row],[Federal]],30%,IF(AND(OR(NOT($G$38),$G$38=""),$G$43),40%,Cdlac[[#This Row],[iAMI]])),"")</f>
        <v>0.3</v>
      </c>
      <c r="P31" s="1065" cm="1">
        <f t="array" ref="P31">IF(Cdlac[[#This Row],[Quantity]]&gt;0,INDEX(TcacRents,$P$18,Cdlac[[#This Row],[Bedrooms]]+1)*Cdlac[[#This Row],[AMI]],"")</f>
        <v>732.6</v>
      </c>
      <c r="Q31" s="1164">
        <v>590</v>
      </c>
      <c r="R31" s="1065" cm="1">
        <f t="array" ref="R31">IF(Cdlac[[#This Row],[Quantity]]&gt;0,INDEX(HudFmrs,$P$18,Cdlac[[#This Row],[Bedrooms]]+1),"")</f>
        <v>2071</v>
      </c>
      <c r="S31" s="1065">
        <f>IF(Cdlac[[#This Row],[Quantity]]&gt;0,MAX(0,Cdlac[[#This Row],[Fair Market Rent]]-IF(AND($G$37,$G$38,$G$38&lt;&gt;"",NOT(Cdlac[[#This Row],[Federal]]),Cdlac[[#This Row],[Preservation Rent]]&lt;&gt;""),Cdlac[[#This Row],[Preservation Rent]],Cdlac[[#This Row],[Restricted Rent]])),"")</f>
        <v>1338.4</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1</v>
      </c>
    </row>
    <row r="32" spans="1:21" ht="15" customHeight="1">
      <c r="A32" s="1074"/>
      <c r="E32" s="1117" t="s">
        <v>1945</v>
      </c>
      <c r="F32" s="1113" t="s">
        <v>1993</v>
      </c>
      <c r="G32" s="1115">
        <v>50000</v>
      </c>
      <c r="H32" s="1074"/>
      <c r="I32" s="1074"/>
      <c r="L32" s="1044">
        <f>IFERROR(MIN(4,MATCH(Application!B730,UnitSizes,0)-1),"")</f>
        <v>4</v>
      </c>
      <c r="M32" s="1065">
        <f>Application!G730</f>
        <v>12</v>
      </c>
      <c r="N32" s="1071">
        <f>Application!AC730</f>
        <v>0.6</v>
      </c>
      <c r="O32" s="1071">
        <f>IF(Cdlac[[#This Row],[Quantity]]&gt;0,IF(Cdlac[[#This Row],[Federal]],30%,IF(AND(OR(NOT($G$38),$G$38=""),$G$43),40%,Cdlac[[#This Row],[iAMI]])),"")</f>
        <v>0.3</v>
      </c>
      <c r="P32" s="1065" cm="1">
        <f t="array" ref="P32">IF(Cdlac[[#This Row],[Quantity]]&gt;0,INDEX(TcacRents,$P$18,Cdlac[[#This Row],[Bedrooms]]+1)*Cdlac[[#This Row],[AMI]],"")</f>
        <v>817.19999999999993</v>
      </c>
      <c r="Q32" s="1164">
        <v>799</v>
      </c>
      <c r="R32" s="1065" cm="1">
        <f t="array" ref="R32">IF(Cdlac[[#This Row],[Quantity]]&gt;0,INDEX(HudFmrs,$P$18,Cdlac[[#This Row],[Bedrooms]]+1),"")</f>
        <v>2482</v>
      </c>
      <c r="S32" s="1065">
        <f>IF(Cdlac[[#This Row],[Quantity]]&gt;0,MAX(0,Cdlac[[#This Row],[Fair Market Rent]]-IF(AND($G$37,$G$38,$G$38&lt;&gt;"",NOT(Cdlac[[#This Row],[Federal]]),Cdlac[[#This Row],[Preservation Rent]]&lt;&gt;""),Cdlac[[#This Row],[Preservation Rent]],Cdlac[[#This Row],[Restricted Rent]])),"")</f>
        <v>1664.8000000000002</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1</v>
      </c>
    </row>
    <row r="33" spans="1:21" ht="15" customHeight="1">
      <c r="A33" s="1074"/>
      <c r="E33" s="1118" t="s">
        <v>1979</v>
      </c>
      <c r="F33" s="1046"/>
      <c r="G33" s="1119">
        <f>G32*G31</f>
        <v>9050000</v>
      </c>
      <c r="H33" s="1074"/>
      <c r="I33" s="1074"/>
      <c r="L33" s="1044">
        <f>IFERROR(MIN(4,MATCH(Application!B731,UnitSizes,0)-1),"")</f>
        <v>1</v>
      </c>
      <c r="M33" s="1065">
        <f>Application!G731</f>
        <v>3</v>
      </c>
      <c r="N33" s="1071">
        <f>Application!AC731</f>
        <v>0.4</v>
      </c>
      <c r="O33" s="1071">
        <f>IF(Cdlac[[#This Row],[Quantity]]&gt;0,IF(Cdlac[[#This Row],[Federal]],30%,IF(AND(OR(NOT($G$38),$G$38=""),$G$43),40%,Cdlac[[#This Row],[iAMI]])),"")</f>
        <v>0.3</v>
      </c>
      <c r="P33" s="1065" cm="1">
        <f t="array" ref="P33">IF(Cdlac[[#This Row],[Quantity]]&gt;0,INDEX(TcacRents,$P$18,Cdlac[[#This Row],[Bedrooms]]+1)*Cdlac[[#This Row],[AMI]],"")</f>
        <v>528.6</v>
      </c>
      <c r="Q33" s="1164"/>
      <c r="R33" s="1065" cm="1">
        <f t="array" ref="R33">IF(Cdlac[[#This Row],[Quantity]]&gt;0,INDEX(HudFmrs,$P$18,Cdlac[[#This Row],[Bedrooms]]+1),"")</f>
        <v>1132</v>
      </c>
      <c r="S33" s="1065">
        <f>IF(Cdlac[[#This Row],[Quantity]]&gt;0,MAX(0,Cdlac[[#This Row],[Fair Market Rent]]-IF(AND($G$37,$G$38,$G$38&lt;&gt;"",NOT(Cdlac[[#This Row],[Federal]]),Cdlac[[#This Row],[Preservation Rent]]&lt;&gt;""),Cdlac[[#This Row],[Preservation Rent]],Cdlac[[#This Row],[Restricted Rent]])),"")</f>
        <v>603.4</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1</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1</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t="b">
        <v>1</v>
      </c>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0"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660"/>
      <c r="E39" s="2660"/>
      <c r="F39" s="2660"/>
      <c r="G39" s="2660"/>
      <c r="H39" s="2660"/>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0"/>
      <c r="D40" s="2660"/>
      <c r="E40" s="2660"/>
      <c r="F40" s="2660"/>
      <c r="G40" s="2660"/>
      <c r="H40" s="2660"/>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0"/>
      <c r="D41" s="2660"/>
      <c r="E41" s="2660"/>
      <c r="F41" s="2660"/>
      <c r="G41" s="2660"/>
      <c r="H41" s="2660"/>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t="e" cm="1">
        <f t="array" ref="G42">SUMPRODUCT(Cdlac[Quantity],Cdlac[iAMI],IF(Cdlac[Federal],0,1))/SUMIFS(Cdlac[Quantity],Cdlac[Federal],FALSE)</f>
        <v>#DIV/0!</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e">
        <f>G42&lt;40%</f>
        <v>#DIV/0!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136522.80000000002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24574104.000000004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70</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28</v>
      </c>
    </row>
    <row r="61" spans="2:21" ht="15" customHeight="1">
      <c r="E61" s="1117" t="s">
        <v>1995</v>
      </c>
      <c r="G61" s="1079">
        <f>ROUNDDOWN(E29*50%,0)</f>
        <v>70</v>
      </c>
    </row>
    <row r="62" spans="2:21" ht="15" customHeight="1">
      <c r="E62" s="1117"/>
      <c r="G62" s="1079"/>
    </row>
    <row r="63" spans="2:21" ht="15" customHeight="1">
      <c r="E63" s="1117" t="s">
        <v>1955</v>
      </c>
      <c r="G63" s="1114">
        <f>MIN(G60:G61)</f>
        <v>28</v>
      </c>
    </row>
    <row r="64" spans="2:21" ht="15" customHeight="1">
      <c r="E64" s="1117" t="s">
        <v>1945</v>
      </c>
      <c r="F64" s="1113" t="s">
        <v>1993</v>
      </c>
      <c r="G64" s="1124">
        <v>20000</v>
      </c>
    </row>
    <row r="65" spans="2:14" ht="15" customHeight="1">
      <c r="E65" s="1118" t="s">
        <v>1977</v>
      </c>
      <c r="F65" s="1046"/>
      <c r="G65" s="1123">
        <f>G63*G64</f>
        <v>560000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670</v>
      </c>
    </row>
    <row r="70" spans="2:14" ht="15" customHeight="1">
      <c r="C70" s="1077" t="s">
        <v>1982</v>
      </c>
      <c r="G70" s="1081" t="str">
        <f>IF(Application!D211="Large Family","Yes","No")</f>
        <v>No</v>
      </c>
    </row>
    <row r="71" spans="2:14" ht="15" customHeight="1" thickBot="1">
      <c r="C71" s="1077" t="s">
        <v>1968</v>
      </c>
      <c r="G71" s="1043" t="s">
        <v>670</v>
      </c>
    </row>
    <row r="72" spans="2:14" ht="15" customHeight="1">
      <c r="C72" s="1077" t="s">
        <v>1969</v>
      </c>
      <c r="G72" s="1044" t="str">
        <f>Application!T193</f>
        <v>Low Resource</v>
      </c>
      <c r="L72" s="2668" t="s">
        <v>1970</v>
      </c>
      <c r="M72" s="2669"/>
      <c r="N72" s="1131">
        <v>30000</v>
      </c>
    </row>
    <row r="73" spans="2:14" ht="15" customHeight="1">
      <c r="C73" s="2670" t="s">
        <v>2261</v>
      </c>
      <c r="D73" s="2670"/>
      <c r="E73" s="2670"/>
      <c r="F73" s="2670"/>
      <c r="G73" s="1043" t="s">
        <v>670</v>
      </c>
      <c r="L73" s="2679" t="s">
        <v>1938</v>
      </c>
      <c r="M73" s="2680"/>
      <c r="N73" s="1132">
        <v>20000</v>
      </c>
    </row>
    <row r="74" spans="2:14" ht="15" customHeight="1" thickBot="1">
      <c r="C74" s="2670"/>
      <c r="D74" s="2670"/>
      <c r="E74" s="2670"/>
      <c r="F74" s="2670"/>
      <c r="L74" s="2681" t="s">
        <v>1971</v>
      </c>
      <c r="M74" s="2682"/>
      <c r="N74" s="1133">
        <v>10000</v>
      </c>
    </row>
    <row r="75" spans="2:14" ht="15" customHeight="1">
      <c r="C75" s="1077"/>
    </row>
    <row r="76" spans="2:14" ht="15" customHeight="1">
      <c r="E76" s="1084" t="s">
        <v>2000</v>
      </c>
      <c r="G76" s="1079" t="b">
        <f>OR(AND(COUNTIFS(G70:G71,"Yes")&gt;=1,G69="Yes"),G73="Yes")</f>
        <v>0</v>
      </c>
    </row>
    <row r="77" spans="2:14" ht="15" customHeight="1">
      <c r="E77" s="1084"/>
      <c r="G77" s="1079"/>
    </row>
    <row r="78" spans="2:14" ht="15" customHeight="1">
      <c r="E78" s="1084" t="s">
        <v>1945</v>
      </c>
      <c r="G78" s="1078">
        <f>IFERROR(IF($G$73="Yes",30000,INDEX(N72:N74,MATCH(LEFT(G72,17),L72:L74,0))),0)</f>
        <v>0</v>
      </c>
    </row>
    <row r="79" spans="2:14" ht="15" customHeight="1">
      <c r="E79" s="1084" t="str">
        <f>E96</f>
        <v>Bedroom-Adjusted Low-Income Units</v>
      </c>
      <c r="F79" s="1113" t="s">
        <v>1993</v>
      </c>
      <c r="G79" s="1114">
        <f>G29</f>
        <v>181</v>
      </c>
    </row>
    <row r="80" spans="2:14" ht="15" customHeight="1">
      <c r="D80" s="1046"/>
      <c r="E80" s="1118" t="s">
        <v>2266</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546</v>
      </c>
    </row>
    <row r="85" spans="2:9" ht="15" customHeight="1">
      <c r="F85" s="1116"/>
    </row>
    <row r="86" spans="2:9" ht="15" customHeight="1">
      <c r="E86" s="1084" t="s">
        <v>2000</v>
      </c>
      <c r="G86" s="1079" t="b">
        <f>G84="Yes"</f>
        <v>1</v>
      </c>
    </row>
    <row r="87" spans="2:9" ht="15" customHeight="1"/>
    <row r="88" spans="2:9" ht="15" customHeight="1">
      <c r="E88" s="1084" t="str">
        <f>E96</f>
        <v>Bedroom-Adjusted Low-Income Units</v>
      </c>
      <c r="G88" s="1114">
        <f>G29</f>
        <v>181</v>
      </c>
    </row>
    <row r="89" spans="2:9" ht="15" customHeight="1">
      <c r="E89" s="1084" t="s">
        <v>1945</v>
      </c>
      <c r="F89" s="1113" t="s">
        <v>1993</v>
      </c>
      <c r="G89" s="1050">
        <v>20000</v>
      </c>
    </row>
    <row r="90" spans="2:9" ht="15" customHeight="1">
      <c r="E90" s="1118" t="s">
        <v>2270</v>
      </c>
      <c r="F90" s="1046"/>
      <c r="G90" s="1123">
        <f>G86*G89*G88</f>
        <v>3620000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6</v>
      </c>
    </row>
    <row r="95" spans="2:9" ht="15" customHeight="1">
      <c r="E95" s="1084" t="s">
        <v>1945</v>
      </c>
      <c r="F95" s="1113" t="s">
        <v>1993</v>
      </c>
      <c r="G95" s="1076">
        <v>4000</v>
      </c>
    </row>
    <row r="96" spans="2:9" ht="15" customHeight="1" thickBot="1">
      <c r="E96" s="1084" t="s">
        <v>1997</v>
      </c>
      <c r="F96" s="1113" t="s">
        <v>1993</v>
      </c>
      <c r="G96" s="1126">
        <f>G29</f>
        <v>181</v>
      </c>
    </row>
    <row r="97" spans="2:14" ht="15" customHeight="1">
      <c r="E97" s="1118" t="s">
        <v>1962</v>
      </c>
      <c r="F97" s="1046"/>
      <c r="G97" s="1123">
        <f>G94*G95*G96</f>
        <v>4344000</v>
      </c>
      <c r="L97" s="1127" t="str">
        <f>'Points System'!H638</f>
        <v>(i)</v>
      </c>
      <c r="M97" s="2687" t="s">
        <v>1406</v>
      </c>
      <c r="N97" s="2688"/>
    </row>
    <row r="98" spans="2:14" ht="15" customHeight="1">
      <c r="C98" s="1077"/>
      <c r="G98" s="1114"/>
      <c r="L98" s="1128" t="str">
        <f>'Points System'!H650</f>
        <v>N/A</v>
      </c>
      <c r="M98" s="2683" t="s">
        <v>1957</v>
      </c>
      <c r="N98" s="2684"/>
    </row>
    <row r="99" spans="2:14" ht="15" customHeight="1">
      <c r="E99" s="1084" t="s">
        <v>1998</v>
      </c>
      <c r="G99" s="1126">
        <f>COUNTIFS(L97:L104,"(i)")</f>
        <v>4</v>
      </c>
      <c r="L99" s="1128" t="str">
        <f>'Points System'!H685</f>
        <v>(i)</v>
      </c>
      <c r="M99" s="2683" t="s">
        <v>1958</v>
      </c>
      <c r="N99" s="2684"/>
    </row>
    <row r="100" spans="2:14" ht="15" customHeight="1">
      <c r="E100" s="1084" t="s">
        <v>1945</v>
      </c>
      <c r="F100" s="1113" t="s">
        <v>1993</v>
      </c>
      <c r="G100" s="1124">
        <v>4000</v>
      </c>
      <c r="L100" s="1128" t="str">
        <f>IF(OR('Points System'!H709="(ii)",'Points System'!H709="(i)"),"(i)","N/A")</f>
        <v>(i)</v>
      </c>
      <c r="M100" s="2683" t="s">
        <v>1959</v>
      </c>
      <c r="N100" s="2684"/>
    </row>
    <row r="101" spans="2:14" ht="15" customHeight="1">
      <c r="E101" s="1118" t="s">
        <v>1963</v>
      </c>
      <c r="F101" s="1046"/>
      <c r="G101" s="1123">
        <f>G96*G99*G100</f>
        <v>2896000</v>
      </c>
      <c r="L101" s="1129" t="str">
        <f>'Points System'!H723</f>
        <v>N/A</v>
      </c>
      <c r="M101" s="2683" t="s">
        <v>1432</v>
      </c>
      <c r="N101" s="2684"/>
    </row>
    <row r="102" spans="2:14" ht="15" customHeight="1">
      <c r="L102" s="1128" t="str">
        <f>'Points System'!H735</f>
        <v>N/A</v>
      </c>
      <c r="M102" s="2683" t="s">
        <v>1960</v>
      </c>
      <c r="N102" s="2684"/>
    </row>
    <row r="103" spans="2:14" ht="15" customHeight="1">
      <c r="C103" s="1080" t="s">
        <v>1965</v>
      </c>
      <c r="L103" s="1128" t="str">
        <f>'Points System'!H751</f>
        <v>N/A</v>
      </c>
      <c r="M103" s="2683" t="s">
        <v>1961</v>
      </c>
      <c r="N103" s="2684"/>
    </row>
    <row r="104" spans="2:14" ht="15" customHeight="1" thickBot="1">
      <c r="C104" s="1077" t="s">
        <v>1966</v>
      </c>
      <c r="G104" s="1043"/>
      <c r="L104" s="1130" t="str">
        <f>'Points System'!H763</f>
        <v>(i)</v>
      </c>
      <c r="M104" s="2685" t="s">
        <v>1435</v>
      </c>
      <c r="N104" s="2686"/>
    </row>
    <row r="105" spans="2:14" ht="15" customHeight="1">
      <c r="C105" s="1077" t="s">
        <v>1967</v>
      </c>
      <c r="G105" s="1043"/>
    </row>
    <row r="106" spans="2:14" ht="15" customHeight="1">
      <c r="C106" s="1077" t="s">
        <v>2140</v>
      </c>
      <c r="G106" s="1043" t="s">
        <v>546</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181</v>
      </c>
    </row>
    <row r="112" spans="2:14" ht="15" customHeight="1">
      <c r="E112" s="1084" t="s">
        <v>1945</v>
      </c>
      <c r="F112" s="1113" t="s">
        <v>1993</v>
      </c>
      <c r="G112" s="1124">
        <v>25000</v>
      </c>
    </row>
    <row r="113" spans="2:9" ht="15" customHeight="1">
      <c r="E113" s="1118" t="s">
        <v>1964</v>
      </c>
      <c r="F113" s="1046"/>
      <c r="G113" s="1123">
        <f>G109*G112*G96</f>
        <v>4525000</v>
      </c>
    </row>
    <row r="114" spans="2:9" ht="15" customHeight="1">
      <c r="C114" s="1077"/>
      <c r="E114" s="1077"/>
    </row>
    <row r="115" spans="2:9" ht="15" customHeight="1">
      <c r="E115" s="1118" t="s">
        <v>2271</v>
      </c>
      <c r="G115" s="1123">
        <f>G113+G101+G97</f>
        <v>11765000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9" t="s">
        <v>2226</v>
      </c>
      <c r="D119" s="2659"/>
      <c r="E119" s="2659"/>
      <c r="F119" s="2659"/>
    </row>
    <row r="120" spans="2:9" ht="15" customHeight="1">
      <c r="C120" s="2659"/>
      <c r="D120" s="2659"/>
      <c r="E120" s="2659"/>
      <c r="F120" s="2659"/>
      <c r="G120" s="1043" t="s">
        <v>546</v>
      </c>
    </row>
    <row r="121" spans="2:9" ht="15" customHeight="1"/>
    <row r="122" spans="2:9" ht="15" customHeight="1">
      <c r="C122" s="1044" t="s">
        <v>2228</v>
      </c>
      <c r="G122" s="2661" t="s">
        <v>2774</v>
      </c>
      <c r="H122" s="2661"/>
    </row>
    <row r="123" spans="2:9" ht="15" customHeight="1">
      <c r="G123" s="2661"/>
      <c r="H123" s="2661"/>
    </row>
    <row r="124" spans="2:9" ht="15" customHeight="1">
      <c r="G124" s="2662"/>
      <c r="H124" s="2662"/>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Humboldt</v>
      </c>
    </row>
    <row r="129" spans="2:9">
      <c r="E129" s="1084"/>
      <c r="G129" s="1078"/>
    </row>
    <row r="130" spans="2:9">
      <c r="E130" s="1084" t="str">
        <f>"2-Bedroom "&amp;G128&amp;" County Basis Limit"</f>
        <v>2-Bedroom Humboldt County Basis Limit</v>
      </c>
      <c r="G130" s="1078">
        <f>Application!R988</f>
        <v>489600</v>
      </c>
    </row>
    <row r="131" spans="2:9">
      <c r="E131" s="1084" t="s">
        <v>2001</v>
      </c>
      <c r="G131" s="1078">
        <f>MEDIAN((Application!CU160:CU217))</f>
        <v>489600</v>
      </c>
    </row>
    <row r="132" spans="2:9" ht="15">
      <c r="D132" s="1046"/>
      <c r="E132" s="1118" t="s">
        <v>2003</v>
      </c>
      <c r="F132" s="1134"/>
      <c r="G132" s="1135">
        <f>((G130-G131)/G131)*0.25</f>
        <v>0</v>
      </c>
      <c r="H132" s="1042"/>
      <c r="I132" s="1042"/>
    </row>
    <row r="133" spans="2:9">
      <c r="D133" s="1045"/>
      <c r="E133" s="1045"/>
    </row>
    <row r="134" spans="2:9" ht="15">
      <c r="B134" s="1066" t="s">
        <v>2272</v>
      </c>
      <c r="C134" s="1067"/>
      <c r="D134" s="1067"/>
      <c r="E134" s="1067"/>
      <c r="F134" s="1067"/>
      <c r="G134" s="1067"/>
      <c r="H134" s="1067"/>
      <c r="I134" s="1068"/>
    </row>
    <row r="136" spans="2:9">
      <c r="E136" s="1084" t="s">
        <v>2258</v>
      </c>
      <c r="G136" s="1044" t="b">
        <f>G37</f>
        <v>1</v>
      </c>
    </row>
    <row r="137" spans="2:9">
      <c r="E137" s="1084" t="s">
        <v>2273</v>
      </c>
      <c r="G137" s="1044" t="b">
        <f>OR('Points System'!B52="Yes", 'Points System'!B56="Yes",'Points System'!B58="Yes")</f>
        <v>0</v>
      </c>
    </row>
    <row r="138" spans="2:9">
      <c r="C138" s="2654" t="s">
        <v>2274</v>
      </c>
      <c r="D138" s="2654"/>
      <c r="E138" s="2654"/>
      <c r="F138" s="2654"/>
    </row>
    <row r="139" spans="2:9">
      <c r="B139" s="1045"/>
      <c r="C139" s="2654"/>
      <c r="D139" s="2654"/>
      <c r="E139" s="2654"/>
      <c r="F139" s="2654"/>
      <c r="G139" s="1043" t="s">
        <v>546</v>
      </c>
    </row>
    <row r="140" spans="2:9">
      <c r="B140" s="1045"/>
      <c r="C140" s="1045"/>
      <c r="D140" s="1045"/>
      <c r="E140" s="1045"/>
      <c r="F140" s="1045"/>
    </row>
    <row r="141" spans="2:9" ht="14.25" customHeight="1">
      <c r="E141" s="1084" t="s">
        <v>2276</v>
      </c>
      <c r="G141" s="1169">
        <v>1864000</v>
      </c>
    </row>
    <row r="143" spans="2:9">
      <c r="E143" s="1084" t="s">
        <v>2278</v>
      </c>
      <c r="G143" s="1168">
        <f>IF(I9=0,0,G141/I9)</f>
        <v>9.0614426088865524E-2</v>
      </c>
    </row>
    <row r="144" spans="2:9">
      <c r="E144" s="1084" t="s">
        <v>2275</v>
      </c>
      <c r="G144" s="1166">
        <f>I9*0.15</f>
        <v>3085601.4</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5"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zoomScale="70" zoomScaleNormal="70" workbookViewId="0">
      <selection activeCell="F16" sqref="F16"/>
    </sheetView>
  </sheetViews>
  <sheetFormatPr defaultColWidth="9.140625" defaultRowHeight="14.25" zeroHeight="1"/>
  <cols>
    <col min="1" max="2" width="15.5703125" style="304" customWidth="1"/>
    <col min="3" max="3" width="11" style="304" customWidth="1"/>
    <col min="4" max="4" width="15.5703125" style="304" customWidth="1"/>
    <col min="5" max="5" width="3.5703125" style="304" customWidth="1"/>
    <col min="6" max="7" width="15.5703125" style="304" customWidth="1"/>
    <col min="8" max="8" width="3.5703125" style="304" customWidth="1"/>
    <col min="9" max="10" width="15.5703125" style="304" customWidth="1"/>
    <col min="11" max="11" width="3.42578125" style="304" customWidth="1"/>
    <col min="12" max="17" width="15.5703125" style="304" customWidth="1"/>
    <col min="18" max="16384" width="9.140625" style="304"/>
  </cols>
  <sheetData>
    <row r="1" spans="1:12">
      <c r="A1" s="2689" t="s">
        <v>910</v>
      </c>
      <c r="B1" s="2689"/>
      <c r="C1" s="2689"/>
      <c r="D1" s="2689"/>
      <c r="E1" s="2689"/>
      <c r="F1" s="2689"/>
      <c r="G1" s="2689"/>
      <c r="H1" s="2689"/>
      <c r="I1" s="2689"/>
      <c r="J1" s="2689"/>
      <c r="K1" s="204"/>
      <c r="L1" s="204"/>
    </row>
    <row r="2" spans="1:12">
      <c r="A2" s="210"/>
      <c r="B2" s="210"/>
      <c r="C2" s="210"/>
      <c r="D2" s="210"/>
      <c r="E2" s="210"/>
      <c r="F2" s="210"/>
      <c r="G2" s="210"/>
      <c r="H2" s="210"/>
      <c r="I2" s="210"/>
      <c r="J2" s="210"/>
    </row>
    <row r="3" spans="1:12" ht="100.5">
      <c r="A3" s="426" t="s">
        <v>911</v>
      </c>
      <c r="B3" s="426" t="s">
        <v>2253</v>
      </c>
      <c r="C3" s="426" t="s">
        <v>2254</v>
      </c>
      <c r="D3" s="1146" t="s">
        <v>2255</v>
      </c>
      <c r="E3" s="204"/>
      <c r="F3" s="1146" t="s">
        <v>912</v>
      </c>
      <c r="G3" s="426" t="s">
        <v>913</v>
      </c>
      <c r="H3" s="427"/>
      <c r="I3" s="426" t="s">
        <v>914</v>
      </c>
      <c r="J3" s="426" t="s">
        <v>915</v>
      </c>
      <c r="K3" s="204"/>
      <c r="L3" s="305"/>
    </row>
    <row r="4" spans="1:12">
      <c r="A4" s="428" t="str">
        <f>Application!B718</f>
        <v>1 Bedroom</v>
      </c>
      <c r="B4" s="1082">
        <f>Application!G718</f>
        <v>18</v>
      </c>
      <c r="C4" s="1162" t="s">
        <v>385</v>
      </c>
      <c r="D4" s="428">
        <f>Application!O718</f>
        <v>528</v>
      </c>
      <c r="E4" s="429"/>
      <c r="F4" s="1083">
        <v>1245</v>
      </c>
      <c r="G4" s="428">
        <f>F4*B4</f>
        <v>22410</v>
      </c>
      <c r="H4" s="429"/>
      <c r="I4" s="428">
        <f t="shared" ref="I4:I27" si="0">IF(F4=0,"",(F4-D4))</f>
        <v>717</v>
      </c>
      <c r="J4" s="428">
        <f t="shared" ref="J4:J27" si="1">IF(F4=0,"",(I4*B4))</f>
        <v>12906</v>
      </c>
      <c r="K4" s="204"/>
      <c r="L4" s="305"/>
    </row>
    <row r="5" spans="1:12">
      <c r="A5" s="428" t="str">
        <f>Application!B719</f>
        <v>2 Bedrooms</v>
      </c>
      <c r="B5" s="1082">
        <f>Application!G719</f>
        <v>5</v>
      </c>
      <c r="C5" s="1162" t="s">
        <v>385</v>
      </c>
      <c r="D5" s="428">
        <f>Application!O719</f>
        <v>634</v>
      </c>
      <c r="E5" s="429"/>
      <c r="F5" s="1083">
        <v>1625</v>
      </c>
      <c r="G5" s="428">
        <f t="shared" ref="G5:G38" si="2">F5*B5</f>
        <v>8125</v>
      </c>
      <c r="H5" s="429"/>
      <c r="I5" s="428">
        <f t="shared" si="0"/>
        <v>991</v>
      </c>
      <c r="J5" s="428">
        <f t="shared" si="1"/>
        <v>4955</v>
      </c>
      <c r="K5" s="204"/>
      <c r="L5" s="305"/>
    </row>
    <row r="6" spans="1:12">
      <c r="A6" s="428" t="str">
        <f>Application!B720</f>
        <v>3 Bedrooms</v>
      </c>
      <c r="B6" s="1082">
        <f>Application!G720</f>
        <v>5</v>
      </c>
      <c r="C6" s="1162" t="s">
        <v>385</v>
      </c>
      <c r="D6" s="428">
        <f>Application!O720</f>
        <v>732</v>
      </c>
      <c r="E6" s="429"/>
      <c r="F6" s="1083">
        <v>2278</v>
      </c>
      <c r="G6" s="428">
        <f t="shared" si="2"/>
        <v>11390</v>
      </c>
      <c r="H6" s="429"/>
      <c r="I6" s="428">
        <f t="shared" si="0"/>
        <v>1546</v>
      </c>
      <c r="J6" s="428">
        <f t="shared" si="1"/>
        <v>7730</v>
      </c>
      <c r="K6" s="204"/>
      <c r="L6" s="305"/>
    </row>
    <row r="7" spans="1:12">
      <c r="A7" s="428" t="str">
        <f>Application!B721</f>
        <v>1 Bedroom</v>
      </c>
      <c r="B7" s="1082">
        <f>Application!G721</f>
        <v>1</v>
      </c>
      <c r="C7" s="1162" t="s">
        <v>385</v>
      </c>
      <c r="D7" s="428">
        <f>Application!O721</f>
        <v>705</v>
      </c>
      <c r="E7" s="429"/>
      <c r="F7" s="1083">
        <f>F4</f>
        <v>1245</v>
      </c>
      <c r="G7" s="428">
        <f t="shared" si="2"/>
        <v>1245</v>
      </c>
      <c r="H7" s="429"/>
      <c r="I7" s="428">
        <f t="shared" si="0"/>
        <v>540</v>
      </c>
      <c r="J7" s="428">
        <f t="shared" si="1"/>
        <v>540</v>
      </c>
      <c r="K7" s="204"/>
      <c r="L7" s="305"/>
    </row>
    <row r="8" spans="1:12">
      <c r="A8" s="428" t="str">
        <f>Application!B722</f>
        <v>2 Bedrooms</v>
      </c>
      <c r="B8" s="1082">
        <f>Application!G722</f>
        <v>3</v>
      </c>
      <c r="C8" s="1162" t="s">
        <v>385</v>
      </c>
      <c r="D8" s="428">
        <f>Application!O722</f>
        <v>846</v>
      </c>
      <c r="E8" s="429"/>
      <c r="F8" s="1083">
        <f t="shared" ref="F8:F9" si="3">F5</f>
        <v>1625</v>
      </c>
      <c r="G8" s="428">
        <f t="shared" si="2"/>
        <v>4875</v>
      </c>
      <c r="H8" s="429"/>
      <c r="I8" s="428">
        <f t="shared" si="0"/>
        <v>779</v>
      </c>
      <c r="J8" s="428">
        <f t="shared" si="1"/>
        <v>2337</v>
      </c>
      <c r="K8" s="204"/>
      <c r="L8" s="305"/>
    </row>
    <row r="9" spans="1:12">
      <c r="A9" s="428" t="str">
        <f>Application!B723</f>
        <v>3 Bedrooms</v>
      </c>
      <c r="B9" s="1082">
        <f>Application!G723</f>
        <v>3</v>
      </c>
      <c r="C9" s="1162" t="s">
        <v>385</v>
      </c>
      <c r="D9" s="428">
        <f>Application!O723</f>
        <v>977</v>
      </c>
      <c r="E9" s="429"/>
      <c r="F9" s="1083">
        <f t="shared" si="3"/>
        <v>2278</v>
      </c>
      <c r="G9" s="428">
        <f t="shared" si="2"/>
        <v>6834</v>
      </c>
      <c r="H9" s="429"/>
      <c r="I9" s="428">
        <f t="shared" si="0"/>
        <v>1301</v>
      </c>
      <c r="J9" s="428">
        <f t="shared" si="1"/>
        <v>3903</v>
      </c>
      <c r="K9" s="204"/>
      <c r="L9" s="305"/>
    </row>
    <row r="10" spans="1:12">
      <c r="A10" s="428" t="str">
        <f>Application!B724</f>
        <v>1 Bedroom</v>
      </c>
      <c r="B10" s="1082">
        <f>Application!G724</f>
        <v>1</v>
      </c>
      <c r="C10" s="1162" t="s">
        <v>385</v>
      </c>
      <c r="D10" s="428">
        <f>Application!O724</f>
        <v>1057</v>
      </c>
      <c r="E10" s="429"/>
      <c r="F10" s="1083">
        <f>F7</f>
        <v>1245</v>
      </c>
      <c r="G10" s="428">
        <f t="shared" si="2"/>
        <v>1245</v>
      </c>
      <c r="H10" s="429"/>
      <c r="I10" s="428">
        <f t="shared" si="0"/>
        <v>188</v>
      </c>
      <c r="J10" s="428">
        <f t="shared" si="1"/>
        <v>188</v>
      </c>
      <c r="K10" s="204"/>
      <c r="L10" s="305"/>
    </row>
    <row r="11" spans="1:12">
      <c r="A11" s="428" t="str">
        <f>Application!B725</f>
        <v>2 Bedrooms</v>
      </c>
      <c r="B11" s="1082">
        <f>Application!G725</f>
        <v>4</v>
      </c>
      <c r="C11" s="1162" t="s">
        <v>385</v>
      </c>
      <c r="D11" s="428">
        <f>Application!O725</f>
        <v>1269</v>
      </c>
      <c r="E11" s="429"/>
      <c r="F11" s="1083">
        <f t="shared" ref="F11:F12" si="4">F8</f>
        <v>1625</v>
      </c>
      <c r="G11" s="428">
        <f t="shared" si="2"/>
        <v>6500</v>
      </c>
      <c r="H11" s="429"/>
      <c r="I11" s="428">
        <f t="shared" si="0"/>
        <v>356</v>
      </c>
      <c r="J11" s="428">
        <f t="shared" si="1"/>
        <v>1424</v>
      </c>
      <c r="K11" s="204"/>
      <c r="L11" s="305"/>
    </row>
    <row r="12" spans="1:12">
      <c r="A12" s="428" t="str">
        <f>Application!B726</f>
        <v>3 Bedrooms</v>
      </c>
      <c r="B12" s="1082">
        <f>Application!G726</f>
        <v>3</v>
      </c>
      <c r="C12" s="1162" t="s">
        <v>385</v>
      </c>
      <c r="D12" s="428">
        <f>Application!O726</f>
        <v>1465</v>
      </c>
      <c r="E12" s="429"/>
      <c r="F12" s="1083">
        <f t="shared" si="4"/>
        <v>2278</v>
      </c>
      <c r="G12" s="428">
        <f t="shared" si="2"/>
        <v>6834</v>
      </c>
      <c r="H12" s="429"/>
      <c r="I12" s="428">
        <f t="shared" si="0"/>
        <v>813</v>
      </c>
      <c r="J12" s="428">
        <f t="shared" si="1"/>
        <v>2439</v>
      </c>
      <c r="K12" s="204"/>
      <c r="L12" s="305"/>
    </row>
    <row r="13" spans="1:12">
      <c r="A13" s="428" t="str">
        <f>Application!B727</f>
        <v>1 Bedroom</v>
      </c>
      <c r="B13" s="1082">
        <f>Application!G727</f>
        <v>17</v>
      </c>
      <c r="C13" s="1162" t="s">
        <v>385</v>
      </c>
      <c r="D13" s="428">
        <f>Application!O727</f>
        <v>1057</v>
      </c>
      <c r="E13" s="429"/>
      <c r="F13" s="1083">
        <f>F10</f>
        <v>1245</v>
      </c>
      <c r="G13" s="428">
        <f t="shared" si="2"/>
        <v>21165</v>
      </c>
      <c r="H13" s="429"/>
      <c r="I13" s="428">
        <f t="shared" si="0"/>
        <v>188</v>
      </c>
      <c r="J13" s="428">
        <f t="shared" si="1"/>
        <v>3196</v>
      </c>
      <c r="K13" s="204"/>
      <c r="L13" s="305"/>
    </row>
    <row r="14" spans="1:12">
      <c r="A14" s="428" t="str">
        <f>Application!B728</f>
        <v>2 Bedrooms</v>
      </c>
      <c r="B14" s="1082">
        <f>Application!G728</f>
        <v>42</v>
      </c>
      <c r="C14" s="1162" t="s">
        <v>385</v>
      </c>
      <c r="D14" s="428">
        <f>Application!O728</f>
        <v>1269</v>
      </c>
      <c r="E14" s="429"/>
      <c r="F14" s="1083">
        <f t="shared" ref="F14:F15" si="5">F11</f>
        <v>1625</v>
      </c>
      <c r="G14" s="428">
        <f t="shared" si="2"/>
        <v>68250</v>
      </c>
      <c r="H14" s="429"/>
      <c r="I14" s="428">
        <f t="shared" si="0"/>
        <v>356</v>
      </c>
      <c r="J14" s="428">
        <f t="shared" si="1"/>
        <v>14952</v>
      </c>
      <c r="K14" s="204"/>
      <c r="L14" s="305"/>
    </row>
    <row r="15" spans="1:12">
      <c r="A15" s="428" t="str">
        <f>Application!B729</f>
        <v>3 Bedrooms</v>
      </c>
      <c r="B15" s="1082">
        <f>Application!G729</f>
        <v>24</v>
      </c>
      <c r="C15" s="1162" t="s">
        <v>385</v>
      </c>
      <c r="D15" s="428">
        <f>Application!O729</f>
        <v>1465</v>
      </c>
      <c r="E15" s="429"/>
      <c r="F15" s="1083">
        <f t="shared" si="5"/>
        <v>2278</v>
      </c>
      <c r="G15" s="428">
        <f t="shared" si="2"/>
        <v>54672</v>
      </c>
      <c r="H15" s="429"/>
      <c r="I15" s="428">
        <f t="shared" si="0"/>
        <v>813</v>
      </c>
      <c r="J15" s="428">
        <f t="shared" si="1"/>
        <v>19512</v>
      </c>
      <c r="K15" s="204"/>
      <c r="L15" s="305"/>
    </row>
    <row r="16" spans="1:12">
      <c r="A16" s="428" t="str">
        <f>Application!B730</f>
        <v>4 Bedrooms</v>
      </c>
      <c r="B16" s="1082">
        <f>Application!G730</f>
        <v>12</v>
      </c>
      <c r="C16" s="1162" t="s">
        <v>385</v>
      </c>
      <c r="D16" s="428">
        <f>Application!O730</f>
        <v>1635</v>
      </c>
      <c r="E16" s="429"/>
      <c r="F16" s="1083">
        <v>2730</v>
      </c>
      <c r="G16" s="428">
        <f t="shared" si="2"/>
        <v>32760</v>
      </c>
      <c r="H16" s="429"/>
      <c r="I16" s="428">
        <f t="shared" si="0"/>
        <v>1095</v>
      </c>
      <c r="J16" s="428">
        <f t="shared" si="1"/>
        <v>13140</v>
      </c>
      <c r="K16" s="204"/>
      <c r="L16" s="305"/>
    </row>
    <row r="17" spans="1:12">
      <c r="A17" s="428" t="str">
        <f>Application!B731</f>
        <v>1 Bedroom</v>
      </c>
      <c r="B17" s="1082">
        <f>Application!G731</f>
        <v>3</v>
      </c>
      <c r="C17" s="1162" t="s">
        <v>385</v>
      </c>
      <c r="D17" s="428">
        <f>Application!O731</f>
        <v>705</v>
      </c>
      <c r="E17" s="429"/>
      <c r="F17" s="1083">
        <f>F13</f>
        <v>1245</v>
      </c>
      <c r="G17" s="428">
        <f t="shared" si="2"/>
        <v>3735</v>
      </c>
      <c r="H17" s="429"/>
      <c r="I17" s="428">
        <f t="shared" si="0"/>
        <v>540</v>
      </c>
      <c r="J17" s="428">
        <f t="shared" si="1"/>
        <v>1620</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6">IF(F28=0,"",(F28-D28))</f>
        <v/>
      </c>
      <c r="J28" s="428" t="str">
        <f t="shared" ref="J28:J37" si="7">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6"/>
        <v/>
      </c>
      <c r="J29" s="428" t="str">
        <f t="shared" si="7"/>
        <v/>
      </c>
      <c r="K29" s="204"/>
      <c r="L29" s="305"/>
    </row>
    <row r="30" spans="1:12">
      <c r="A30" s="428">
        <f>Application!B744</f>
        <v>0</v>
      </c>
      <c r="B30" s="1082">
        <f>Application!G744</f>
        <v>0</v>
      </c>
      <c r="C30" s="1162"/>
      <c r="D30" s="428">
        <f>Application!O744</f>
        <v>0</v>
      </c>
      <c r="E30" s="429"/>
      <c r="F30" s="1083"/>
      <c r="G30" s="428">
        <f t="shared" si="2"/>
        <v>0</v>
      </c>
      <c r="H30" s="429"/>
      <c r="I30" s="428" t="str">
        <f t="shared" si="6"/>
        <v/>
      </c>
      <c r="J30" s="428" t="str">
        <f t="shared" si="7"/>
        <v/>
      </c>
      <c r="K30" s="204"/>
      <c r="L30" s="305"/>
    </row>
    <row r="31" spans="1:12">
      <c r="A31" s="428">
        <f>Application!B745</f>
        <v>0</v>
      </c>
      <c r="B31" s="1082">
        <f>Application!G745</f>
        <v>0</v>
      </c>
      <c r="C31" s="1162"/>
      <c r="D31" s="428">
        <f>Application!O745</f>
        <v>0</v>
      </c>
      <c r="E31" s="429"/>
      <c r="F31" s="1083"/>
      <c r="G31" s="428">
        <f t="shared" si="2"/>
        <v>0</v>
      </c>
      <c r="H31" s="429"/>
      <c r="I31" s="428" t="str">
        <f t="shared" si="6"/>
        <v/>
      </c>
      <c r="J31" s="428" t="str">
        <f t="shared" si="7"/>
        <v/>
      </c>
      <c r="K31" s="204"/>
      <c r="L31" s="305"/>
    </row>
    <row r="32" spans="1:12">
      <c r="A32" s="428">
        <f>Application!B746</f>
        <v>0</v>
      </c>
      <c r="B32" s="1082">
        <f>Application!G746</f>
        <v>0</v>
      </c>
      <c r="C32" s="1162"/>
      <c r="D32" s="428">
        <f>Application!O746</f>
        <v>0</v>
      </c>
      <c r="E32" s="429"/>
      <c r="F32" s="1083"/>
      <c r="G32" s="428">
        <f t="shared" si="2"/>
        <v>0</v>
      </c>
      <c r="H32" s="429"/>
      <c r="I32" s="428" t="str">
        <f t="shared" si="6"/>
        <v/>
      </c>
      <c r="J32" s="428" t="str">
        <f t="shared" si="7"/>
        <v/>
      </c>
      <c r="K32" s="204"/>
      <c r="L32" s="305"/>
    </row>
    <row r="33" spans="1:12">
      <c r="A33" s="428">
        <f>Application!B747</f>
        <v>0</v>
      </c>
      <c r="B33" s="1082">
        <f>Application!G747</f>
        <v>0</v>
      </c>
      <c r="C33" s="1162"/>
      <c r="D33" s="428">
        <f>Application!O747</f>
        <v>0</v>
      </c>
      <c r="E33" s="429"/>
      <c r="F33" s="1083"/>
      <c r="G33" s="428">
        <f t="shared" si="2"/>
        <v>0</v>
      </c>
      <c r="H33" s="429"/>
      <c r="I33" s="428" t="str">
        <f t="shared" si="6"/>
        <v/>
      </c>
      <c r="J33" s="428" t="str">
        <f t="shared" si="7"/>
        <v/>
      </c>
      <c r="K33" s="204"/>
      <c r="L33" s="305"/>
    </row>
    <row r="34" spans="1:12">
      <c r="A34" s="428">
        <f>Application!B748</f>
        <v>0</v>
      </c>
      <c r="B34" s="1082">
        <f>Application!G748</f>
        <v>0</v>
      </c>
      <c r="C34" s="1162"/>
      <c r="D34" s="428">
        <f>Application!O748</f>
        <v>0</v>
      </c>
      <c r="E34" s="429"/>
      <c r="F34" s="1083"/>
      <c r="G34" s="428">
        <f t="shared" si="2"/>
        <v>0</v>
      </c>
      <c r="H34" s="429"/>
      <c r="I34" s="428" t="str">
        <f t="shared" si="6"/>
        <v/>
      </c>
      <c r="J34" s="428" t="str">
        <f t="shared" si="7"/>
        <v/>
      </c>
      <c r="K34" s="204"/>
      <c r="L34" s="305"/>
    </row>
    <row r="35" spans="1:12">
      <c r="A35" s="428">
        <f>Application!B749</f>
        <v>0</v>
      </c>
      <c r="B35" s="1082">
        <f>Application!G749</f>
        <v>0</v>
      </c>
      <c r="C35" s="1162"/>
      <c r="D35" s="428">
        <f>Application!O749</f>
        <v>0</v>
      </c>
      <c r="E35" s="429"/>
      <c r="F35" s="1083"/>
      <c r="G35" s="428">
        <f t="shared" si="2"/>
        <v>0</v>
      </c>
      <c r="H35" s="429"/>
      <c r="I35" s="428" t="str">
        <f t="shared" si="6"/>
        <v/>
      </c>
      <c r="J35" s="428" t="str">
        <f t="shared" si="7"/>
        <v/>
      </c>
      <c r="K35" s="204"/>
      <c r="L35" s="305"/>
    </row>
    <row r="36" spans="1:12">
      <c r="A36" s="428">
        <f>Application!B750</f>
        <v>0</v>
      </c>
      <c r="B36" s="1082">
        <f>Application!G750</f>
        <v>0</v>
      </c>
      <c r="C36" s="1162"/>
      <c r="D36" s="428">
        <f>Application!O750</f>
        <v>0</v>
      </c>
      <c r="E36" s="429"/>
      <c r="F36" s="1083"/>
      <c r="G36" s="428">
        <f t="shared" si="2"/>
        <v>0</v>
      </c>
      <c r="H36" s="429"/>
      <c r="I36" s="428" t="str">
        <f t="shared" si="6"/>
        <v/>
      </c>
      <c r="J36" s="428" t="str">
        <f t="shared" si="7"/>
        <v/>
      </c>
      <c r="K36" s="204"/>
      <c r="L36" s="305"/>
    </row>
    <row r="37" spans="1:12">
      <c r="A37" s="428">
        <f>Application!B751</f>
        <v>0</v>
      </c>
      <c r="B37" s="1082">
        <f>Application!G751</f>
        <v>0</v>
      </c>
      <c r="C37" s="1162"/>
      <c r="D37" s="428">
        <f>Application!O751</f>
        <v>0</v>
      </c>
      <c r="E37" s="429"/>
      <c r="F37" s="1083"/>
      <c r="G37" s="428">
        <f t="shared" si="2"/>
        <v>0</v>
      </c>
      <c r="H37" s="429"/>
      <c r="I37" s="428" t="str">
        <f t="shared" si="6"/>
        <v/>
      </c>
      <c r="J37" s="428" t="str">
        <f t="shared" si="7"/>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161198</v>
      </c>
      <c r="E40" s="429"/>
      <c r="F40" s="429"/>
      <c r="G40" s="432">
        <f>SUM(G4:G38)*12</f>
        <v>3000480</v>
      </c>
      <c r="H40" s="433"/>
      <c r="I40" s="431"/>
      <c r="J40" s="432">
        <f>SUM(J4:J38)*12</f>
        <v>1066104</v>
      </c>
      <c r="K40" s="204"/>
      <c r="L40" s="306"/>
    </row>
    <row r="41" spans="1:12" ht="15">
      <c r="A41" s="430"/>
      <c r="B41" s="431"/>
      <c r="C41" s="431"/>
      <c r="D41" s="433"/>
      <c r="E41" s="429"/>
      <c r="F41" s="429"/>
      <c r="G41" s="433"/>
      <c r="H41" s="433"/>
      <c r="I41" s="431"/>
      <c r="J41" s="433"/>
      <c r="K41" s="204"/>
      <c r="L41" s="306"/>
    </row>
    <row r="42" spans="1:12">
      <c r="A42" s="304" t="s">
        <v>2256</v>
      </c>
    </row>
    <row r="43" spans="1:12">
      <c r="A43" s="2690" t="s">
        <v>2495</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2257</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2" zoomScale="80" zoomScaleNormal="80" workbookViewId="0">
      <selection activeCell="B69" sqref="B69"/>
    </sheetView>
  </sheetViews>
  <sheetFormatPr defaultColWidth="0" defaultRowHeight="12.75" zeroHeight="1"/>
  <cols>
    <col min="1" max="1" width="3.5703125" customWidth="1"/>
    <col min="2" max="2" width="30.5703125" customWidth="1"/>
    <col min="3" max="3" width="9.140625" style="214"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1934376</v>
      </c>
      <c r="G4" s="219">
        <f>E4*$C$4</f>
        <v>1982735.4</v>
      </c>
      <c r="I4" s="219">
        <f>G4*$C$4</f>
        <v>2032303.7849999997</v>
      </c>
      <c r="K4" s="219">
        <f>I4*$C$4</f>
        <v>2083111.3796249996</v>
      </c>
      <c r="M4" s="219">
        <f>K4*$C$4</f>
        <v>2135189.1641156245</v>
      </c>
      <c r="O4" s="219">
        <f>M4*$C$4</f>
        <v>2188568.893218515</v>
      </c>
      <c r="Q4" s="219">
        <f>O4*$C$4</f>
        <v>2243283.1155489776</v>
      </c>
      <c r="S4" s="219">
        <f>Q4*$C$4</f>
        <v>2299365.193437702</v>
      </c>
      <c r="U4" s="219">
        <f>S4*$C$4</f>
        <v>2356849.3232736443</v>
      </c>
      <c r="W4" s="219">
        <f>U4*$C$4</f>
        <v>2415770.5563554852</v>
      </c>
      <c r="Y4" s="219">
        <f>W4*$C$4</f>
        <v>2476164.820264372</v>
      </c>
      <c r="AA4" s="219">
        <f>Y4*$C$4</f>
        <v>2538068.9407709809</v>
      </c>
      <c r="AC4" s="219">
        <f>AA4*$C$4</f>
        <v>2601520.6642902554</v>
      </c>
      <c r="AE4" s="219">
        <f>AC4*$C$4</f>
        <v>2666558.6808975115</v>
      </c>
      <c r="AG4" s="219">
        <f>AE4*$C$4</f>
        <v>2733222.6479199491</v>
      </c>
    </row>
    <row r="5" spans="1:34" s="210" customFormat="1" ht="14.25">
      <c r="B5" s="210" t="s">
        <v>839</v>
      </c>
      <c r="C5" s="238">
        <f>IF(Application!$D$211="Special Needs",(((0.1*Application!$T$212)+(0.05*(1-Application!$T$212)))),0.05)</f>
        <v>0.05</v>
      </c>
      <c r="E5" s="221">
        <f>-E4*$C$5</f>
        <v>-96718.8</v>
      </c>
      <c r="F5" s="221"/>
      <c r="G5" s="221">
        <f>-G4*$C$5</f>
        <v>-99136.77</v>
      </c>
      <c r="H5" s="221"/>
      <c r="I5" s="221">
        <f>-I4*$C$5</f>
        <v>-101615.18925</v>
      </c>
      <c r="J5" s="221"/>
      <c r="K5" s="221">
        <f>-K4*$C$5</f>
        <v>-104155.56898124999</v>
      </c>
      <c r="L5" s="221"/>
      <c r="M5" s="221">
        <f>-M4*$C$5</f>
        <v>-106759.45820578124</v>
      </c>
      <c r="N5" s="221"/>
      <c r="O5" s="221">
        <f>-O4*$C$5</f>
        <v>-109428.44466092576</v>
      </c>
      <c r="P5" s="221"/>
      <c r="Q5" s="221">
        <f>-Q4*$C$5</f>
        <v>-112164.15577744889</v>
      </c>
      <c r="R5" s="221"/>
      <c r="S5" s="221">
        <f>-S4*$C$5</f>
        <v>-114968.25967188511</v>
      </c>
      <c r="T5" s="221"/>
      <c r="U5" s="221">
        <f>-U4*$C$5</f>
        <v>-117842.46616368223</v>
      </c>
      <c r="V5" s="221"/>
      <c r="W5" s="221">
        <f>-W4*$C$5</f>
        <v>-120788.52781777427</v>
      </c>
      <c r="X5" s="221"/>
      <c r="Y5" s="221">
        <f>-Y4*$C$5</f>
        <v>-123808.24101321861</v>
      </c>
      <c r="Z5" s="221"/>
      <c r="AA5" s="221">
        <f>-AA4*$C$5</f>
        <v>-126903.44703854906</v>
      </c>
      <c r="AB5" s="221"/>
      <c r="AC5" s="221">
        <f>-AC4*$C$5</f>
        <v>-130076.03321451278</v>
      </c>
      <c r="AD5" s="221"/>
      <c r="AE5" s="221">
        <f>-AE4*$C$5</f>
        <v>-133327.93404487558</v>
      </c>
      <c r="AF5" s="221"/>
      <c r="AG5" s="221">
        <f>-AG4*$C$5</f>
        <v>-136661.13239599747</v>
      </c>
    </row>
    <row r="6" spans="1:34" s="210" customFormat="1" ht="14.25">
      <c r="A6" s="210" t="s">
        <v>837</v>
      </c>
      <c r="C6" s="237">
        <v>1.0249999999999999</v>
      </c>
      <c r="E6" s="222">
        <f>Application!Z809</f>
        <v>1066104</v>
      </c>
      <c r="F6" s="222"/>
      <c r="G6" s="222">
        <f>E6*$C$6</f>
        <v>1092756.5999999999</v>
      </c>
      <c r="H6" s="222"/>
      <c r="I6" s="222">
        <f>G6*$C$6</f>
        <v>1120075.5149999997</v>
      </c>
      <c r="J6" s="222"/>
      <c r="K6" s="222">
        <f>I6*$C$6</f>
        <v>1148077.4028749994</v>
      </c>
      <c r="L6" s="222"/>
      <c r="M6" s="222">
        <f>K6*$C$6</f>
        <v>1176779.3379468743</v>
      </c>
      <c r="N6" s="222"/>
      <c r="O6" s="222">
        <f>M6*$C$6</f>
        <v>1206198.821395546</v>
      </c>
      <c r="P6" s="222"/>
      <c r="Q6" s="222">
        <f>O6*$C$6</f>
        <v>1236353.7919304345</v>
      </c>
      <c r="R6" s="222"/>
      <c r="S6" s="222">
        <f>Q6*$C$6</f>
        <v>1267262.6367286954</v>
      </c>
      <c r="T6" s="222"/>
      <c r="U6" s="222">
        <f>S6*$C$6</f>
        <v>1298944.2026469125</v>
      </c>
      <c r="V6" s="222"/>
      <c r="W6" s="222">
        <f>U6*$C$6</f>
        <v>1331417.8077130853</v>
      </c>
      <c r="X6" s="222"/>
      <c r="Y6" s="222">
        <f>W6*$C$6</f>
        <v>1364703.2529059122</v>
      </c>
      <c r="Z6" s="222"/>
      <c r="AA6" s="222">
        <f>Y6*$C$6</f>
        <v>1398820.8342285599</v>
      </c>
      <c r="AB6" s="222"/>
      <c r="AC6" s="222">
        <f>AA6*$C$6</f>
        <v>1433791.3550842737</v>
      </c>
      <c r="AD6" s="222"/>
      <c r="AE6" s="222">
        <f>AC6*$C$6</f>
        <v>1469636.1389613803</v>
      </c>
      <c r="AF6" s="222"/>
      <c r="AG6" s="222">
        <f>AE6*$C$6</f>
        <v>1506377.0424354146</v>
      </c>
    </row>
    <row r="7" spans="1:34" s="210" customFormat="1" ht="14.25">
      <c r="B7" s="210" t="s">
        <v>839</v>
      </c>
      <c r="C7" s="238">
        <f>IF(Application!$D$211="Special Needs",(((0.1*Application!$T$212)+(0.05*(1-Application!$T$212)))),0.05)</f>
        <v>0.05</v>
      </c>
      <c r="E7" s="221">
        <f>-E6*$C$7</f>
        <v>-53305.200000000004</v>
      </c>
      <c r="F7" s="221"/>
      <c r="G7" s="221">
        <f>-G6*$C$7</f>
        <v>-54637.829999999994</v>
      </c>
      <c r="H7" s="221"/>
      <c r="I7" s="221">
        <f>-I6*$C$7</f>
        <v>-56003.775749999986</v>
      </c>
      <c r="J7" s="221"/>
      <c r="K7" s="221">
        <f>-K6*$C$7</f>
        <v>-57403.870143749977</v>
      </c>
      <c r="L7" s="221"/>
      <c r="M7" s="221">
        <f>-M6*$C$7</f>
        <v>-58838.966897343722</v>
      </c>
      <c r="N7" s="221"/>
      <c r="O7" s="221">
        <f>-O6*$C$7</f>
        <v>-60309.941069777298</v>
      </c>
      <c r="P7" s="221"/>
      <c r="Q7" s="221">
        <f>-Q6*$C$7</f>
        <v>-61817.689596521726</v>
      </c>
      <c r="R7" s="221"/>
      <c r="S7" s="221">
        <f>-S6*$C$7</f>
        <v>-63363.131836434768</v>
      </c>
      <c r="T7" s="221"/>
      <c r="U7" s="221">
        <f>-U6*$C$7</f>
        <v>-64947.21013234563</v>
      </c>
      <c r="V7" s="221"/>
      <c r="W7" s="221">
        <f>-W6*$C$7</f>
        <v>-66570.890385654275</v>
      </c>
      <c r="X7" s="221"/>
      <c r="Y7" s="221">
        <f>-Y6*$C$7</f>
        <v>-68235.162645295612</v>
      </c>
      <c r="Z7" s="221"/>
      <c r="AA7" s="221">
        <f>-AA6*$C$7</f>
        <v>-69941.041711427999</v>
      </c>
      <c r="AB7" s="221"/>
      <c r="AC7" s="221">
        <f>-AC6*$C$7</f>
        <v>-71689.567754213684</v>
      </c>
      <c r="AD7" s="221"/>
      <c r="AE7" s="221">
        <f>-AE6*$C$7</f>
        <v>-73481.806948069017</v>
      </c>
      <c r="AF7" s="221"/>
      <c r="AG7" s="221">
        <f>-AG6*$C$7</f>
        <v>-75318.852121770731</v>
      </c>
    </row>
    <row r="8" spans="1:34" s="210" customFormat="1" ht="14.25">
      <c r="A8" s="210" t="s">
        <v>288</v>
      </c>
      <c r="C8" s="237">
        <v>1.0249999999999999</v>
      </c>
      <c r="E8" s="222">
        <f>Application!Z817</f>
        <v>0</v>
      </c>
      <c r="F8" s="222"/>
      <c r="G8" s="222">
        <f>E8*$C$8</f>
        <v>0</v>
      </c>
      <c r="H8" s="222"/>
      <c r="I8" s="222">
        <f>G8*$C$8</f>
        <v>0</v>
      </c>
      <c r="J8" s="222"/>
      <c r="K8" s="222">
        <f>I8*$C$8</f>
        <v>0</v>
      </c>
      <c r="L8" s="221"/>
      <c r="M8" s="222">
        <f>K8*$C$8</f>
        <v>0</v>
      </c>
      <c r="N8" s="222"/>
      <c r="O8" s="222">
        <f>M8*$C$8</f>
        <v>0</v>
      </c>
      <c r="P8" s="222"/>
      <c r="Q8" s="222">
        <f>O8*$C$8</f>
        <v>0</v>
      </c>
      <c r="R8" s="222"/>
      <c r="S8" s="222">
        <f>Q8*$C$8</f>
        <v>0</v>
      </c>
      <c r="T8" s="222"/>
      <c r="U8" s="222">
        <f>S8*$C$8</f>
        <v>0</v>
      </c>
      <c r="V8" s="222"/>
      <c r="W8" s="222">
        <f>U8*$C$8</f>
        <v>0</v>
      </c>
      <c r="X8" s="222"/>
      <c r="Y8" s="222">
        <f>W8*$C$8</f>
        <v>0</v>
      </c>
      <c r="Z8" s="222"/>
      <c r="AA8" s="222">
        <f>Y8*$C$8</f>
        <v>0</v>
      </c>
      <c r="AB8" s="222"/>
      <c r="AC8" s="222">
        <f>AA8*$C$8</f>
        <v>0</v>
      </c>
      <c r="AD8" s="222"/>
      <c r="AE8" s="222">
        <f>AC8*$C$8</f>
        <v>0</v>
      </c>
      <c r="AF8" s="222"/>
      <c r="AG8" s="222">
        <f>AE8*$C$8</f>
        <v>0</v>
      </c>
    </row>
    <row r="9" spans="1:34" s="210" customFormat="1" ht="14.25">
      <c r="B9" s="210" t="s">
        <v>839</v>
      </c>
      <c r="C9" s="238">
        <f>IF(Application!$D$211="Special Needs",(((0.1*Application!$T$212)+(0.05*(1-Application!$T$212)))),0.05)</f>
        <v>0.05</v>
      </c>
      <c r="E9" s="221">
        <f>-E8*$C$9</f>
        <v>0</v>
      </c>
      <c r="F9" s="221"/>
      <c r="G9" s="221">
        <f>-G8*$C$9</f>
        <v>0</v>
      </c>
      <c r="H9" s="222"/>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4.25">
      <c r="A10" s="1143" t="s">
        <v>2776</v>
      </c>
      <c r="B10" s="1143"/>
      <c r="C10" s="238"/>
      <c r="E10" s="1144"/>
      <c r="F10" s="222"/>
      <c r="G10" s="1144">
        <f>E10*$C$8</f>
        <v>0</v>
      </c>
      <c r="H10" s="222"/>
      <c r="I10" s="1144">
        <f t="shared" ref="I10:AG10" si="0">G10*$C$8</f>
        <v>0</v>
      </c>
      <c r="J10" s="1144"/>
      <c r="K10" s="1144">
        <f t="shared" si="0"/>
        <v>0</v>
      </c>
      <c r="L10" s="221"/>
      <c r="M10" s="1144">
        <f t="shared" si="0"/>
        <v>0</v>
      </c>
      <c r="N10" s="1144"/>
      <c r="O10" s="1144">
        <f t="shared" si="0"/>
        <v>0</v>
      </c>
      <c r="P10" s="221"/>
      <c r="Q10" s="1144">
        <f t="shared" si="0"/>
        <v>0</v>
      </c>
      <c r="R10" s="221"/>
      <c r="S10" s="1144">
        <f t="shared" si="0"/>
        <v>0</v>
      </c>
      <c r="T10" s="221"/>
      <c r="U10" s="1144">
        <f t="shared" si="0"/>
        <v>0</v>
      </c>
      <c r="V10" s="221"/>
      <c r="W10" s="1144">
        <f t="shared" si="0"/>
        <v>0</v>
      </c>
      <c r="X10" s="221"/>
      <c r="Y10" s="1144">
        <f t="shared" si="0"/>
        <v>0</v>
      </c>
      <c r="Z10" s="221"/>
      <c r="AA10" s="1144">
        <f t="shared" si="0"/>
        <v>0</v>
      </c>
      <c r="AB10" s="221"/>
      <c r="AC10" s="1144">
        <f t="shared" si="0"/>
        <v>0</v>
      </c>
      <c r="AD10" s="221"/>
      <c r="AE10" s="1144">
        <f t="shared" si="0"/>
        <v>0</v>
      </c>
      <c r="AF10" s="221"/>
      <c r="AG10" s="1144">
        <f t="shared" si="0"/>
        <v>0</v>
      </c>
    </row>
    <row r="11" spans="1:34" s="223" customFormat="1" ht="15">
      <c r="A11" s="223" t="s">
        <v>860</v>
      </c>
      <c r="C11" s="216"/>
      <c r="E11" s="223">
        <f>SUM(E4:E10)</f>
        <v>2850456</v>
      </c>
      <c r="G11" s="223">
        <f>SUM(G4:G10)</f>
        <v>2921717.3999999994</v>
      </c>
      <c r="I11" s="223">
        <f>SUM(I4:I10)</f>
        <v>2994760.334999999</v>
      </c>
      <c r="K11" s="223">
        <f>SUM(K4:K10)</f>
        <v>3069629.3433749992</v>
      </c>
      <c r="M11" s="223">
        <f>SUM(M4:M10)</f>
        <v>3146370.0769593739</v>
      </c>
      <c r="O11" s="223">
        <f>SUM(O4:O10)</f>
        <v>3225029.3288833583</v>
      </c>
      <c r="Q11" s="223">
        <f>SUM(Q4:Q10)</f>
        <v>3305655.0621054415</v>
      </c>
      <c r="S11" s="223">
        <f>SUM(S4:S10)</f>
        <v>3388296.4386580773</v>
      </c>
      <c r="U11" s="223">
        <f>SUM(U4:U10)</f>
        <v>3473003.849624529</v>
      </c>
      <c r="W11" s="223">
        <f>SUM(W4:W10)</f>
        <v>3559828.9458651422</v>
      </c>
      <c r="Y11" s="223">
        <f>SUM(Y4:Y10)</f>
        <v>3648824.6695117699</v>
      </c>
      <c r="AA11" s="223">
        <f>SUM(AA4:AA10)</f>
        <v>3740045.2862495636</v>
      </c>
      <c r="AC11" s="223">
        <f>SUM(AC4:AC10)</f>
        <v>3833546.4184058029</v>
      </c>
      <c r="AE11" s="223">
        <f>SUM(AE4:AE10)</f>
        <v>3929385.0788659472</v>
      </c>
      <c r="AG11" s="223">
        <f>SUM(AG4:AG10)</f>
        <v>4027619.7058375953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75222</v>
      </c>
      <c r="G15" s="219">
        <f>E15*$C$14</f>
        <v>77854.76999999999</v>
      </c>
      <c r="I15" s="219">
        <f>G15*$C$14</f>
        <v>80579.686949999988</v>
      </c>
      <c r="K15" s="219">
        <f>I15*$C$14</f>
        <v>83399.975993249987</v>
      </c>
      <c r="M15" s="219">
        <f>K15*$C$14</f>
        <v>86318.975153013729</v>
      </c>
      <c r="O15" s="219">
        <f>M15*$C$14</f>
        <v>89340.139283369208</v>
      </c>
      <c r="Q15" s="219">
        <f>O15*$C$14</f>
        <v>92467.044158287128</v>
      </c>
      <c r="S15" s="219">
        <f>Q15*$C$14</f>
        <v>95703.390703827172</v>
      </c>
      <c r="U15" s="219">
        <f>S15*$C$14</f>
        <v>99053.009378461109</v>
      </c>
      <c r="W15" s="219">
        <f>U15*$C$14</f>
        <v>102519.86470670725</v>
      </c>
      <c r="Y15" s="219">
        <f>W15*$C$14</f>
        <v>106108.059971442</v>
      </c>
      <c r="AA15" s="219">
        <f>Y15*$C$14</f>
        <v>109821.84207044245</v>
      </c>
      <c r="AC15" s="219">
        <f>AA15*$C$14</f>
        <v>113665.60654290793</v>
      </c>
      <c r="AE15" s="219">
        <f>AC15*$C$14</f>
        <v>117643.90277190971</v>
      </c>
      <c r="AG15" s="219">
        <f>AE15*$C$14</f>
        <v>121761.43936892654</v>
      </c>
    </row>
    <row r="16" spans="1:34" s="210" customFormat="1" ht="14.25">
      <c r="A16" s="210" t="s">
        <v>344</v>
      </c>
      <c r="C16" s="233"/>
      <c r="E16" s="222">
        <f>Application!W849</f>
        <v>165064</v>
      </c>
      <c r="F16" s="222"/>
      <c r="G16" s="222">
        <f t="shared" ref="G16:AG21" si="1">E16*$C$14</f>
        <v>170841.24</v>
      </c>
      <c r="H16" s="222"/>
      <c r="I16" s="222">
        <f t="shared" si="1"/>
        <v>176820.68339999998</v>
      </c>
      <c r="J16" s="222"/>
      <c r="K16" s="222">
        <f t="shared" si="1"/>
        <v>183009.40731899996</v>
      </c>
      <c r="L16" s="222"/>
      <c r="M16" s="222">
        <f t="shared" si="1"/>
        <v>189414.73657516495</v>
      </c>
      <c r="N16" s="222"/>
      <c r="O16" s="222">
        <f t="shared" si="1"/>
        <v>196044.2523552957</v>
      </c>
      <c r="P16" s="222"/>
      <c r="Q16" s="222">
        <f t="shared" si="1"/>
        <v>202905.80118773103</v>
      </c>
      <c r="R16" s="222"/>
      <c r="S16" s="222">
        <f t="shared" si="1"/>
        <v>210007.50422930162</v>
      </c>
      <c r="T16" s="222"/>
      <c r="U16" s="222">
        <f t="shared" si="1"/>
        <v>217357.76687732714</v>
      </c>
      <c r="V16" s="222"/>
      <c r="W16" s="222">
        <f t="shared" si="1"/>
        <v>224965.28871803358</v>
      </c>
      <c r="X16" s="222"/>
      <c r="Y16" s="222">
        <f t="shared" si="1"/>
        <v>232839.07382316474</v>
      </c>
      <c r="Z16" s="222"/>
      <c r="AA16" s="222">
        <f t="shared" si="1"/>
        <v>240988.4414069755</v>
      </c>
      <c r="AB16" s="222"/>
      <c r="AC16" s="222">
        <f t="shared" si="1"/>
        <v>249423.03685621961</v>
      </c>
      <c r="AD16" s="222"/>
      <c r="AE16" s="222">
        <f t="shared" si="1"/>
        <v>258152.84314618728</v>
      </c>
      <c r="AF16" s="222"/>
      <c r="AG16" s="222">
        <f t="shared" si="1"/>
        <v>267188.19265630381</v>
      </c>
    </row>
    <row r="17" spans="1:33" s="210" customFormat="1" ht="14.25">
      <c r="A17" s="210" t="s">
        <v>562</v>
      </c>
      <c r="C17" s="233"/>
      <c r="E17" s="222">
        <f>Application!W855</f>
        <v>138637</v>
      </c>
      <c r="F17" s="222"/>
      <c r="G17" s="222">
        <f t="shared" si="1"/>
        <v>143489.29499999998</v>
      </c>
      <c r="H17" s="222"/>
      <c r="I17" s="222">
        <f t="shared" si="1"/>
        <v>148511.42032499998</v>
      </c>
      <c r="J17" s="222"/>
      <c r="K17" s="222">
        <f t="shared" si="1"/>
        <v>153709.32003637496</v>
      </c>
      <c r="L17" s="222"/>
      <c r="M17" s="222">
        <f t="shared" si="1"/>
        <v>159089.14623764806</v>
      </c>
      <c r="N17" s="222"/>
      <c r="O17" s="222">
        <f t="shared" si="1"/>
        <v>164657.26635596572</v>
      </c>
      <c r="P17" s="222"/>
      <c r="Q17" s="222">
        <f t="shared" si="1"/>
        <v>170420.27067842451</v>
      </c>
      <c r="R17" s="222"/>
      <c r="S17" s="222">
        <f t="shared" si="1"/>
        <v>176384.98015216936</v>
      </c>
      <c r="T17" s="222"/>
      <c r="U17" s="222">
        <f t="shared" si="1"/>
        <v>182558.45445749527</v>
      </c>
      <c r="V17" s="222"/>
      <c r="W17" s="222">
        <f t="shared" si="1"/>
        <v>188948.0003635076</v>
      </c>
      <c r="X17" s="222"/>
      <c r="Y17" s="222">
        <f t="shared" si="1"/>
        <v>195561.18037623036</v>
      </c>
      <c r="Z17" s="222"/>
      <c r="AA17" s="222">
        <f t="shared" si="1"/>
        <v>202405.82168939841</v>
      </c>
      <c r="AB17" s="222"/>
      <c r="AC17" s="222">
        <f t="shared" si="1"/>
        <v>209490.02544852733</v>
      </c>
      <c r="AD17" s="222"/>
      <c r="AE17" s="222">
        <f t="shared" si="1"/>
        <v>216822.17633922579</v>
      </c>
      <c r="AF17" s="222"/>
      <c r="AG17" s="222">
        <f t="shared" si="1"/>
        <v>224410.95251109867</v>
      </c>
    </row>
    <row r="18" spans="1:33" s="210" customFormat="1" ht="14.25">
      <c r="A18" s="210" t="s">
        <v>843</v>
      </c>
      <c r="C18" s="233"/>
      <c r="E18" s="222">
        <f>Application!W862</f>
        <v>381906</v>
      </c>
      <c r="F18" s="222"/>
      <c r="G18" s="222">
        <f t="shared" si="1"/>
        <v>395272.70999999996</v>
      </c>
      <c r="H18" s="222"/>
      <c r="I18" s="222">
        <f t="shared" si="1"/>
        <v>409107.25484999991</v>
      </c>
      <c r="J18" s="222"/>
      <c r="K18" s="222">
        <f t="shared" si="1"/>
        <v>423426.0087697499</v>
      </c>
      <c r="L18" s="222"/>
      <c r="M18" s="222">
        <f t="shared" si="1"/>
        <v>438245.91907669109</v>
      </c>
      <c r="N18" s="222"/>
      <c r="O18" s="222">
        <f t="shared" si="1"/>
        <v>453584.52624437527</v>
      </c>
      <c r="P18" s="222"/>
      <c r="Q18" s="222">
        <f t="shared" si="1"/>
        <v>469459.98466292839</v>
      </c>
      <c r="R18" s="222"/>
      <c r="S18" s="222">
        <f t="shared" si="1"/>
        <v>485891.08412613085</v>
      </c>
      <c r="T18" s="222"/>
      <c r="U18" s="222">
        <f t="shared" si="1"/>
        <v>502897.27207054541</v>
      </c>
      <c r="V18" s="222"/>
      <c r="W18" s="222">
        <f t="shared" si="1"/>
        <v>520498.67659301445</v>
      </c>
      <c r="X18" s="222"/>
      <c r="Y18" s="222">
        <f t="shared" si="1"/>
        <v>538716.13027376996</v>
      </c>
      <c r="Z18" s="222"/>
      <c r="AA18" s="222">
        <f t="shared" si="1"/>
        <v>557571.19483335188</v>
      </c>
      <c r="AB18" s="222"/>
      <c r="AC18" s="222">
        <f t="shared" si="1"/>
        <v>577086.18665251916</v>
      </c>
      <c r="AD18" s="222"/>
      <c r="AE18" s="222">
        <f t="shared" si="1"/>
        <v>597284.20318535727</v>
      </c>
      <c r="AF18" s="222"/>
      <c r="AG18" s="222">
        <f t="shared" si="1"/>
        <v>618189.15029684477</v>
      </c>
    </row>
    <row r="19" spans="1:33" s="210" customFormat="1" ht="14.25">
      <c r="A19" s="210" t="s">
        <v>155</v>
      </c>
      <c r="C19" s="233"/>
      <c r="E19" s="222">
        <f>Application!W863</f>
        <v>170400</v>
      </c>
      <c r="F19" s="222"/>
      <c r="G19" s="222">
        <f t="shared" si="1"/>
        <v>176364</v>
      </c>
      <c r="H19" s="222"/>
      <c r="I19" s="222">
        <f t="shared" si="1"/>
        <v>182536.74</v>
      </c>
      <c r="J19" s="222"/>
      <c r="K19" s="222">
        <f t="shared" si="1"/>
        <v>188925.52589999998</v>
      </c>
      <c r="L19" s="222"/>
      <c r="M19" s="222">
        <f t="shared" si="1"/>
        <v>195537.91930649997</v>
      </c>
      <c r="N19" s="222"/>
      <c r="O19" s="222">
        <f t="shared" si="1"/>
        <v>202381.74648222746</v>
      </c>
      <c r="P19" s="222"/>
      <c r="Q19" s="222">
        <f t="shared" si="1"/>
        <v>209465.10760910541</v>
      </c>
      <c r="R19" s="222"/>
      <c r="S19" s="222">
        <f t="shared" si="1"/>
        <v>216796.38637542407</v>
      </c>
      <c r="T19" s="222"/>
      <c r="U19" s="222">
        <f t="shared" si="1"/>
        <v>224384.25989856391</v>
      </c>
      <c r="V19" s="222"/>
      <c r="W19" s="222">
        <f t="shared" si="1"/>
        <v>232237.70899501361</v>
      </c>
      <c r="X19" s="222"/>
      <c r="Y19" s="222">
        <f t="shared" si="1"/>
        <v>240366.02880983907</v>
      </c>
      <c r="Z19" s="222"/>
      <c r="AA19" s="222">
        <f t="shared" si="1"/>
        <v>248778.83981818342</v>
      </c>
      <c r="AB19" s="222"/>
      <c r="AC19" s="222">
        <f t="shared" si="1"/>
        <v>257486.09921181982</v>
      </c>
      <c r="AD19" s="222"/>
      <c r="AE19" s="222">
        <f t="shared" si="1"/>
        <v>266498.11268423346</v>
      </c>
      <c r="AF19" s="222"/>
      <c r="AG19" s="222">
        <f t="shared" si="1"/>
        <v>275825.54662818159</v>
      </c>
    </row>
    <row r="20" spans="1:33" s="210" customFormat="1" ht="14.25">
      <c r="A20" s="210" t="s">
        <v>390</v>
      </c>
      <c r="C20" s="233"/>
      <c r="E20" s="222">
        <f>Application!W872</f>
        <v>174323</v>
      </c>
      <c r="F20" s="222"/>
      <c r="G20" s="222">
        <f t="shared" si="1"/>
        <v>180424.30499999999</v>
      </c>
      <c r="H20" s="222"/>
      <c r="I20" s="222">
        <f t="shared" si="1"/>
        <v>186739.15567499999</v>
      </c>
      <c r="J20" s="222"/>
      <c r="K20" s="222">
        <f t="shared" si="1"/>
        <v>193275.02612362496</v>
      </c>
      <c r="L20" s="222"/>
      <c r="M20" s="222">
        <f t="shared" si="1"/>
        <v>200039.65203795183</v>
      </c>
      <c r="N20" s="222"/>
      <c r="O20" s="222">
        <f t="shared" si="1"/>
        <v>207041.03985928014</v>
      </c>
      <c r="P20" s="222"/>
      <c r="Q20" s="222">
        <f t="shared" si="1"/>
        <v>214287.47625435493</v>
      </c>
      <c r="R20" s="222"/>
      <c r="S20" s="222">
        <f t="shared" si="1"/>
        <v>221787.53792325733</v>
      </c>
      <c r="T20" s="222"/>
      <c r="U20" s="222">
        <f t="shared" si="1"/>
        <v>229550.10175057131</v>
      </c>
      <c r="V20" s="222"/>
      <c r="W20" s="222">
        <f t="shared" si="1"/>
        <v>237584.3553118413</v>
      </c>
      <c r="X20" s="222"/>
      <c r="Y20" s="222">
        <f t="shared" si="1"/>
        <v>245899.80774775572</v>
      </c>
      <c r="Z20" s="222"/>
      <c r="AA20" s="222">
        <f t="shared" si="1"/>
        <v>254506.30101892716</v>
      </c>
      <c r="AB20" s="222"/>
      <c r="AC20" s="222">
        <f t="shared" si="1"/>
        <v>263414.02155458956</v>
      </c>
      <c r="AD20" s="222"/>
      <c r="AE20" s="222">
        <f t="shared" si="1"/>
        <v>272633.51230900019</v>
      </c>
      <c r="AF20" s="222"/>
      <c r="AG20" s="222">
        <f t="shared" si="1"/>
        <v>282175.68523981515</v>
      </c>
    </row>
    <row r="21" spans="1:33" s="210" customFormat="1" ht="14.25">
      <c r="A21" s="226" t="s">
        <v>963</v>
      </c>
      <c r="B21" s="226"/>
      <c r="C21" s="233"/>
      <c r="E21" s="232">
        <f>Application!W879</f>
        <v>2242</v>
      </c>
      <c r="F21" s="222"/>
      <c r="G21" s="232">
        <f t="shared" si="1"/>
        <v>2320.4699999999998</v>
      </c>
      <c r="H21" s="222"/>
      <c r="I21" s="232">
        <f t="shared" si="1"/>
        <v>2401.6864499999997</v>
      </c>
      <c r="J21" s="222"/>
      <c r="K21" s="232">
        <f t="shared" si="1"/>
        <v>2485.7454757499995</v>
      </c>
      <c r="L21" s="222"/>
      <c r="M21" s="232">
        <f t="shared" si="1"/>
        <v>2572.7465674012492</v>
      </c>
      <c r="N21" s="222"/>
      <c r="O21" s="232">
        <f t="shared" si="1"/>
        <v>2662.7926972602927</v>
      </c>
      <c r="P21" s="222"/>
      <c r="Q21" s="232">
        <f t="shared" si="1"/>
        <v>2755.9904416644026</v>
      </c>
      <c r="R21" s="222"/>
      <c r="S21" s="232">
        <f t="shared" si="1"/>
        <v>2852.4501071226564</v>
      </c>
      <c r="T21" s="222"/>
      <c r="U21" s="232">
        <f t="shared" si="1"/>
        <v>2952.2858608719494</v>
      </c>
      <c r="V21" s="222"/>
      <c r="W21" s="232">
        <f t="shared" si="1"/>
        <v>3055.6158660024676</v>
      </c>
      <c r="X21" s="222"/>
      <c r="Y21" s="232">
        <f t="shared" si="1"/>
        <v>3162.5624213125539</v>
      </c>
      <c r="Z21" s="222"/>
      <c r="AA21" s="232">
        <f t="shared" si="1"/>
        <v>3273.2521060584932</v>
      </c>
      <c r="AB21" s="222"/>
      <c r="AC21" s="232">
        <f t="shared" si="1"/>
        <v>3387.8159297705402</v>
      </c>
      <c r="AD21" s="222"/>
      <c r="AE21" s="232">
        <f t="shared" si="1"/>
        <v>3506.3894873125087</v>
      </c>
      <c r="AF21" s="222"/>
      <c r="AG21" s="232">
        <f t="shared" si="1"/>
        <v>3629.1131193684464</v>
      </c>
    </row>
    <row r="22" spans="1:33" s="223" customFormat="1" ht="15">
      <c r="A22" s="223" t="s">
        <v>844</v>
      </c>
      <c r="C22" s="233"/>
      <c r="E22" s="223">
        <f>SUM(E15:E21)</f>
        <v>1107794</v>
      </c>
      <c r="G22" s="223">
        <f>SUM(G15:G21)</f>
        <v>1146566.7899999998</v>
      </c>
      <c r="I22" s="223">
        <f>SUM(I15:I21)</f>
        <v>1186696.6276499997</v>
      </c>
      <c r="K22" s="223">
        <f>SUM(K15:K21)</f>
        <v>1228231.0096177498</v>
      </c>
      <c r="M22" s="223">
        <f>SUM(M15:M21)</f>
        <v>1271219.094954371</v>
      </c>
      <c r="O22" s="223">
        <f>SUM(O15:O21)</f>
        <v>1315711.763277774</v>
      </c>
      <c r="Q22" s="223">
        <f>SUM(Q15:Q21)</f>
        <v>1361761.6749924957</v>
      </c>
      <c r="S22" s="223">
        <f>SUM(S15:S21)</f>
        <v>1409423.3336172332</v>
      </c>
      <c r="U22" s="223">
        <f>SUM(U15:U21)</f>
        <v>1458753.1502938359</v>
      </c>
      <c r="W22" s="223">
        <f>SUM(W15:W21)</f>
        <v>1509809.5105541202</v>
      </c>
      <c r="Y22" s="223">
        <f>SUM(Y15:Y21)</f>
        <v>1562652.8434235144</v>
      </c>
      <c r="AA22" s="223">
        <f>SUM(AA15:AA21)</f>
        <v>1617345.6929433374</v>
      </c>
      <c r="AC22" s="223">
        <f>SUM(AC15:AC21)</f>
        <v>1673952.7921963537</v>
      </c>
      <c r="AE22" s="223">
        <f>SUM(AE15:AE21)</f>
        <v>1732541.1399232261</v>
      </c>
      <c r="AG22" s="223">
        <f>SUM(AG15:AG21)</f>
        <v>1793180.0798205391</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40162</v>
      </c>
      <c r="F27" s="222"/>
      <c r="G27" s="222">
        <f>E27*$C$27</f>
        <v>41567.67</v>
      </c>
      <c r="H27" s="222"/>
      <c r="I27" s="222">
        <f>G27*$C$27</f>
        <v>43022.538449999993</v>
      </c>
      <c r="J27" s="222"/>
      <c r="K27" s="222">
        <f>I27*$C$27</f>
        <v>44528.327295749987</v>
      </c>
      <c r="L27" s="222"/>
      <c r="M27" s="222">
        <f>K27*$C$27</f>
        <v>46086.818751101229</v>
      </c>
      <c r="N27" s="222"/>
      <c r="O27" s="222">
        <f>M27*$C$27</f>
        <v>47699.857407389769</v>
      </c>
      <c r="P27" s="222"/>
      <c r="Q27" s="222">
        <f>O27*$C$27</f>
        <v>49369.352416648406</v>
      </c>
      <c r="R27" s="222"/>
      <c r="S27" s="222">
        <f>Q27*$C$27</f>
        <v>51097.279751231094</v>
      </c>
      <c r="T27" s="222"/>
      <c r="U27" s="222">
        <f>S27*$C$27</f>
        <v>52885.684542524177</v>
      </c>
      <c r="V27" s="222"/>
      <c r="W27" s="222">
        <f>U27*$C$27</f>
        <v>54736.683501512518</v>
      </c>
      <c r="X27" s="222"/>
      <c r="Y27" s="222">
        <f>W27*$C$27</f>
        <v>56652.467424065449</v>
      </c>
      <c r="Z27" s="222"/>
      <c r="AA27" s="222">
        <f>Y27*$C$27</f>
        <v>58635.303783907737</v>
      </c>
      <c r="AB27" s="222"/>
      <c r="AC27" s="222">
        <f>AA27*$C$27</f>
        <v>60687.539416344502</v>
      </c>
      <c r="AD27" s="222"/>
      <c r="AE27" s="222">
        <f>AC27*$C$27</f>
        <v>62811.603295916553</v>
      </c>
      <c r="AF27" s="222"/>
      <c r="AG27" s="222">
        <f>AE27*$C$27</f>
        <v>65010.009411273626</v>
      </c>
    </row>
    <row r="28" spans="1:33" s="210" customFormat="1" ht="14.25">
      <c r="A28" s="210" t="s">
        <v>847</v>
      </c>
      <c r="C28" s="237"/>
      <c r="E28" s="222">
        <f>Application!AC889</f>
        <v>71000</v>
      </c>
      <c r="F28" s="222"/>
      <c r="G28" s="222">
        <f>$E$28</f>
        <v>71000</v>
      </c>
      <c r="H28" s="222"/>
      <c r="I28" s="222">
        <f>$E$28</f>
        <v>71000</v>
      </c>
      <c r="J28" s="222"/>
      <c r="K28" s="222">
        <f>$E$28</f>
        <v>71000</v>
      </c>
      <c r="L28" s="222"/>
      <c r="M28" s="222">
        <f>$E$28</f>
        <v>71000</v>
      </c>
      <c r="N28" s="222"/>
      <c r="O28" s="222">
        <f>$E$28</f>
        <v>71000</v>
      </c>
      <c r="P28" s="222"/>
      <c r="Q28" s="222">
        <f>$E$28</f>
        <v>71000</v>
      </c>
      <c r="R28" s="222"/>
      <c r="S28" s="222">
        <f>$E$28</f>
        <v>71000</v>
      </c>
      <c r="T28" s="222"/>
      <c r="U28" s="222">
        <f>$E$28</f>
        <v>71000</v>
      </c>
      <c r="V28" s="222"/>
      <c r="W28" s="222">
        <f>$E$28</f>
        <v>71000</v>
      </c>
      <c r="X28" s="222"/>
      <c r="Y28" s="222">
        <f>$E$28</f>
        <v>71000</v>
      </c>
      <c r="Z28" s="222"/>
      <c r="AA28" s="222">
        <f>$E$28</f>
        <v>71000</v>
      </c>
      <c r="AB28" s="222"/>
      <c r="AC28" s="222">
        <f>$E$28</f>
        <v>71000</v>
      </c>
      <c r="AD28" s="222"/>
      <c r="AE28" s="222">
        <f>$E$28</f>
        <v>71000</v>
      </c>
      <c r="AF28" s="222"/>
      <c r="AG28" s="222">
        <f>$E$28</f>
        <v>71000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1218956</v>
      </c>
      <c r="G35" s="223">
        <f>SUM(G22:G33)</f>
        <v>1259134.4599999997</v>
      </c>
      <c r="I35" s="223">
        <f>SUM(I22:I33)</f>
        <v>1300719.1660999996</v>
      </c>
      <c r="K35" s="223">
        <f>SUM(K22:K33)</f>
        <v>1343759.3369134997</v>
      </c>
      <c r="M35" s="223">
        <f>SUM(M22:M33)</f>
        <v>1388305.9137054721</v>
      </c>
      <c r="O35" s="223">
        <f>SUM(O22:O33)</f>
        <v>1434411.6206851637</v>
      </c>
      <c r="Q35" s="223">
        <f>SUM(Q22:Q33)</f>
        <v>1482131.027409144</v>
      </c>
      <c r="S35" s="223">
        <f>SUM(S22:S33)</f>
        <v>1531520.6133684644</v>
      </c>
      <c r="U35" s="223">
        <f>SUM(U22:U33)</f>
        <v>1582638.8348363601</v>
      </c>
      <c r="W35" s="223">
        <f>SUM(W22:W33)</f>
        <v>1635546.1940556327</v>
      </c>
      <c r="Y35" s="223">
        <f>SUM(Y22:Y33)</f>
        <v>1690305.3108475797</v>
      </c>
      <c r="AA35" s="223">
        <f>SUM(AA22:AA33)</f>
        <v>1746980.9967272452</v>
      </c>
      <c r="AC35" s="223">
        <f>SUM(AC22:AC33)</f>
        <v>1805640.3316126983</v>
      </c>
      <c r="AE35" s="223">
        <f>SUM(AE22:AE33)</f>
        <v>1866352.7432191425</v>
      </c>
      <c r="AG35" s="223">
        <f>SUM(AG22:AG33)</f>
        <v>1929190.0892318126</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1631500</v>
      </c>
      <c r="G37" s="223">
        <f>G11-G35</f>
        <v>1662582.9399999997</v>
      </c>
      <c r="I37" s="223">
        <f>I11-I35</f>
        <v>1694041.1688999995</v>
      </c>
      <c r="K37" s="223">
        <f>K11-K35</f>
        <v>1725870.0064614995</v>
      </c>
      <c r="M37" s="223">
        <f>M11-M35</f>
        <v>1758064.1632539018</v>
      </c>
      <c r="O37" s="223">
        <f>O11-O35</f>
        <v>1790617.7081981946</v>
      </c>
      <c r="Q37" s="223">
        <f>Q11-Q35</f>
        <v>1823524.0346962975</v>
      </c>
      <c r="S37" s="223">
        <f>S11-S35</f>
        <v>1856775.8252896129</v>
      </c>
      <c r="U37" s="223">
        <f>U11-U35</f>
        <v>1890365.0147881689</v>
      </c>
      <c r="W37" s="223">
        <f>W11-W35</f>
        <v>1924282.7518095095</v>
      </c>
      <c r="Y37" s="223">
        <f>Y11-Y35</f>
        <v>1958519.3586641902</v>
      </c>
      <c r="AA37" s="223">
        <f>AA11-AA35</f>
        <v>1993064.2895223184</v>
      </c>
      <c r="AC37" s="223">
        <f>AC11-AC35</f>
        <v>2027906.0867931047</v>
      </c>
      <c r="AE37" s="223">
        <f>AE11-AE35</f>
        <v>2063032.3356468047</v>
      </c>
      <c r="AG37" s="223">
        <f>AG11-AG35</f>
        <v>2098429.6166057829</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R4 Capital Permanent Loan</v>
      </c>
      <c r="B40" s="226"/>
      <c r="C40" s="220"/>
      <c r="E40" s="222">
        <f>Application!AF627</f>
        <v>1419122</v>
      </c>
      <c r="F40" s="222"/>
      <c r="G40" s="222">
        <f>$E$40</f>
        <v>1419122</v>
      </c>
      <c r="H40" s="222"/>
      <c r="I40" s="222">
        <f>$E$40</f>
        <v>1419122</v>
      </c>
      <c r="J40" s="222"/>
      <c r="K40" s="222">
        <f>$E$40</f>
        <v>1419122</v>
      </c>
      <c r="L40" s="222"/>
      <c r="M40" s="222">
        <f>$E$40</f>
        <v>1419122</v>
      </c>
      <c r="N40" s="222"/>
      <c r="O40" s="222">
        <f>$E$40</f>
        <v>1419122</v>
      </c>
      <c r="P40" s="222"/>
      <c r="Q40" s="222">
        <f>$E$40</f>
        <v>1419122</v>
      </c>
      <c r="R40" s="222"/>
      <c r="S40" s="222">
        <f>$E$40</f>
        <v>1419122</v>
      </c>
      <c r="T40" s="222"/>
      <c r="U40" s="222">
        <f>$E$40</f>
        <v>1419122</v>
      </c>
      <c r="V40" s="222"/>
      <c r="W40" s="222">
        <f>$E$40</f>
        <v>1419122</v>
      </c>
      <c r="X40" s="222"/>
      <c r="Y40" s="222">
        <f>$E$40</f>
        <v>1419122</v>
      </c>
      <c r="Z40" s="222"/>
      <c r="AA40" s="222">
        <f>$E$40</f>
        <v>1419122</v>
      </c>
      <c r="AB40" s="222"/>
      <c r="AC40" s="222">
        <f>$E$40</f>
        <v>1419122</v>
      </c>
      <c r="AD40" s="222"/>
      <c r="AE40" s="222">
        <f>$E$40</f>
        <v>1419122</v>
      </c>
      <c r="AF40" s="222"/>
      <c r="AG40" s="222">
        <f>$E$40</f>
        <v>1419122</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1419122</v>
      </c>
      <c r="G43" s="223">
        <f>SUM(G40:G42)</f>
        <v>1419122</v>
      </c>
      <c r="I43" s="223">
        <f>SUM(I40:I42)</f>
        <v>1419122</v>
      </c>
      <c r="K43" s="223">
        <f>SUM(K40:K42)</f>
        <v>1419122</v>
      </c>
      <c r="M43" s="223">
        <f>SUM(M40:M42)</f>
        <v>1419122</v>
      </c>
      <c r="O43" s="223">
        <f>SUM(O40:O42)</f>
        <v>1419122</v>
      </c>
      <c r="Q43" s="223">
        <f>SUM(Q40:Q42)</f>
        <v>1419122</v>
      </c>
      <c r="S43" s="223">
        <f>SUM(S40:S42)</f>
        <v>1419122</v>
      </c>
      <c r="U43" s="223">
        <f>SUM(U40:U42)</f>
        <v>1419122</v>
      </c>
      <c r="W43" s="223">
        <f>SUM(W40:W42)</f>
        <v>1419122</v>
      </c>
      <c r="Y43" s="223">
        <f>SUM(Y40:Y42)</f>
        <v>1419122</v>
      </c>
      <c r="AA43" s="223">
        <f>SUM(AA40:AA42)</f>
        <v>1419122</v>
      </c>
      <c r="AC43" s="223">
        <f>SUM(AC40:AC42)</f>
        <v>1419122</v>
      </c>
      <c r="AE43" s="223">
        <f>SUM(AE40:AE42)</f>
        <v>1419122</v>
      </c>
      <c r="AG43" s="223">
        <f>SUM(AG40:AG42)</f>
        <v>1419122</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212378</v>
      </c>
      <c r="G45" s="223">
        <f>G37-G43</f>
        <v>243460.93999999971</v>
      </c>
      <c r="I45" s="223">
        <f>I37-I43</f>
        <v>274919.16889999947</v>
      </c>
      <c r="K45" s="223">
        <f>K37-K43</f>
        <v>306748.00646149949</v>
      </c>
      <c r="M45" s="223">
        <f>M37-M43</f>
        <v>338942.16325390176</v>
      </c>
      <c r="O45" s="223">
        <f>O37-O43</f>
        <v>371495.70819819462</v>
      </c>
      <c r="Q45" s="223">
        <f>Q37-Q43</f>
        <v>404402.03469629749</v>
      </c>
      <c r="S45" s="223">
        <f>S37-S43</f>
        <v>437653.82528961287</v>
      </c>
      <c r="U45" s="223">
        <f>U37-U43</f>
        <v>471243.01478816895</v>
      </c>
      <c r="W45" s="223">
        <f>W37-W43</f>
        <v>505160.75180950947</v>
      </c>
      <c r="Y45" s="223">
        <f>Y37-Y43</f>
        <v>539397.35866419016</v>
      </c>
      <c r="AA45" s="223">
        <f>AA37-AA43</f>
        <v>573942.2895223184</v>
      </c>
      <c r="AC45" s="223">
        <f>AC37-AC43</f>
        <v>608784.08679310465</v>
      </c>
      <c r="AE45" s="223">
        <f>AE37-AE43</f>
        <v>643910.33564680465</v>
      </c>
      <c r="AG45" s="223">
        <f>AG37-AG43</f>
        <v>679307.61660578288</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7.0781341652002353E-2</v>
      </c>
      <c r="G47" s="227">
        <f>G45/(G4+G6+G8)</f>
        <v>7.916162357112283E-2</v>
      </c>
      <c r="I47" s="227">
        <f>I45/(I4+I6+I8)</f>
        <v>8.7210053974152005E-2</v>
      </c>
      <c r="K47" s="227">
        <f>K45/(K4+K6+K8)</f>
        <v>9.4933483342983724E-2</v>
      </c>
      <c r="M47" s="227">
        <f>M45/(M4+M6+M8)</f>
        <v>0.10233858294329447</v>
      </c>
      <c r="O47" s="227">
        <f>O45/(O4+O6+O8)</f>
        <v>0.10943184907731711</v>
      </c>
      <c r="Q47" s="227">
        <f>Q45/(Q4+Q6+Q8)</f>
        <v>0.11621960723173247</v>
      </c>
      <c r="S47" s="227">
        <f>S45/(S4+S6+S8)</f>
        <v>0.12270801612322824</v>
      </c>
      <c r="U47" s="227">
        <f>U45/(U4+U6+U8)</f>
        <v>0.12890307164420789</v>
      </c>
      <c r="W47" s="227">
        <f>W45/(W4+W6+W8)</f>
        <v>0.13481061071107273</v>
      </c>
      <c r="Y47" s="227">
        <f>Y45/(Y4+Y6+Y8)</f>
        <v>0.1404363150174453</v>
      </c>
      <c r="AA47" s="227">
        <f>AA45/(AA4+AA6+AA8)</f>
        <v>0.14578571469463744</v>
      </c>
      <c r="AC47" s="227">
        <f>AC45/(AC4+AC6+AC8)</f>
        <v>0.1508641918816146</v>
      </c>
      <c r="AE47" s="227">
        <f>AE45/(AE4+AE6+AE8)</f>
        <v>0.15567698420665108</v>
      </c>
      <c r="AG47" s="227">
        <f>AG45/(AG4+AG6+AG8)</f>
        <v>0.16022918818282184</v>
      </c>
    </row>
    <row r="48" spans="1:33" s="227" customFormat="1" ht="14.25">
      <c r="A48" s="227" t="s">
        <v>853</v>
      </c>
      <c r="C48" s="220"/>
      <c r="E48" s="227">
        <f>E45/E43</f>
        <v>0.14965450468670066</v>
      </c>
      <c r="G48" s="227">
        <f>G45/G43</f>
        <v>0.17155744185489316</v>
      </c>
      <c r="I48" s="227">
        <f>I45/I43</f>
        <v>0.19372483049378381</v>
      </c>
      <c r="K48" s="227">
        <f>K45/K43</f>
        <v>0.21615337262159243</v>
      </c>
      <c r="M48" s="227">
        <f>M45/M43</f>
        <v>0.23883934098259471</v>
      </c>
      <c r="O48" s="227">
        <f>O45/O43</f>
        <v>0.26177855617642082</v>
      </c>
      <c r="Q48" s="227">
        <f>Q45/Q43</f>
        <v>0.28496636279072374</v>
      </c>
      <c r="S48" s="227">
        <f>S45/S43</f>
        <v>0.30839760449743775</v>
      </c>
      <c r="U48" s="227">
        <f>U45/U43</f>
        <v>0.33206659807132083</v>
      </c>
      <c r="W48" s="227">
        <f>W45/W43</f>
        <v>0.35596710628790862</v>
      </c>
      <c r="Y48" s="227">
        <f>Y45/Y43</f>
        <v>0.38009230965638624</v>
      </c>
      <c r="AA48" s="227">
        <f>AA45/AA43</f>
        <v>0.40443477694117802</v>
      </c>
      <c r="AC48" s="227">
        <f>AC45/AC43</f>
        <v>0.42898643442431633</v>
      </c>
      <c r="AE48" s="227">
        <f>AE45/AE43</f>
        <v>0.45373853385882584</v>
      </c>
      <c r="AG48" s="227">
        <f>AG45/AG43</f>
        <v>0.47868161906149215</v>
      </c>
    </row>
    <row r="49" spans="1:34" s="228" customFormat="1" ht="14.25">
      <c r="A49" s="228" t="s">
        <v>851</v>
      </c>
      <c r="C49" s="229"/>
      <c r="E49" s="228">
        <f>E37/E43</f>
        <v>1.1496545046867006</v>
      </c>
      <c r="G49" s="228">
        <f>G37/G43</f>
        <v>1.1715574418548931</v>
      </c>
      <c r="I49" s="228">
        <f>I37/I43</f>
        <v>1.1937248304937838</v>
      </c>
      <c r="K49" s="228">
        <f>K37/K43</f>
        <v>1.2161533726215925</v>
      </c>
      <c r="M49" s="228">
        <f>M37/M43</f>
        <v>1.2388393409825946</v>
      </c>
      <c r="O49" s="228">
        <f>O37/O43</f>
        <v>1.2617785561764208</v>
      </c>
      <c r="Q49" s="228">
        <f>Q37/Q43</f>
        <v>1.2849663627907237</v>
      </c>
      <c r="S49" s="228">
        <f>S37/S43</f>
        <v>1.3083976044974377</v>
      </c>
      <c r="U49" s="228">
        <f>U37/U43</f>
        <v>1.3320665980713209</v>
      </c>
      <c r="W49" s="228">
        <f>W37/W43</f>
        <v>1.3559671062879086</v>
      </c>
      <c r="Y49" s="228">
        <f>Y37/Y43</f>
        <v>1.3800923096563862</v>
      </c>
      <c r="AA49" s="228">
        <f>AA37/AA43</f>
        <v>1.404434776941178</v>
      </c>
      <c r="AC49" s="228">
        <f>AC37/AC43</f>
        <v>1.4289864344243164</v>
      </c>
      <c r="AE49" s="228">
        <f>AE37/AE43</f>
        <v>1.4537385338588258</v>
      </c>
      <c r="AG49" s="228">
        <f>AG37/AG43</f>
        <v>1.4786816190614922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3" t="s">
        <v>1185</v>
      </c>
      <c r="B52" s="2693"/>
      <c r="C52" s="2693"/>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2">E54*$C$53</f>
        <v>0</v>
      </c>
      <c r="H54" s="960"/>
      <c r="I54" s="960">
        <f t="shared" si="2"/>
        <v>0</v>
      </c>
      <c r="J54" s="960"/>
      <c r="K54" s="960">
        <f t="shared" si="2"/>
        <v>0</v>
      </c>
      <c r="L54" s="960"/>
      <c r="M54" s="960">
        <f t="shared" si="2"/>
        <v>0</v>
      </c>
      <c r="N54" s="960"/>
      <c r="O54" s="960">
        <f t="shared" si="2"/>
        <v>0</v>
      </c>
      <c r="P54" s="960"/>
      <c r="Q54" s="960">
        <f t="shared" si="2"/>
        <v>0</v>
      </c>
      <c r="R54" s="960"/>
      <c r="S54" s="960">
        <f t="shared" si="2"/>
        <v>0</v>
      </c>
      <c r="T54" s="960"/>
      <c r="U54" s="960">
        <f t="shared" si="2"/>
        <v>0</v>
      </c>
      <c r="V54" s="960"/>
      <c r="W54" s="960">
        <f t="shared" si="2"/>
        <v>0</v>
      </c>
      <c r="X54" s="960"/>
      <c r="Y54" s="960">
        <f t="shared" si="2"/>
        <v>0</v>
      </c>
      <c r="Z54" s="960"/>
      <c r="AA54" s="960">
        <f t="shared" si="2"/>
        <v>0</v>
      </c>
      <c r="AB54" s="960"/>
      <c r="AC54" s="960">
        <f t="shared" si="2"/>
        <v>0</v>
      </c>
      <c r="AD54" s="960"/>
      <c r="AE54" s="960">
        <f t="shared" si="2"/>
        <v>0</v>
      </c>
      <c r="AF54" s="960"/>
      <c r="AG54" s="960">
        <f t="shared" si="2"/>
        <v>0</v>
      </c>
      <c r="AH54" s="960"/>
    </row>
    <row r="55" spans="1:34" s="3" customFormat="1">
      <c r="A55" s="3" t="s">
        <v>857</v>
      </c>
      <c r="C55" s="958"/>
      <c r="E55" s="965"/>
      <c r="F55" s="960"/>
      <c r="G55" s="960">
        <f t="shared" si="2"/>
        <v>0</v>
      </c>
      <c r="H55" s="960"/>
      <c r="I55" s="960">
        <f t="shared" si="2"/>
        <v>0</v>
      </c>
      <c r="J55" s="960"/>
      <c r="K55" s="960">
        <f t="shared" si="2"/>
        <v>0</v>
      </c>
      <c r="L55" s="960"/>
      <c r="M55" s="960">
        <f t="shared" si="2"/>
        <v>0</v>
      </c>
      <c r="N55" s="960"/>
      <c r="O55" s="960">
        <f t="shared" si="2"/>
        <v>0</v>
      </c>
      <c r="P55" s="960"/>
      <c r="Q55" s="960">
        <f t="shared" si="2"/>
        <v>0</v>
      </c>
      <c r="R55" s="960"/>
      <c r="S55" s="960">
        <f t="shared" si="2"/>
        <v>0</v>
      </c>
      <c r="T55" s="960"/>
      <c r="U55" s="960">
        <f t="shared" si="2"/>
        <v>0</v>
      </c>
      <c r="V55" s="960"/>
      <c r="W55" s="960">
        <f t="shared" si="2"/>
        <v>0</v>
      </c>
      <c r="X55" s="960"/>
      <c r="Y55" s="960">
        <f t="shared" si="2"/>
        <v>0</v>
      </c>
      <c r="Z55" s="960"/>
      <c r="AA55" s="960">
        <f t="shared" si="2"/>
        <v>0</v>
      </c>
      <c r="AB55" s="960"/>
      <c r="AC55" s="960">
        <f t="shared" si="2"/>
        <v>0</v>
      </c>
      <c r="AD55" s="960"/>
      <c r="AE55" s="960">
        <f t="shared" si="2"/>
        <v>0</v>
      </c>
      <c r="AF55" s="960"/>
      <c r="AG55" s="960">
        <f t="shared" si="2"/>
        <v>0</v>
      </c>
      <c r="AH55" s="960"/>
    </row>
    <row r="56" spans="1:34" s="3" customFormat="1">
      <c r="A56" s="966"/>
      <c r="B56" s="966"/>
      <c r="C56" s="958"/>
      <c r="E56" s="965"/>
      <c r="F56" s="960"/>
      <c r="G56" s="960">
        <f t="shared" si="2"/>
        <v>0</v>
      </c>
      <c r="H56" s="960"/>
      <c r="I56" s="960">
        <f t="shared" si="2"/>
        <v>0</v>
      </c>
      <c r="J56" s="960"/>
      <c r="K56" s="960">
        <f t="shared" si="2"/>
        <v>0</v>
      </c>
      <c r="L56" s="960"/>
      <c r="M56" s="960">
        <f t="shared" si="2"/>
        <v>0</v>
      </c>
      <c r="N56" s="960"/>
      <c r="O56" s="960">
        <f t="shared" si="2"/>
        <v>0</v>
      </c>
      <c r="P56" s="960"/>
      <c r="Q56" s="960">
        <f t="shared" si="2"/>
        <v>0</v>
      </c>
      <c r="R56" s="960"/>
      <c r="S56" s="960">
        <f t="shared" si="2"/>
        <v>0</v>
      </c>
      <c r="T56" s="960"/>
      <c r="U56" s="960">
        <f t="shared" si="2"/>
        <v>0</v>
      </c>
      <c r="V56" s="960"/>
      <c r="W56" s="960">
        <f t="shared" si="2"/>
        <v>0</v>
      </c>
      <c r="X56" s="960"/>
      <c r="Y56" s="960">
        <f t="shared" si="2"/>
        <v>0</v>
      </c>
      <c r="Z56" s="960"/>
      <c r="AA56" s="960">
        <f t="shared" si="2"/>
        <v>0</v>
      </c>
      <c r="AB56" s="960"/>
      <c r="AC56" s="960">
        <f t="shared" si="2"/>
        <v>0</v>
      </c>
      <c r="AD56" s="960"/>
      <c r="AE56" s="960">
        <f t="shared" si="2"/>
        <v>0</v>
      </c>
      <c r="AF56" s="960"/>
      <c r="AG56" s="960">
        <f t="shared" si="2"/>
        <v>0</v>
      </c>
      <c r="AH56" s="960"/>
    </row>
    <row r="57" spans="1:34" s="3" customFormat="1">
      <c r="A57" s="966"/>
      <c r="B57" s="966"/>
      <c r="C57" s="958"/>
      <c r="E57" s="967"/>
      <c r="F57" s="960"/>
      <c r="G57" s="968">
        <f t="shared" si="2"/>
        <v>0</v>
      </c>
      <c r="H57" s="960"/>
      <c r="I57" s="968">
        <f t="shared" si="2"/>
        <v>0</v>
      </c>
      <c r="J57" s="960"/>
      <c r="K57" s="968">
        <f t="shared" si="2"/>
        <v>0</v>
      </c>
      <c r="L57" s="960"/>
      <c r="M57" s="968">
        <f t="shared" si="2"/>
        <v>0</v>
      </c>
      <c r="N57" s="960"/>
      <c r="O57" s="968">
        <f t="shared" si="2"/>
        <v>0</v>
      </c>
      <c r="P57" s="960"/>
      <c r="Q57" s="968">
        <f t="shared" si="2"/>
        <v>0</v>
      </c>
      <c r="R57" s="960"/>
      <c r="S57" s="968">
        <f t="shared" si="2"/>
        <v>0</v>
      </c>
      <c r="T57" s="960"/>
      <c r="U57" s="968">
        <f t="shared" si="2"/>
        <v>0</v>
      </c>
      <c r="V57" s="960"/>
      <c r="W57" s="968">
        <f t="shared" si="2"/>
        <v>0</v>
      </c>
      <c r="X57" s="960"/>
      <c r="Y57" s="968">
        <f t="shared" si="2"/>
        <v>0</v>
      </c>
      <c r="Z57" s="960"/>
      <c r="AA57" s="968">
        <f t="shared" si="2"/>
        <v>0</v>
      </c>
      <c r="AB57" s="960"/>
      <c r="AC57" s="968">
        <f t="shared" si="2"/>
        <v>0</v>
      </c>
      <c r="AD57" s="960"/>
      <c r="AE57" s="968">
        <f t="shared" si="2"/>
        <v>0</v>
      </c>
      <c r="AF57" s="960"/>
      <c r="AG57" s="968">
        <f t="shared" si="2"/>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212378</v>
      </c>
      <c r="G60" s="962">
        <f>G45-G58</f>
        <v>243460.93999999971</v>
      </c>
      <c r="I60" s="962">
        <f>I45-I58</f>
        <v>274919.16889999947</v>
      </c>
      <c r="K60" s="962">
        <f>K45-K58</f>
        <v>306748.00646149949</v>
      </c>
      <c r="M60" s="962">
        <f>M45-M58</f>
        <v>338942.16325390176</v>
      </c>
      <c r="O60" s="962">
        <f>O45-O58</f>
        <v>371495.70819819462</v>
      </c>
      <c r="Q60" s="962">
        <f>Q45-Q58</f>
        <v>404402.03469629749</v>
      </c>
      <c r="S60" s="962">
        <f>S45-S58</f>
        <v>437653.82528961287</v>
      </c>
      <c r="U60" s="962">
        <f>U45-U58</f>
        <v>471243.01478816895</v>
      </c>
      <c r="W60" s="962">
        <f>W45-W58</f>
        <v>505160.75180950947</v>
      </c>
      <c r="Y60" s="962">
        <f>Y45-Y58</f>
        <v>539397.35866419016</v>
      </c>
      <c r="AA60" s="962">
        <f>AA45-AA58</f>
        <v>573942.2895223184</v>
      </c>
      <c r="AC60" s="962">
        <f>AC45-AC58</f>
        <v>608784.08679310465</v>
      </c>
      <c r="AE60" s="962">
        <f>AE45-AE58</f>
        <v>643910.33564680465</v>
      </c>
      <c r="AG60" s="962">
        <f>AG45-AG58</f>
        <v>679307.61660578288</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v>
      </c>
      <c r="E62" s="964"/>
      <c r="G62" s="962">
        <f>IF(SUM(G60*$C$62,$E$62:E62)&lt;=Application!$AO$629,G60*$C$62,Application!$AO$629-SUM($E$62:E62))</f>
        <v>0</v>
      </c>
      <c r="I62" s="962">
        <f>IF(SUM(I60*$C$62,$E$62:G62)&lt;=Application!$AO$629,I60*$C$62,Application!$AO$629-SUM($E$62:G62))</f>
        <v>0</v>
      </c>
      <c r="K62" s="962">
        <f>IF(SUM(K60*$C$62,$E$62:I62)&lt;=Application!$AO$629,K60*$C$62,Application!$AO$629-SUM($E$62:I62))</f>
        <v>0</v>
      </c>
      <c r="M62" s="962">
        <f>IF(SUM(M60*$C$62,$E$62:K62)&lt;=Application!$AO$629,M60*$C$62,Application!$AO$629-SUM($E$62:K62))</f>
        <v>0</v>
      </c>
      <c r="O62" s="962">
        <f>IF(SUM(O60*$C$62,$E$62:M62)&lt;=Application!$AO$629,O60*$C$62,Application!$AO$629-SUM($E$62:M62))</f>
        <v>0</v>
      </c>
      <c r="Q62" s="962">
        <f>IF(SUM(Q60*$C$62,$E$62:O62)&lt;=Application!$AO$629,Q60*$C$62,Application!$AO$629-SUM($E$62:O62))</f>
        <v>0</v>
      </c>
      <c r="S62" s="962">
        <f>IF(SUM(S60*$C$62,$E$62:Q62)&lt;=Application!$AO$629,S60*$C$62,Application!$AO$629-SUM($E$62:Q62))</f>
        <v>0</v>
      </c>
      <c r="U62" s="962">
        <f>IF(SUM(U60*$C$62,$E$62:S62)&lt;=Application!$AO$629,U60*$C$62,Application!$AO$629-SUM($E$62:S62))</f>
        <v>0</v>
      </c>
      <c r="W62" s="962">
        <f>IF(SUM(W60*$C$62,$E$62:U62)&lt;=Application!$AO$629,W60*$C$62,Application!$AO$629-SUM($E$62:U62))</f>
        <v>0</v>
      </c>
      <c r="Y62" s="962">
        <f>IF(SUM(Y60*$C$62,$E$62:W62)&lt;=Application!$AO$629,Y60*$C$62,Application!$AO$629-SUM($E$62:W62))</f>
        <v>0</v>
      </c>
      <c r="AA62" s="962">
        <f>IF(SUM(AA60*$C$62,$E$62:Y62)&lt;=Application!$AO$629,AA60*$C$62,Application!$AO$629-SUM($E$62:Y62))</f>
        <v>0</v>
      </c>
      <c r="AC62" s="962">
        <f>IF(SUM(AC60*$C$62,$E$62:AA62)&lt;=Application!$AO$629,AC60*$C$62,Application!$AO$629-SUM($E$62:AA62))</f>
        <v>0</v>
      </c>
      <c r="AE62" s="962">
        <f>IF(SUM(AE60*$C$62,$E$62:AC62)&lt;=Application!$AO$629,AE60*$C$62,Application!$AO$629-SUM($E$62:AC62))</f>
        <v>0</v>
      </c>
      <c r="AG62" s="962">
        <f>IF(SUM(AG60*$C$62,$E$62:AE62)&lt;=Application!$AO$629,AG60*$C$62,Application!$AO$629-SUM($E$62:AE62))</f>
        <v>0</v>
      </c>
    </row>
    <row r="63" spans="1:34" s="962" customFormat="1">
      <c r="A63" s="2693" t="s">
        <v>2775</v>
      </c>
      <c r="B63" s="2693"/>
      <c r="C63" s="2693"/>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v>0</v>
      </c>
      <c r="G66" s="960">
        <f>(G60-G62)*$C$65</f>
        <v>0</v>
      </c>
      <c r="H66" s="960"/>
      <c r="I66" s="960">
        <f t="shared" ref="I66:AG66" si="3">(I60-I62)*$C$65</f>
        <v>0</v>
      </c>
      <c r="J66" s="960"/>
      <c r="K66" s="960">
        <f t="shared" si="3"/>
        <v>0</v>
      </c>
      <c r="L66" s="960"/>
      <c r="M66" s="960">
        <f t="shared" si="3"/>
        <v>0</v>
      </c>
      <c r="N66" s="960"/>
      <c r="O66" s="960">
        <f t="shared" si="3"/>
        <v>0</v>
      </c>
      <c r="P66" s="960"/>
      <c r="Q66" s="960">
        <f t="shared" si="3"/>
        <v>0</v>
      </c>
      <c r="R66" s="960"/>
      <c r="S66" s="960">
        <f t="shared" si="3"/>
        <v>0</v>
      </c>
      <c r="T66" s="960"/>
      <c r="U66" s="960">
        <f t="shared" si="3"/>
        <v>0</v>
      </c>
      <c r="V66" s="960"/>
      <c r="W66" s="960">
        <f t="shared" si="3"/>
        <v>0</v>
      </c>
      <c r="X66" s="960"/>
      <c r="Y66" s="960">
        <f t="shared" si="3"/>
        <v>0</v>
      </c>
      <c r="Z66" s="960"/>
      <c r="AA66" s="960">
        <f t="shared" si="3"/>
        <v>0</v>
      </c>
      <c r="AB66" s="960"/>
      <c r="AC66" s="960">
        <f t="shared" si="3"/>
        <v>0</v>
      </c>
      <c r="AD66" s="960"/>
      <c r="AE66" s="960">
        <f t="shared" si="3"/>
        <v>0</v>
      </c>
      <c r="AF66" s="960"/>
      <c r="AG66" s="960">
        <f t="shared" si="3"/>
        <v>0</v>
      </c>
    </row>
    <row r="67" spans="1:34" s="960" customFormat="1">
      <c r="A67" s="965"/>
      <c r="B67" s="964"/>
      <c r="C67" s="970"/>
      <c r="E67" s="964">
        <v>0</v>
      </c>
      <c r="G67" s="960">
        <f t="shared" ref="G67:Q67" si="4">(G60-G62)*$C$65</f>
        <v>0</v>
      </c>
      <c r="I67" s="960">
        <f t="shared" si="4"/>
        <v>0</v>
      </c>
      <c r="K67" s="960">
        <f t="shared" si="4"/>
        <v>0</v>
      </c>
      <c r="M67" s="960">
        <f t="shared" si="4"/>
        <v>0</v>
      </c>
      <c r="O67" s="960">
        <f t="shared" si="4"/>
        <v>0</v>
      </c>
      <c r="Q67" s="960">
        <f t="shared" si="4"/>
        <v>0</v>
      </c>
      <c r="S67" s="960">
        <f t="shared" ref="S67:AG67" si="5">(S60-S62)*$C$65</f>
        <v>0</v>
      </c>
      <c r="U67" s="960">
        <f t="shared" si="5"/>
        <v>0</v>
      </c>
      <c r="W67" s="960">
        <f t="shared" si="5"/>
        <v>0</v>
      </c>
      <c r="Y67" s="960">
        <f t="shared" si="5"/>
        <v>0</v>
      </c>
      <c r="AA67" s="960">
        <f t="shared" si="5"/>
        <v>0</v>
      </c>
      <c r="AC67" s="960">
        <f t="shared" si="5"/>
        <v>0</v>
      </c>
      <c r="AE67" s="960">
        <f t="shared" si="5"/>
        <v>0</v>
      </c>
      <c r="AG67" s="960">
        <f t="shared" si="5"/>
        <v>0</v>
      </c>
    </row>
    <row r="68" spans="1:34" s="960" customFormat="1">
      <c r="A68" s="965"/>
      <c r="B68" s="965"/>
      <c r="C68" s="970"/>
      <c r="E68" s="965">
        <v>0</v>
      </c>
      <c r="G68" s="960">
        <f t="shared" ref="G68:Q68" si="6">(G60-G62)*$C$65</f>
        <v>0</v>
      </c>
      <c r="I68" s="960">
        <f t="shared" si="6"/>
        <v>0</v>
      </c>
      <c r="K68" s="960">
        <f t="shared" si="6"/>
        <v>0</v>
      </c>
      <c r="M68" s="960">
        <f t="shared" si="6"/>
        <v>0</v>
      </c>
      <c r="O68" s="960">
        <f t="shared" si="6"/>
        <v>0</v>
      </c>
      <c r="Q68" s="960">
        <f t="shared" si="6"/>
        <v>0</v>
      </c>
      <c r="S68" s="960">
        <f>(S60-S62)*$C$65</f>
        <v>0</v>
      </c>
      <c r="U68" s="960">
        <f t="shared" ref="U68:AG68" si="7">(U60-U62)*$C$65</f>
        <v>0</v>
      </c>
      <c r="W68" s="960">
        <f t="shared" si="7"/>
        <v>0</v>
      </c>
      <c r="Y68" s="960">
        <f t="shared" si="7"/>
        <v>0</v>
      </c>
      <c r="AA68" s="960">
        <f t="shared" si="7"/>
        <v>0</v>
      </c>
      <c r="AC68" s="960">
        <f t="shared" si="7"/>
        <v>0</v>
      </c>
      <c r="AE68" s="960">
        <f t="shared" si="7"/>
        <v>0</v>
      </c>
      <c r="AG68" s="960">
        <f t="shared" si="7"/>
        <v>0</v>
      </c>
    </row>
    <row r="69" spans="1:34" s="960" customFormat="1">
      <c r="A69" s="965"/>
      <c r="B69" s="965"/>
      <c r="C69" s="970"/>
      <c r="E69" s="967"/>
      <c r="G69" s="968">
        <f t="shared" ref="G69:AG69" si="8">E69*$C$66</f>
        <v>0</v>
      </c>
      <c r="I69" s="968">
        <f t="shared" si="8"/>
        <v>0</v>
      </c>
      <c r="K69" s="968">
        <f t="shared" si="8"/>
        <v>0</v>
      </c>
      <c r="M69" s="968">
        <f t="shared" si="8"/>
        <v>0</v>
      </c>
      <c r="O69" s="968">
        <f t="shared" si="8"/>
        <v>0</v>
      </c>
      <c r="Q69" s="968">
        <f t="shared" si="8"/>
        <v>0</v>
      </c>
      <c r="S69" s="968">
        <f t="shared" si="8"/>
        <v>0</v>
      </c>
      <c r="U69" s="968">
        <f t="shared" si="8"/>
        <v>0</v>
      </c>
      <c r="W69" s="968">
        <f t="shared" si="8"/>
        <v>0</v>
      </c>
      <c r="Y69" s="968">
        <f t="shared" si="8"/>
        <v>0</v>
      </c>
      <c r="AA69" s="968">
        <f t="shared" si="8"/>
        <v>0</v>
      </c>
      <c r="AC69" s="968">
        <f t="shared" si="8"/>
        <v>0</v>
      </c>
      <c r="AE69" s="968">
        <f t="shared" si="8"/>
        <v>0</v>
      </c>
      <c r="AG69" s="968">
        <f t="shared" si="8"/>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212378</v>
      </c>
      <c r="G72" s="962">
        <f>G60-G62-G70</f>
        <v>243460.93999999971</v>
      </c>
      <c r="I72" s="962">
        <f>I60-I62-I70</f>
        <v>274919.16889999947</v>
      </c>
      <c r="K72" s="962">
        <f>K60-K62-K70</f>
        <v>306748.00646149949</v>
      </c>
      <c r="M72" s="962">
        <f>M60-M62-M70</f>
        <v>338942.16325390176</v>
      </c>
      <c r="O72" s="962">
        <f>O60-O62-O70</f>
        <v>371495.70819819462</v>
      </c>
      <c r="Q72" s="962">
        <f>Q60-Q62-Q70</f>
        <v>404402.03469629749</v>
      </c>
      <c r="S72" s="962">
        <f>S60-S62-S70</f>
        <v>437653.82528961287</v>
      </c>
      <c r="U72" s="962">
        <f>U60-U62-U70</f>
        <v>471243.01478816895</v>
      </c>
      <c r="W72" s="962">
        <f>W60-W62-W70</f>
        <v>505160.75180950947</v>
      </c>
      <c r="Y72" s="962">
        <f>Y60-Y62-Y70</f>
        <v>539397.35866419016</v>
      </c>
      <c r="AA72" s="962">
        <f>AA60-AA62-AA70</f>
        <v>573942.2895223184</v>
      </c>
      <c r="AC72" s="962">
        <f>AC60-AC62-AC70</f>
        <v>608784.08679310465</v>
      </c>
      <c r="AE72" s="962">
        <f>AE60-AE62-AE70</f>
        <v>643910.33564680465</v>
      </c>
      <c r="AG72" s="962">
        <f>AG60-AG62-AG70</f>
        <v>679307.61660578288</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91" t="s">
        <v>1722</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570312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5703125" style="204" customWidth="1"/>
    <col min="2" max="4" width="14.5703125" style="204" customWidth="1"/>
    <col min="5" max="5" width="50.570312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145425</v>
      </c>
      <c r="C6" s="266">
        <f>'Sources and Uses Budget'!$C5</f>
        <v>145425</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145425</v>
      </c>
      <c r="C9" s="270">
        <f>SUM(C5:C8)</f>
        <v>145425</v>
      </c>
      <c r="D9" s="270">
        <f t="shared" si="0"/>
        <v>0</v>
      </c>
      <c r="E9" s="268"/>
      <c r="F9" s="267"/>
    </row>
    <row r="10" spans="1:6" s="352" customFormat="1">
      <c r="A10" s="364" t="s">
        <v>595</v>
      </c>
      <c r="B10" s="266">
        <f>'Sources and Uses Budget'!$C9</f>
        <v>18610000</v>
      </c>
      <c r="C10" s="266">
        <f>'Sources and Uses Budget'!$C9</f>
        <v>18610000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18610000</v>
      </c>
      <c r="C12" s="270">
        <f>SUM(C10:C11)</f>
        <v>18610000</v>
      </c>
      <c r="D12" s="270">
        <f t="shared" si="0"/>
        <v>0</v>
      </c>
      <c r="E12" s="268"/>
      <c r="F12" s="267"/>
    </row>
    <row r="13" spans="1:6" s="352" customFormat="1">
      <c r="A13" s="365" t="s">
        <v>84</v>
      </c>
      <c r="B13" s="270">
        <f>SUM(B9+B12)</f>
        <v>18755425</v>
      </c>
      <c r="C13" s="270">
        <f>SUM(C9+C12)</f>
        <v>18755425</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19600000</v>
      </c>
      <c r="C19" s="266">
        <f>'Sources and Uses Budget'!$C18</f>
        <v>19600000</v>
      </c>
      <c r="D19" s="270">
        <f t="shared" si="0"/>
        <v>0</v>
      </c>
      <c r="E19" s="268"/>
      <c r="F19" s="267"/>
    </row>
    <row r="20" spans="1:6" s="352" customFormat="1">
      <c r="A20" s="145" t="s">
        <v>601</v>
      </c>
      <c r="B20" s="266">
        <f>'Sources and Uses Budget'!$C19</f>
        <v>1181148</v>
      </c>
      <c r="C20" s="266">
        <f>'Sources and Uses Budget'!$C19</f>
        <v>1181148</v>
      </c>
      <c r="D20" s="270">
        <f t="shared" si="0"/>
        <v>0</v>
      </c>
      <c r="E20" s="268"/>
      <c r="F20" s="267"/>
    </row>
    <row r="21" spans="1:6" s="352" customFormat="1">
      <c r="A21" s="145" t="s">
        <v>137</v>
      </c>
      <c r="B21" s="266">
        <f>'Sources and Uses Budget'!$C20</f>
        <v>393716</v>
      </c>
      <c r="C21" s="266">
        <f>'Sources and Uses Budget'!$C20</f>
        <v>393716</v>
      </c>
      <c r="D21" s="270">
        <f t="shared" si="0"/>
        <v>0</v>
      </c>
      <c r="E21" s="268"/>
      <c r="F21" s="267"/>
    </row>
    <row r="22" spans="1:6" s="352" customFormat="1">
      <c r="A22" s="145" t="s">
        <v>138</v>
      </c>
      <c r="B22" s="266">
        <f>'Sources and Uses Budget'!$C21</f>
        <v>1181148</v>
      </c>
      <c r="C22" s="266">
        <f>'Sources and Uses Budget'!$C21</f>
        <v>1181148</v>
      </c>
      <c r="D22" s="270">
        <f t="shared" si="0"/>
        <v>0</v>
      </c>
      <c r="E22" s="268"/>
      <c r="F22" s="267"/>
    </row>
    <row r="23" spans="1:6" s="352" customFormat="1">
      <c r="A23" s="145" t="s">
        <v>139</v>
      </c>
      <c r="B23" s="266">
        <f>'Sources and Uses Budget'!$C22</f>
        <v>18520</v>
      </c>
      <c r="C23" s="266">
        <f>'Sources and Uses Budget'!$C22</f>
        <v>18520</v>
      </c>
      <c r="D23" s="270">
        <f t="shared" si="0"/>
        <v>0</v>
      </c>
      <c r="E23" s="268"/>
      <c r="F23" s="267"/>
    </row>
    <row r="24" spans="1:6" s="352" customFormat="1">
      <c r="A24" s="145" t="s">
        <v>140</v>
      </c>
      <c r="B24" s="266">
        <f>'Sources and Uses Budget'!$C23</f>
        <v>206500</v>
      </c>
      <c r="C24" s="266">
        <f>'Sources and Uses Budget'!$C23</f>
        <v>206500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Lender Inspection</v>
      </c>
      <c r="B26" s="266">
        <f>'Sources and Uses Budget'!$C25</f>
        <v>23600</v>
      </c>
      <c r="C26" s="266">
        <f>'Sources and Uses Budget'!$C25</f>
        <v>23600</v>
      </c>
      <c r="D26" s="270">
        <f t="shared" si="0"/>
        <v>0</v>
      </c>
      <c r="E26" s="268"/>
      <c r="F26" s="267"/>
    </row>
    <row r="27" spans="1:6" s="352" customFormat="1">
      <c r="A27" s="1018" t="s">
        <v>133</v>
      </c>
      <c r="B27" s="270">
        <f>SUM(B18:B26)</f>
        <v>22604632</v>
      </c>
      <c r="C27" s="270">
        <f>SUM(C18:C26)</f>
        <v>22604632</v>
      </c>
      <c r="D27" s="270">
        <f>SUM(D18:D26)</f>
        <v>0</v>
      </c>
      <c r="E27" s="268"/>
      <c r="F27" s="267"/>
    </row>
    <row r="28" spans="1:6" s="352" customFormat="1">
      <c r="A28" s="271" t="s">
        <v>141</v>
      </c>
      <c r="B28" s="266">
        <f>'Sources and Uses Budget'!$C$27</f>
        <v>286200</v>
      </c>
      <c r="C28" s="266">
        <f>'Sources and Uses Budget'!$C$27</f>
        <v>286200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13733063</v>
      </c>
      <c r="C31" s="266">
        <f>'Sources and Uses Budget'!$C30</f>
        <v>13733063</v>
      </c>
      <c r="D31" s="270">
        <f t="shared" si="0"/>
        <v>0</v>
      </c>
      <c r="E31" s="268"/>
      <c r="F31" s="267"/>
    </row>
    <row r="32" spans="1:6" s="352" customFormat="1">
      <c r="A32" s="145" t="s">
        <v>601</v>
      </c>
      <c r="B32" s="266">
        <f>'Sources and Uses Budget'!$C31</f>
        <v>827561</v>
      </c>
      <c r="C32" s="266">
        <f>'Sources and Uses Budget'!$C31</f>
        <v>827561</v>
      </c>
      <c r="D32" s="270">
        <f t="shared" si="0"/>
        <v>0</v>
      </c>
      <c r="E32" s="268"/>
      <c r="F32" s="267"/>
    </row>
    <row r="33" spans="1:6" s="352" customFormat="1">
      <c r="A33" s="145" t="s">
        <v>137</v>
      </c>
      <c r="B33" s="266">
        <f>'Sources and Uses Budget'!$C32</f>
        <v>275854</v>
      </c>
      <c r="C33" s="266">
        <f>'Sources and Uses Budget'!$C32</f>
        <v>275854</v>
      </c>
      <c r="D33" s="270">
        <f t="shared" si="0"/>
        <v>0</v>
      </c>
      <c r="E33" s="268"/>
      <c r="F33" s="267"/>
    </row>
    <row r="34" spans="1:6" s="352" customFormat="1">
      <c r="A34" s="145" t="s">
        <v>138</v>
      </c>
      <c r="B34" s="266">
        <f>'Sources and Uses Budget'!$C33</f>
        <v>827561</v>
      </c>
      <c r="C34" s="266">
        <f>'Sources and Uses Budget'!$C33</f>
        <v>827561</v>
      </c>
      <c r="D34" s="270">
        <f t="shared" si="0"/>
        <v>0</v>
      </c>
      <c r="E34" s="268"/>
      <c r="F34" s="267"/>
    </row>
    <row r="35" spans="1:6" s="352" customFormat="1">
      <c r="A35" s="145" t="s">
        <v>139</v>
      </c>
      <c r="B35" s="266">
        <f>'Sources and Uses Budget'!$C34</f>
        <v>12869</v>
      </c>
      <c r="C35" s="266">
        <f>'Sources and Uses Budget'!$C34</f>
        <v>12869</v>
      </c>
      <c r="D35" s="270">
        <f t="shared" si="0"/>
        <v>0</v>
      </c>
      <c r="E35" s="268"/>
      <c r="F35" s="267"/>
    </row>
    <row r="36" spans="1:6" s="352" customFormat="1">
      <c r="A36" s="145" t="s">
        <v>140</v>
      </c>
      <c r="B36" s="266">
        <f>'Sources and Uses Budget'!$C35</f>
        <v>143500</v>
      </c>
      <c r="C36" s="266">
        <f>'Sources and Uses Budget'!$C35</f>
        <v>143500</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Lender Inspection</v>
      </c>
      <c r="B38" s="266">
        <f>'Sources and Uses Budget'!$C37</f>
        <v>16400</v>
      </c>
      <c r="C38" s="266">
        <f>'Sources and Uses Budget'!$C37</f>
        <v>16400</v>
      </c>
      <c r="D38" s="270">
        <f t="shared" si="0"/>
        <v>0</v>
      </c>
      <c r="E38" s="268"/>
      <c r="F38" s="267"/>
    </row>
    <row r="39" spans="1:6" s="352" customFormat="1">
      <c r="A39" s="271" t="s">
        <v>143</v>
      </c>
      <c r="B39" s="270">
        <f>SUM(B30:B38)</f>
        <v>15836808</v>
      </c>
      <c r="C39" s="270">
        <f>SUM(C30:C38)</f>
        <v>15836808</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850000</v>
      </c>
      <c r="C41" s="266">
        <f>'Sources and Uses Budget'!$C40</f>
        <v>850000</v>
      </c>
      <c r="D41" s="270">
        <f t="shared" si="0"/>
        <v>0</v>
      </c>
      <c r="E41" s="268"/>
      <c r="F41" s="267"/>
    </row>
    <row r="42" spans="1:6" s="352" customFormat="1">
      <c r="A42" s="269" t="s">
        <v>146</v>
      </c>
      <c r="B42" s="266">
        <f>'Sources and Uses Budget'!$C41</f>
        <v>335000</v>
      </c>
      <c r="C42" s="266">
        <f>'Sources and Uses Budget'!$C41</f>
        <v>335000</v>
      </c>
      <c r="D42" s="270">
        <f t="shared" si="0"/>
        <v>0</v>
      </c>
      <c r="E42" s="268"/>
      <c r="F42" s="267"/>
    </row>
    <row r="43" spans="1:6" s="352" customFormat="1">
      <c r="A43" s="271" t="s">
        <v>147</v>
      </c>
      <c r="B43" s="270">
        <f>SUM(B41:B42)</f>
        <v>1185000</v>
      </c>
      <c r="C43" s="270">
        <f>SUM(C41:C42)</f>
        <v>1185000</v>
      </c>
      <c r="D43" s="270">
        <f t="shared" si="0"/>
        <v>0</v>
      </c>
      <c r="E43" s="268"/>
      <c r="F43" s="267"/>
    </row>
    <row r="44" spans="1:6" s="352" customFormat="1">
      <c r="A44" s="271" t="s">
        <v>148</v>
      </c>
      <c r="B44" s="266">
        <f>'Sources and Uses Budget'!$C43</f>
        <v>443755</v>
      </c>
      <c r="C44" s="266">
        <f>'Sources and Uses Budget'!$C43</f>
        <v>443755</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3413575</v>
      </c>
      <c r="C46" s="266">
        <f>'Sources and Uses Budget'!$C45</f>
        <v>3413575</v>
      </c>
      <c r="D46" s="270">
        <f t="shared" si="0"/>
        <v>0</v>
      </c>
      <c r="E46" s="268"/>
      <c r="F46" s="267"/>
    </row>
    <row r="47" spans="1:6" s="352" customFormat="1">
      <c r="A47" s="145" t="s">
        <v>151</v>
      </c>
      <c r="B47" s="266">
        <f>'Sources and Uses Budget'!$C46</f>
        <v>425000</v>
      </c>
      <c r="C47" s="266">
        <f>'Sources and Uses Budget'!$C46</f>
        <v>425000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129893</v>
      </c>
      <c r="C50" s="266">
        <f>'Sources and Uses Budget'!$C49</f>
        <v>129893</v>
      </c>
      <c r="D50" s="270">
        <f t="shared" si="0"/>
        <v>0</v>
      </c>
      <c r="E50" s="268"/>
      <c r="F50" s="267"/>
    </row>
    <row r="51" spans="1:6" s="352" customFormat="1">
      <c r="A51" s="145" t="s">
        <v>156</v>
      </c>
      <c r="B51" s="266">
        <f>'Sources and Uses Budget'!$C50</f>
        <v>25000</v>
      </c>
      <c r="C51" s="266">
        <f>'Sources and Uses Budget'!$C50</f>
        <v>25000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ht="24">
      <c r="A54" s="155" t="str">
        <f>'Sources and Uses Budget'!A53</f>
        <v>Other: Performance Deposit, Trustee Fees, Filing Fees</v>
      </c>
      <c r="B54" s="266">
        <f>'Sources and Uses Budget'!$C53</f>
        <v>328720</v>
      </c>
      <c r="C54" s="266">
        <f>'Sources and Uses Budget'!$C53</f>
        <v>328720</v>
      </c>
      <c r="D54" s="270">
        <f t="shared" si="0"/>
        <v>0</v>
      </c>
      <c r="E54" s="268"/>
      <c r="F54" s="267"/>
    </row>
    <row r="55" spans="1:6" s="353" customFormat="1">
      <c r="A55" s="271" t="s">
        <v>157</v>
      </c>
      <c r="B55" s="273">
        <f>SUM(B46:B54)</f>
        <v>4322188</v>
      </c>
      <c r="C55" s="273">
        <f>SUM(C46:C54)</f>
        <v>4322188</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208300</v>
      </c>
      <c r="C57" s="266">
        <f>'Sources and Uses Budget'!$C56</f>
        <v>208300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15000</v>
      </c>
      <c r="C59" s="266">
        <f>'Sources and Uses Budget'!$C58</f>
        <v>15000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223300</v>
      </c>
      <c r="C63" s="270">
        <f>SUM(C57:C62)</f>
        <v>223300</v>
      </c>
      <c r="D63" s="270">
        <f t="shared" si="0"/>
        <v>0</v>
      </c>
      <c r="E63" s="268"/>
      <c r="F63" s="267"/>
    </row>
    <row r="64" spans="1:6" s="352" customFormat="1">
      <c r="A64" s="274" t="s">
        <v>302</v>
      </c>
      <c r="B64" s="270">
        <f>SUM(B9+B12+B14+B15+B17+B26+B28+B39+B43+B44+B55+B63)</f>
        <v>41076276</v>
      </c>
      <c r="C64" s="270">
        <f>SUM(C9+C12+C14+C15+C17+C26+C28+C39+C43+C44+C55+C63)</f>
        <v>41076276</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195000</v>
      </c>
      <c r="C66" s="266">
        <f>'Sources and Uses Budget'!$C65</f>
        <v>195000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229131</v>
      </c>
      <c r="C68" s="266">
        <f>'Sources and Uses Budget'!$C67</f>
        <v>229131</v>
      </c>
      <c r="D68" s="270"/>
      <c r="E68" s="268"/>
      <c r="F68" s="267"/>
    </row>
    <row r="69" spans="1:6" s="352" customFormat="1">
      <c r="A69" s="283" t="s">
        <v>1649</v>
      </c>
      <c r="B69" s="266">
        <f>'Sources and Uses Budget'!$C68</f>
        <v>0</v>
      </c>
      <c r="C69" s="266">
        <f>'Sources and Uses Budget'!$C68</f>
        <v>0</v>
      </c>
      <c r="D69" s="270"/>
      <c r="E69" s="268"/>
      <c r="F69" s="267"/>
    </row>
    <row r="70" spans="1:6" s="352" customFormat="1" ht="24">
      <c r="A70" s="155" t="str">
        <f>'Sources and Uses Budget'!A69</f>
        <v>Other: Legal (Transactional, Partnership, Sydication)</v>
      </c>
      <c r="B70" s="266">
        <f>'Sources and Uses Budget'!$C69</f>
        <v>230000</v>
      </c>
      <c r="C70" s="266">
        <f>'Sources and Uses Budget'!$C69</f>
        <v>230000</v>
      </c>
      <c r="D70" s="270">
        <f t="shared" si="0"/>
        <v>0</v>
      </c>
      <c r="E70" s="268"/>
      <c r="F70" s="267"/>
    </row>
    <row r="71" spans="1:6" s="352" customFormat="1">
      <c r="A71" s="149" t="s">
        <v>1646</v>
      </c>
      <c r="B71" s="270">
        <f>SUM(B66:B70)</f>
        <v>654131</v>
      </c>
      <c r="C71" s="270">
        <f>SUM(C66:C70)</f>
        <v>654131</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0</v>
      </c>
      <c r="C76" s="266">
        <f>'Sources and Uses Budget'!$C75</f>
        <v>0</v>
      </c>
      <c r="D76" s="270">
        <f t="shared" si="0"/>
        <v>0</v>
      </c>
      <c r="E76" s="268"/>
      <c r="F76" s="267"/>
    </row>
    <row r="77" spans="1:6" s="352" customFormat="1">
      <c r="A77" s="272" t="s">
        <v>34</v>
      </c>
      <c r="B77" s="266">
        <f>'Sources and Uses Budget'!$C76</f>
        <v>730519</v>
      </c>
      <c r="C77" s="266">
        <f>'Sources and Uses Budget'!$C76</f>
        <v>730519</v>
      </c>
      <c r="D77" s="270">
        <f t="shared" si="0"/>
        <v>0</v>
      </c>
      <c r="E77" s="268"/>
      <c r="F77" s="267"/>
    </row>
    <row r="78" spans="1:6" s="352" customFormat="1">
      <c r="A78" s="271" t="s">
        <v>607</v>
      </c>
      <c r="B78" s="270">
        <f>SUM(B73:B77)</f>
        <v>730519</v>
      </c>
      <c r="C78" s="270">
        <f>SUM(C73:C77)</f>
        <v>730519</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3030364</v>
      </c>
      <c r="C80" s="266">
        <f>'Sources and Uses Budget'!$C79</f>
        <v>3030364</v>
      </c>
      <c r="D80" s="270">
        <f t="shared" si="1"/>
        <v>0</v>
      </c>
      <c r="E80" s="268"/>
      <c r="F80" s="267"/>
    </row>
    <row r="81" spans="1:6" s="352" customFormat="1">
      <c r="A81" s="510" t="s">
        <v>58</v>
      </c>
      <c r="B81" s="266">
        <f>'Sources and Uses Budget'!$C80</f>
        <v>327748</v>
      </c>
      <c r="C81" s="266">
        <f>'Sources and Uses Budget'!$C80</f>
        <v>327748</v>
      </c>
      <c r="D81" s="270">
        <f>C81-B81</f>
        <v>0</v>
      </c>
      <c r="E81" s="268"/>
      <c r="F81" s="267"/>
    </row>
    <row r="82" spans="1:6" s="352" customFormat="1">
      <c r="A82" s="271" t="s">
        <v>1210</v>
      </c>
      <c r="B82" s="270">
        <f>SUM(B80:B81)</f>
        <v>3358112</v>
      </c>
      <c r="C82" s="270">
        <f>SUM(C80:C81)</f>
        <v>3358112</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6700</v>
      </c>
      <c r="C84" s="266">
        <f>'Sources and Uses Budget'!$C83</f>
        <v>6700</v>
      </c>
      <c r="D84" s="270">
        <f t="shared" si="1"/>
        <v>0</v>
      </c>
      <c r="E84" s="268"/>
      <c r="F84" s="267"/>
    </row>
    <row r="85" spans="1:6" s="352" customFormat="1">
      <c r="A85" s="269" t="s">
        <v>768</v>
      </c>
      <c r="B85" s="266">
        <f>'Sources and Uses Budget'!$C84</f>
        <v>165000</v>
      </c>
      <c r="C85" s="266">
        <f>'Sources and Uses Budget'!$C84</f>
        <v>165000</v>
      </c>
      <c r="D85" s="270">
        <f t="shared" si="1"/>
        <v>0</v>
      </c>
      <c r="E85" s="268"/>
      <c r="F85" s="267"/>
    </row>
    <row r="86" spans="1:6" s="352" customFormat="1">
      <c r="A86" s="269" t="s">
        <v>769</v>
      </c>
      <c r="B86" s="266">
        <f>'Sources and Uses Budget'!$C85</f>
        <v>375869</v>
      </c>
      <c r="C86" s="266">
        <f>'Sources and Uses Budget'!$C85</f>
        <v>375869</v>
      </c>
      <c r="D86" s="270">
        <f t="shared" si="1"/>
        <v>0</v>
      </c>
      <c r="E86" s="268"/>
      <c r="F86" s="267"/>
    </row>
    <row r="87" spans="1:6" s="352" customFormat="1">
      <c r="A87" s="269" t="s">
        <v>770</v>
      </c>
      <c r="B87" s="266">
        <f>'Sources and Uses Budget'!$C86</f>
        <v>0</v>
      </c>
      <c r="C87" s="266">
        <f>'Sources and Uses Budget'!$C86</f>
        <v>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10000</v>
      </c>
      <c r="C89" s="266">
        <f>'Sources and Uses Budget'!$C88</f>
        <v>10000</v>
      </c>
      <c r="D89" s="270">
        <f t="shared" si="1"/>
        <v>0</v>
      </c>
      <c r="E89" s="268"/>
      <c r="F89" s="267"/>
    </row>
    <row r="90" spans="1:6" s="352" customFormat="1">
      <c r="A90" s="269" t="s">
        <v>773</v>
      </c>
      <c r="B90" s="266">
        <f>'Sources and Uses Budget'!$C89</f>
        <v>122477</v>
      </c>
      <c r="C90" s="266">
        <f>'Sources and Uses Budget'!$C89</f>
        <v>122477</v>
      </c>
      <c r="D90" s="270">
        <f t="shared" si="1"/>
        <v>0</v>
      </c>
      <c r="E90" s="268"/>
      <c r="F90" s="267"/>
    </row>
    <row r="91" spans="1:6" s="352" customFormat="1">
      <c r="A91" s="269" t="s">
        <v>774</v>
      </c>
      <c r="B91" s="266">
        <f>'Sources and Uses Budget'!$C90</f>
        <v>15000</v>
      </c>
      <c r="C91" s="266">
        <f>'Sources and Uses Budget'!$C90</f>
        <v>15000</v>
      </c>
      <c r="D91" s="270">
        <f t="shared" si="1"/>
        <v>0</v>
      </c>
      <c r="E91" s="268"/>
      <c r="F91" s="267"/>
    </row>
    <row r="92" spans="1:6" s="352" customFormat="1">
      <c r="A92" s="269" t="s">
        <v>372</v>
      </c>
      <c r="B92" s="266">
        <f>'Sources and Uses Budget'!$C91</f>
        <v>40000</v>
      </c>
      <c r="C92" s="266">
        <f>'Sources and Uses Budget'!$C91</f>
        <v>40000</v>
      </c>
      <c r="D92" s="270">
        <f t="shared" si="1"/>
        <v>0</v>
      </c>
      <c r="E92" s="268"/>
      <c r="F92" s="267"/>
    </row>
    <row r="93" spans="1:6" s="352" customFormat="1">
      <c r="A93" s="510" t="s">
        <v>1212</v>
      </c>
      <c r="B93" s="266">
        <f>'Sources and Uses Budget'!$C92</f>
        <v>15000</v>
      </c>
      <c r="C93" s="266">
        <f>'Sources and Uses Budget'!$C92</f>
        <v>15000</v>
      </c>
      <c r="D93" s="270">
        <f t="shared" si="1"/>
        <v>0</v>
      </c>
      <c r="E93" s="268"/>
      <c r="F93" s="267"/>
    </row>
    <row r="94" spans="1:6" s="352" customFormat="1">
      <c r="A94" s="272" t="s">
        <v>34</v>
      </c>
      <c r="B94" s="266">
        <f>'Sources and Uses Budget'!$C93</f>
        <v>30000</v>
      </c>
      <c r="C94" s="266">
        <f>'Sources and Uses Budget'!$C93</f>
        <v>30000</v>
      </c>
      <c r="D94" s="270">
        <f t="shared" si="1"/>
        <v>0</v>
      </c>
      <c r="E94" s="268"/>
      <c r="F94" s="267"/>
    </row>
    <row r="95" spans="1:6" s="352" customFormat="1">
      <c r="A95" s="272" t="s">
        <v>34</v>
      </c>
      <c r="B95" s="266">
        <f>'Sources and Uses Budget'!$C94</f>
        <v>50000</v>
      </c>
      <c r="C95" s="266">
        <f>'Sources and Uses Budget'!$C94</f>
        <v>50000</v>
      </c>
      <c r="D95" s="270">
        <f t="shared" si="1"/>
        <v>0</v>
      </c>
      <c r="E95" s="268"/>
      <c r="F95" s="267"/>
    </row>
    <row r="96" spans="1:6" s="352" customFormat="1">
      <c r="A96" s="272" t="s">
        <v>34</v>
      </c>
      <c r="B96" s="266">
        <f>'Sources and Uses Budget'!$C95</f>
        <v>50000</v>
      </c>
      <c r="C96" s="266">
        <f>'Sources and Uses Budget'!$C95</f>
        <v>50000</v>
      </c>
      <c r="D96" s="270">
        <f t="shared" si="1"/>
        <v>0</v>
      </c>
      <c r="E96" s="268"/>
      <c r="F96" s="267"/>
    </row>
    <row r="97" spans="1:6" s="352" customFormat="1">
      <c r="A97" s="271" t="s">
        <v>775</v>
      </c>
      <c r="B97" s="270">
        <f>SUM(B84:B96)</f>
        <v>880046</v>
      </c>
      <c r="C97" s="270">
        <f>SUM(C84:C96)</f>
        <v>880046</v>
      </c>
      <c r="D97" s="270">
        <f t="shared" si="1"/>
        <v>0</v>
      </c>
      <c r="E97" s="268"/>
      <c r="F97" s="267"/>
    </row>
    <row r="98" spans="1:6" s="352" customFormat="1">
      <c r="A98" s="271" t="s">
        <v>776</v>
      </c>
      <c r="B98" s="270">
        <f>SUM(B64+B71+B78+B82+B97)</f>
        <v>46699084</v>
      </c>
      <c r="C98" s="270">
        <f>SUM(C64+C71+C78+C82+C97)</f>
        <v>46699084</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2500000</v>
      </c>
      <c r="C100" s="266">
        <f>'Sources and Uses Budget'!$C99</f>
        <v>2500000</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2500000</v>
      </c>
      <c r="C105" s="270">
        <f>SUM(C100:C104)</f>
        <v>2500000</v>
      </c>
      <c r="D105" s="270">
        <f t="shared" si="1"/>
        <v>0</v>
      </c>
      <c r="E105" s="268"/>
      <c r="F105" s="267"/>
    </row>
    <row r="106" spans="1:6" s="352" customFormat="1">
      <c r="A106" s="271" t="s">
        <v>781</v>
      </c>
      <c r="B106" s="273">
        <f>SUM(B98+B105)</f>
        <v>49199084</v>
      </c>
      <c r="C106" s="273">
        <f>SUM(C98+C105)</f>
        <v>49199084</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570312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7" t="s">
        <v>2045</v>
      </c>
      <c r="B72" s="1267"/>
      <c r="C72" s="1267"/>
      <c r="D72" s="1267"/>
      <c r="E72" s="1267"/>
    </row>
    <row r="73" spans="1:9" ht="12.75">
      <c r="A73" s="1267" t="s">
        <v>2046</v>
      </c>
      <c r="B73" s="1267"/>
      <c r="C73" s="1267"/>
      <c r="D73" s="1267"/>
      <c r="E73" s="1267"/>
    </row>
    <row r="74" spans="1:9" ht="12.75">
      <c r="A74" s="1267" t="s">
        <v>1871</v>
      </c>
      <c r="B74" s="1267"/>
      <c r="C74" s="1267"/>
      <c r="D74" s="1267"/>
      <c r="E74" s="1267"/>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abSelected="1" topLeftCell="A65" workbookViewId="0">
      <selection activeCell="D620" sqref="D620:F621"/>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2457</v>
      </c>
      <c r="B2" s="1281"/>
      <c r="C2" s="1281"/>
      <c r="D2" s="1281"/>
      <c r="E2" s="1281"/>
      <c r="F2" s="1281"/>
      <c r="G2" s="1281"/>
      <c r="H2" s="1281"/>
      <c r="I2" s="1281"/>
    </row>
    <row r="3" spans="1:13">
      <c r="A3" s="1282" t="s">
        <v>2219</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2218</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3.7"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ht="14.25">
      <c r="A15" s="484"/>
      <c r="B15" s="485" t="s">
        <v>2703</v>
      </c>
      <c r="C15" s="483"/>
      <c r="D15" s="1283" t="s">
        <v>1922</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1920</v>
      </c>
      <c r="F18" s="445"/>
      <c r="I18" s="490"/>
    </row>
    <row r="19" spans="1:9">
      <c r="A19" s="483"/>
      <c r="B19" s="483"/>
      <c r="C19" s="483"/>
      <c r="I19" s="490"/>
    </row>
    <row r="20" spans="1:9" ht="14.25">
      <c r="A20" s="484"/>
      <c r="B20" s="485" t="s">
        <v>2704</v>
      </c>
      <c r="D20" s="1283" t="s">
        <v>1923</v>
      </c>
      <c r="E20" s="1283"/>
      <c r="F20" s="1283"/>
      <c r="I20" s="490"/>
    </row>
    <row r="21" spans="1:9" ht="14.25">
      <c r="A21" s="484"/>
      <c r="D21" s="1283"/>
      <c r="E21" s="1283"/>
      <c r="F21" s="1283"/>
      <c r="I21" s="490"/>
    </row>
    <row r="22" spans="1:9" ht="14.25">
      <c r="A22" s="484"/>
      <c r="D22" s="392"/>
      <c r="E22" s="96" t="s">
        <v>1919</v>
      </c>
      <c r="F22" s="392"/>
      <c r="I22" s="490"/>
    </row>
    <row r="23" spans="1:9" ht="14.25">
      <c r="A23" s="484"/>
      <c r="B23" s="484"/>
      <c r="D23" s="446"/>
      <c r="I23" s="490"/>
    </row>
    <row r="24" spans="1:9" ht="14.25">
      <c r="A24" s="484"/>
      <c r="B24" s="485" t="s">
        <v>2705</v>
      </c>
      <c r="D24" s="1283" t="s">
        <v>1092</v>
      </c>
      <c r="E24" s="1283"/>
      <c r="F24" s="1283"/>
      <c r="I24" s="490"/>
    </row>
    <row r="25" spans="1:9" ht="14.25">
      <c r="A25" s="484"/>
      <c r="B25" s="484"/>
      <c r="D25" s="1283"/>
      <c r="E25" s="1283"/>
      <c r="F25" s="1283"/>
      <c r="I25" s="490"/>
    </row>
    <row r="26" spans="1:9">
      <c r="I26" s="490"/>
    </row>
    <row r="27" spans="1:9" ht="14.25">
      <c r="A27" s="484"/>
      <c r="B27" s="485" t="s">
        <v>2704</v>
      </c>
      <c r="D27" s="1283" t="s">
        <v>2048</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2704</v>
      </c>
      <c r="D33" s="1283" t="s">
        <v>2049</v>
      </c>
      <c r="E33" s="1283"/>
      <c r="F33" s="1283"/>
      <c r="I33" s="490"/>
    </row>
    <row r="34" spans="1:9">
      <c r="D34" s="1283"/>
      <c r="E34" s="1283"/>
      <c r="F34" s="1283"/>
      <c r="I34" s="490"/>
    </row>
    <row r="35" spans="1:9" ht="14.25">
      <c r="A35" s="484"/>
      <c r="B35" s="484"/>
      <c r="D35" s="447"/>
      <c r="I35" s="490"/>
    </row>
    <row r="36" spans="1:9" ht="14.45" customHeight="1">
      <c r="A36" s="484"/>
      <c r="B36" s="485" t="s">
        <v>2704</v>
      </c>
      <c r="D36" s="1283" t="s">
        <v>1215</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2705</v>
      </c>
      <c r="D41" s="1283" t="s">
        <v>1093</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2704</v>
      </c>
      <c r="D47" s="1283" t="s">
        <v>1094</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2704</v>
      </c>
      <c r="D52" s="1283" t="s">
        <v>1095</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2704</v>
      </c>
      <c r="D56" s="1307" t="s">
        <v>1096</v>
      </c>
      <c r="E56" s="1307"/>
      <c r="F56" s="1307"/>
      <c r="I56" s="490"/>
    </row>
    <row r="57" spans="1:9" ht="14.25">
      <c r="A57" s="484"/>
      <c r="B57" s="484"/>
      <c r="D57" s="1307"/>
      <c r="E57" s="1307"/>
      <c r="F57" s="1307"/>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2704</v>
      </c>
      <c r="D61" s="1283" t="s">
        <v>1097</v>
      </c>
      <c r="E61" s="1283"/>
      <c r="F61" s="1283"/>
      <c r="I61" s="490"/>
    </row>
    <row r="62" spans="1:9">
      <c r="D62" s="1283"/>
      <c r="E62" s="1283"/>
      <c r="F62" s="1283"/>
      <c r="I62" s="490"/>
    </row>
    <row r="63" spans="1:9">
      <c r="D63" s="1283"/>
      <c r="E63" s="1283"/>
      <c r="F63" s="1283"/>
      <c r="I63" s="490"/>
    </row>
    <row r="64" spans="1:9">
      <c r="I64" s="490"/>
    </row>
    <row r="65" spans="1:9" ht="14.25">
      <c r="A65" s="484"/>
      <c r="B65" s="485" t="s">
        <v>2705</v>
      </c>
      <c r="D65" s="1283" t="s">
        <v>1098</v>
      </c>
      <c r="E65" s="1283"/>
      <c r="F65" s="1283"/>
      <c r="I65" s="490"/>
    </row>
    <row r="66" spans="1:9">
      <c r="D66" s="1283"/>
      <c r="E66" s="1283"/>
      <c r="F66" s="1283"/>
      <c r="I66" s="490"/>
    </row>
    <row r="67" spans="1:9">
      <c r="I67" s="490"/>
    </row>
    <row r="68" spans="1:9" ht="14.25">
      <c r="A68" s="484"/>
      <c r="B68" s="485" t="s">
        <v>2704</v>
      </c>
      <c r="D68" s="1283" t="s">
        <v>1099</v>
      </c>
      <c r="E68" s="1283"/>
      <c r="F68" s="1283"/>
      <c r="I68" s="490"/>
    </row>
    <row r="69" spans="1:9">
      <c r="D69" s="1283"/>
      <c r="E69" s="1283"/>
      <c r="F69" s="1283"/>
      <c r="I69" s="490"/>
    </row>
    <row r="70" spans="1:9">
      <c r="D70" s="1283"/>
      <c r="E70" s="1283"/>
      <c r="F70" s="1283"/>
      <c r="I70" s="490"/>
    </row>
    <row r="71" spans="1:9">
      <c r="I71" s="490"/>
    </row>
    <row r="72" spans="1:9" ht="14.25">
      <c r="A72" s="484"/>
      <c r="B72" s="485" t="s">
        <v>2704</v>
      </c>
      <c r="D72" s="1283" t="s">
        <v>1100</v>
      </c>
      <c r="E72" s="1283"/>
      <c r="F72" s="1283"/>
      <c r="I72" s="490"/>
    </row>
    <row r="73" spans="1:9">
      <c r="D73" s="1283"/>
      <c r="E73" s="1283"/>
      <c r="F73" s="1283"/>
      <c r="I73" s="490"/>
    </row>
    <row r="74" spans="1:9" ht="14.25">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3.7" customHeight="1">
      <c r="A80" s="484"/>
      <c r="B80" s="485" t="s">
        <v>2704</v>
      </c>
      <c r="D80" s="1283" t="s">
        <v>1246</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2704</v>
      </c>
      <c r="D89" s="1283" t="s">
        <v>1743</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2704</v>
      </c>
      <c r="D92" s="1283" t="s">
        <v>1746</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2705</v>
      </c>
      <c r="D96" s="1283" t="s">
        <v>1745</v>
      </c>
      <c r="E96" s="1283"/>
      <c r="F96" s="1283"/>
      <c r="I96" s="490"/>
    </row>
    <row r="97" spans="1:9" s="987" customFormat="1" ht="14.25">
      <c r="A97" s="985"/>
      <c r="B97" s="985"/>
      <c r="C97" s="986"/>
      <c r="D97" s="1283"/>
      <c r="E97" s="1283"/>
      <c r="F97" s="1283"/>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2705</v>
      </c>
      <c r="D100" s="1283" t="s">
        <v>1744</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2705</v>
      </c>
      <c r="D103" s="1283" t="s">
        <v>1195</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2705</v>
      </c>
      <c r="D119" s="1303" t="s">
        <v>1104</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2704</v>
      </c>
      <c r="C128" s="402"/>
      <c r="D128" s="1303" t="s">
        <v>2050</v>
      </c>
      <c r="E128" s="1303"/>
      <c r="F128" s="1303"/>
      <c r="I128" s="490"/>
    </row>
    <row r="129" spans="1:9" ht="14.25">
      <c r="A129" s="484"/>
      <c r="B129" s="484"/>
      <c r="C129" s="402"/>
      <c r="D129" s="1303"/>
      <c r="E129" s="1303"/>
      <c r="F129" s="1303"/>
      <c r="I129" s="490"/>
    </row>
    <row r="130" spans="1:9">
      <c r="I130" s="490"/>
    </row>
    <row r="131" spans="1:9" ht="14.25">
      <c r="A131" s="484"/>
      <c r="B131" s="485" t="s">
        <v>2704</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2704</v>
      </c>
      <c r="D137" s="1283" t="s">
        <v>1106</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2705</v>
      </c>
      <c r="D151" s="1283" t="s">
        <v>1178</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2073</v>
      </c>
      <c r="E169" s="1304"/>
      <c r="F169" s="1304"/>
      <c r="G169" s="507"/>
      <c r="I169" s="490"/>
    </row>
    <row r="170" spans="1:9" ht="13.7" customHeight="1">
      <c r="D170" s="1295"/>
      <c r="E170" s="1295"/>
      <c r="F170" s="1295"/>
      <c r="G170" s="1295"/>
      <c r="I170" s="490"/>
    </row>
    <row r="171" spans="1:9" ht="14.45" customHeight="1">
      <c r="A171" s="489"/>
      <c r="B171" s="485" t="s">
        <v>2705</v>
      </c>
      <c r="C171" s="476"/>
      <c r="D171" s="1263" t="s">
        <v>2213</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2705</v>
      </c>
      <c r="C177" s="476"/>
      <c r="D177" s="1263" t="s">
        <v>1107</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2705</v>
      </c>
      <c r="D182" s="1287" t="s">
        <v>2051</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2052</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1875</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1747</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2705</v>
      </c>
      <c r="D197" s="1300" t="s">
        <v>1748</v>
      </c>
      <c r="E197" s="1300"/>
      <c r="F197" s="1300"/>
      <c r="I197" s="490"/>
    </row>
    <row r="198" spans="1:9">
      <c r="A198" s="404"/>
      <c r="B198" s="404"/>
      <c r="D198" s="1301" t="s">
        <v>1902</v>
      </c>
      <c r="E198" s="1301"/>
      <c r="F198" s="1301"/>
      <c r="I198" s="490"/>
    </row>
    <row r="199" spans="1:9">
      <c r="A199" s="404"/>
      <c r="B199" s="404"/>
      <c r="D199" s="96" t="s">
        <v>1749</v>
      </c>
      <c r="E199" s="1302" t="s">
        <v>1925</v>
      </c>
      <c r="F199" s="1302"/>
      <c r="I199" s="490"/>
    </row>
    <row r="200" spans="1:9">
      <c r="A200" s="404"/>
      <c r="B200" s="404"/>
      <c r="D200" s="3"/>
      <c r="E200" s="3"/>
      <c r="F200" s="3"/>
      <c r="I200" s="490"/>
    </row>
    <row r="201" spans="1:9">
      <c r="A201" s="404"/>
      <c r="B201" s="485" t="s">
        <v>2705</v>
      </c>
      <c r="D201" s="1301" t="s">
        <v>1750</v>
      </c>
      <c r="E201" s="1301"/>
      <c r="F201" s="1301"/>
      <c r="I201" s="490"/>
    </row>
    <row r="202" spans="1:9">
      <c r="A202" s="404"/>
      <c r="B202" s="404"/>
      <c r="D202" s="1300" t="s">
        <v>1902</v>
      </c>
      <c r="E202" s="1300"/>
      <c r="F202" s="1300"/>
      <c r="I202" s="490"/>
    </row>
    <row r="203" spans="1:9">
      <c r="A203" s="404"/>
      <c r="B203" s="404"/>
      <c r="D203" s="57" t="s">
        <v>1751</v>
      </c>
      <c r="E203" s="1302" t="s">
        <v>1926</v>
      </c>
      <c r="F203" s="1302"/>
      <c r="I203" s="490"/>
    </row>
    <row r="204" spans="1:9">
      <c r="A204" s="404"/>
      <c r="B204" s="404"/>
      <c r="D204" s="3"/>
      <c r="E204" s="3"/>
      <c r="F204" s="3"/>
      <c r="I204" s="490"/>
    </row>
    <row r="205" spans="1:9">
      <c r="A205" s="404"/>
      <c r="B205" s="485" t="s">
        <v>2705</v>
      </c>
      <c r="D205" s="1301" t="s">
        <v>1752</v>
      </c>
      <c r="E205" s="1301"/>
      <c r="F205" s="1301"/>
      <c r="I205" s="490"/>
    </row>
    <row r="206" spans="1:9">
      <c r="A206" s="404"/>
      <c r="B206" s="404"/>
      <c r="D206" s="1300" t="s">
        <v>1902</v>
      </c>
      <c r="E206" s="1300"/>
      <c r="F206" s="1300"/>
      <c r="I206" s="490"/>
    </row>
    <row r="207" spans="1:9">
      <c r="A207" s="404"/>
      <c r="B207" s="404"/>
      <c r="D207" s="57" t="s">
        <v>1749</v>
      </c>
      <c r="E207" s="1302" t="s">
        <v>1927</v>
      </c>
      <c r="F207" s="1302"/>
      <c r="I207" s="490"/>
    </row>
    <row r="208" spans="1:9">
      <c r="A208" s="404"/>
      <c r="B208" s="404"/>
      <c r="D208" s="392"/>
      <c r="E208" s="392"/>
      <c r="F208" s="392"/>
      <c r="I208" s="490"/>
    </row>
    <row r="209" spans="1:9" ht="14.25" customHeight="1">
      <c r="A209" s="484"/>
      <c r="B209" s="485" t="s">
        <v>2704</v>
      </c>
      <c r="D209" s="386" t="s">
        <v>1895</v>
      </c>
      <c r="E209" s="385"/>
      <c r="F209" s="385"/>
      <c r="I209" s="490"/>
    </row>
    <row r="210" spans="1:9" ht="14.25">
      <c r="A210" s="484"/>
      <c r="B210" s="484"/>
      <c r="D210" s="1300" t="s">
        <v>1902</v>
      </c>
      <c r="E210" s="1300"/>
      <c r="F210" s="1300"/>
      <c r="I210" s="490"/>
    </row>
    <row r="211" spans="1:9">
      <c r="D211" s="385"/>
      <c r="E211" s="1302" t="s">
        <v>1928</v>
      </c>
      <c r="F211" s="1302"/>
      <c r="I211" s="490"/>
    </row>
    <row r="212" spans="1:9">
      <c r="D212" s="447"/>
      <c r="I212" s="490"/>
    </row>
    <row r="213" spans="1:9">
      <c r="B213" s="485" t="s">
        <v>2705</v>
      </c>
      <c r="D213" s="1301" t="s">
        <v>1753</v>
      </c>
      <c r="E213" s="1301"/>
      <c r="F213" s="1301"/>
      <c r="I213" s="490"/>
    </row>
    <row r="214" spans="1:9">
      <c r="D214" s="1300" t="s">
        <v>1902</v>
      </c>
      <c r="E214" s="1300"/>
      <c r="F214" s="1300"/>
      <c r="I214" s="490"/>
    </row>
    <row r="215" spans="1:9">
      <c r="D215" s="57" t="s">
        <v>1749</v>
      </c>
      <c r="E215" s="1302" t="s">
        <v>1929</v>
      </c>
      <c r="F215" s="1302"/>
      <c r="I215" s="490"/>
    </row>
    <row r="216" spans="1:9">
      <c r="D216" s="451"/>
      <c r="E216" s="451"/>
      <c r="F216" s="451"/>
      <c r="I216" s="490"/>
    </row>
    <row r="217" spans="1:9" ht="14.25">
      <c r="A217" s="484"/>
      <c r="B217" s="485" t="s">
        <v>2705</v>
      </c>
      <c r="D217" s="1283" t="s">
        <v>1217</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3.7" customHeight="1">
      <c r="A227" s="490"/>
      <c r="C227" s="490"/>
      <c r="D227" s="1291" t="s">
        <v>547</v>
      </c>
      <c r="E227" s="1291"/>
      <c r="F227" s="1291"/>
      <c r="I227" s="490"/>
    </row>
    <row r="228" spans="1:9" ht="14.25">
      <c r="A228" s="484"/>
      <c r="B228" s="485" t="s">
        <v>2704</v>
      </c>
      <c r="D228" s="1283" t="s">
        <v>1754</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2704</v>
      </c>
      <c r="D233" s="1283" t="s">
        <v>1755</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1119</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2705</v>
      </c>
      <c r="D245" s="1283" t="s">
        <v>2053</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2705</v>
      </c>
      <c r="D250" s="1283" t="s">
        <v>2054</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2704</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2704</v>
      </c>
      <c r="D259" s="1283" t="s">
        <v>1120</v>
      </c>
      <c r="E259" s="1283"/>
      <c r="F259" s="1283"/>
      <c r="I259" s="490"/>
    </row>
    <row r="260" spans="1:9" ht="14.25">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5" customHeight="1">
      <c r="A267" s="484"/>
      <c r="B267" s="485" t="s">
        <v>2704</v>
      </c>
      <c r="D267" s="1283" t="s">
        <v>1197</v>
      </c>
      <c r="E267" s="1283"/>
      <c r="F267" s="1283"/>
      <c r="I267" s="490"/>
    </row>
    <row r="268" spans="1:9">
      <c r="D268" s="1283"/>
      <c r="E268" s="1283"/>
      <c r="F268" s="1283"/>
      <c r="I268" s="490"/>
    </row>
    <row r="269" spans="1:9">
      <c r="E269" s="1036" t="s">
        <v>1898</v>
      </c>
      <c r="I269" s="490"/>
    </row>
    <row r="270" spans="1:9">
      <c r="D270" s="446"/>
      <c r="E270" s="446"/>
      <c r="F270" s="446"/>
      <c r="I270" s="490"/>
    </row>
    <row r="271" spans="1:9" ht="14.45" customHeight="1">
      <c r="A271" s="484"/>
      <c r="B271" s="485" t="s">
        <v>2705</v>
      </c>
      <c r="D271" s="1283" t="s">
        <v>2056</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2705</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1125</v>
      </c>
      <c r="E288" s="1298"/>
      <c r="F288" s="1298"/>
      <c r="I288" s="490"/>
    </row>
    <row r="289" spans="1:9">
      <c r="E289" s="446"/>
      <c r="F289" s="446"/>
      <c r="I289" s="490"/>
    </row>
    <row r="290" spans="1:9" ht="14.25">
      <c r="A290" s="484"/>
      <c r="B290" s="485" t="s">
        <v>2705</v>
      </c>
      <c r="D290" s="1283" t="s">
        <v>1126</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2704</v>
      </c>
      <c r="D293" s="1283" t="s">
        <v>1127</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2705</v>
      </c>
      <c r="D297" s="1283" t="s">
        <v>1128</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2704</v>
      </c>
      <c r="D305" s="1284" t="s">
        <v>1130</v>
      </c>
      <c r="E305" s="1284"/>
      <c r="F305" s="1284"/>
      <c r="I305" s="490"/>
    </row>
    <row r="306" spans="1:9" ht="14.25">
      <c r="A306" s="484"/>
      <c r="B306" s="484"/>
      <c r="D306" s="494"/>
      <c r="E306" s="495"/>
      <c r="F306" s="495"/>
      <c r="I306" s="490"/>
    </row>
    <row r="307" spans="1:9" ht="13.7" customHeight="1">
      <c r="B307" s="485" t="s">
        <v>2705</v>
      </c>
      <c r="D307" s="1293" t="s">
        <v>1220</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2704</v>
      </c>
      <c r="D313" s="1293" t="s">
        <v>1131</v>
      </c>
      <c r="E313" s="1293"/>
      <c r="F313" s="1293"/>
      <c r="I313" s="490"/>
    </row>
    <row r="314" spans="1:9">
      <c r="D314" s="1293"/>
      <c r="E314" s="1293"/>
      <c r="F314" s="1293"/>
      <c r="I314" s="490"/>
    </row>
    <row r="315" spans="1:9" ht="14.25">
      <c r="A315" s="484"/>
      <c r="B315" s="484"/>
      <c r="D315" s="494"/>
      <c r="E315" s="495"/>
      <c r="F315" s="495"/>
      <c r="I315" s="490"/>
    </row>
    <row r="316" spans="1:9">
      <c r="B316" s="485" t="s">
        <v>2704</v>
      </c>
      <c r="D316" s="1284" t="s">
        <v>1132</v>
      </c>
      <c r="E316" s="1284"/>
      <c r="F316" s="1284"/>
      <c r="I316" s="490"/>
    </row>
    <row r="317" spans="1:9">
      <c r="E317" s="446"/>
      <c r="F317" s="446"/>
      <c r="I317" s="490"/>
    </row>
    <row r="318" spans="1:9" ht="14.25">
      <c r="A318" s="484"/>
      <c r="B318" s="485" t="s">
        <v>2705</v>
      </c>
      <c r="D318" s="1283" t="s">
        <v>2244</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2705</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2704</v>
      </c>
      <c r="D344" s="1283" t="s">
        <v>1903</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296" t="s">
        <v>980</v>
      </c>
      <c r="E351" s="1296"/>
      <c r="F351" s="1296"/>
      <c r="G351" s="1027"/>
      <c r="H351" s="1027"/>
      <c r="I351" s="1156"/>
    </row>
    <row r="352" spans="1:9" ht="13.5" thickTop="1">
      <c r="D352" s="1294" t="s">
        <v>2245</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2705</v>
      </c>
      <c r="C355" s="487"/>
      <c r="D355" s="1284" t="s">
        <v>1901</v>
      </c>
      <c r="E355" s="1284"/>
      <c r="F355" s="1284"/>
      <c r="I355" s="490"/>
    </row>
    <row r="356" spans="1:9" ht="12.75" customHeight="1">
      <c r="D356" s="1037"/>
      <c r="E356" s="96" t="s">
        <v>1900</v>
      </c>
      <c r="F356" s="1037"/>
      <c r="I356" s="490"/>
    </row>
    <row r="357" spans="1:9">
      <c r="D357" s="1283" t="s">
        <v>1240</v>
      </c>
      <c r="E357" s="1283"/>
      <c r="F357" s="1283"/>
      <c r="I357" s="490"/>
    </row>
    <row r="358" spans="1:9">
      <c r="D358" s="1283"/>
      <c r="E358" s="1283"/>
      <c r="F358" s="1283"/>
      <c r="I358" s="490"/>
    </row>
    <row r="359" spans="1:9">
      <c r="D359" s="1283"/>
      <c r="E359" s="1283"/>
      <c r="F359" s="1283"/>
      <c r="I359" s="490"/>
    </row>
    <row r="360" spans="1:9" ht="14.25">
      <c r="A360" s="484"/>
      <c r="B360" s="485" t="s">
        <v>2705</v>
      </c>
      <c r="C360" s="476"/>
      <c r="D360" s="1295" t="s">
        <v>2057</v>
      </c>
      <c r="E360" s="1295"/>
      <c r="F360" s="1295"/>
      <c r="I360" s="480"/>
    </row>
    <row r="361" spans="1:9">
      <c r="A361" s="476"/>
      <c r="B361" s="476"/>
      <c r="C361" s="476"/>
      <c r="D361" s="447"/>
      <c r="E361" s="447"/>
      <c r="F361" s="446"/>
      <c r="I361" s="490"/>
    </row>
    <row r="362" spans="1:9">
      <c r="A362" s="476"/>
      <c r="B362" s="485" t="s">
        <v>2705</v>
      </c>
      <c r="C362" s="476"/>
      <c r="D362" s="1263" t="s">
        <v>2058</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6" customHeight="1">
      <c r="A375" s="476"/>
      <c r="B375" s="485" t="s">
        <v>2705</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2705</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2705</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2705</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2705</v>
      </c>
      <c r="D423" s="1263" t="s">
        <v>1882</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2705</v>
      </c>
      <c r="C429" s="476"/>
      <c r="D429" s="1263" t="s">
        <v>1241</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2074</v>
      </c>
      <c r="E433" s="1263"/>
      <c r="F433" s="1263"/>
      <c r="I433" s="490"/>
    </row>
    <row r="434" spans="1:9">
      <c r="D434" s="446"/>
      <c r="E434" s="446"/>
      <c r="F434" s="446"/>
      <c r="I434" s="490"/>
    </row>
    <row r="435" spans="1:9" ht="14.25">
      <c r="A435" s="484"/>
      <c r="B435" s="485" t="s">
        <v>2705</v>
      </c>
      <c r="C435" s="487"/>
      <c r="D435" s="1283" t="s">
        <v>2059</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2705</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2705</v>
      </c>
      <c r="C471" s="484"/>
      <c r="D471" s="1283" t="s">
        <v>1198</v>
      </c>
      <c r="E471" s="1283"/>
      <c r="F471" s="1283"/>
      <c r="I471" s="490"/>
    </row>
    <row r="472" spans="1:9">
      <c r="D472" s="1283"/>
      <c r="E472" s="1283"/>
      <c r="F472" s="1283"/>
      <c r="I472" s="490"/>
    </row>
    <row r="473" spans="1:9">
      <c r="D473" s="446"/>
      <c r="E473" s="446"/>
      <c r="F473" s="446"/>
      <c r="I473" s="490"/>
    </row>
    <row r="474" spans="1:9" ht="14.25">
      <c r="B474" s="485" t="s">
        <v>2705</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2705</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2705</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2705</v>
      </c>
      <c r="C486" s="402"/>
      <c r="D486" s="1283"/>
      <c r="E486" s="1283"/>
      <c r="F486" s="1283"/>
      <c r="I486" s="490"/>
    </row>
    <row r="487" spans="1:9">
      <c r="A487" s="402"/>
      <c r="C487" s="402"/>
      <c r="D487" s="1283"/>
      <c r="E487" s="1283"/>
      <c r="F487" s="1283"/>
      <c r="I487" s="490"/>
    </row>
    <row r="488" spans="1:9">
      <c r="A488" s="402"/>
      <c r="B488" s="485" t="s">
        <v>2705</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2705</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ht="14.25">
      <c r="A499" s="484"/>
      <c r="B499" s="484"/>
      <c r="D499" s="1295" t="s">
        <v>1142</v>
      </c>
      <c r="E499" s="1295"/>
      <c r="F499" s="1295"/>
      <c r="I499" s="490"/>
    </row>
    <row r="500" spans="1:9" ht="14.25">
      <c r="A500" s="484"/>
      <c r="B500" s="484"/>
      <c r="D500" s="447"/>
      <c r="I500" s="490"/>
    </row>
    <row r="501" spans="1:9" ht="14.25">
      <c r="A501" s="484"/>
      <c r="B501" s="485" t="s">
        <v>2704</v>
      </c>
      <c r="D501" s="1263" t="s">
        <v>1143</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2704</v>
      </c>
      <c r="D504" s="1287" t="s">
        <v>1274</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2704</v>
      </c>
      <c r="D509" s="1284" t="s">
        <v>1144</v>
      </c>
      <c r="E509" s="1284"/>
      <c r="F509" s="1284"/>
      <c r="I509" s="490"/>
    </row>
    <row r="510" spans="1:9" ht="14.25">
      <c r="A510" s="484"/>
      <c r="B510" s="484"/>
      <c r="D510" s="446"/>
      <c r="I510" s="490"/>
    </row>
    <row r="511" spans="1:9" ht="14.25">
      <c r="A511" s="484"/>
      <c r="B511" s="485" t="s">
        <v>2704</v>
      </c>
      <c r="D511" s="1283" t="s">
        <v>1145</v>
      </c>
      <c r="E511" s="1283"/>
      <c r="F511" s="1283"/>
      <c r="I511" s="490"/>
    </row>
    <row r="512" spans="1:9" ht="14.25">
      <c r="A512" s="484"/>
      <c r="D512" s="1283"/>
      <c r="E512" s="1283"/>
      <c r="F512" s="1283"/>
      <c r="I512" s="490"/>
    </row>
    <row r="513" spans="1:9">
      <c r="A513" s="490"/>
      <c r="B513" s="490"/>
      <c r="D513" s="447"/>
      <c r="I513" s="490"/>
    </row>
    <row r="514" spans="1:9">
      <c r="A514" s="490"/>
      <c r="B514" s="485" t="s">
        <v>2704</v>
      </c>
      <c r="D514" s="1284" t="s">
        <v>1146</v>
      </c>
      <c r="E514" s="1284"/>
      <c r="F514" s="1284"/>
      <c r="I514" s="490"/>
    </row>
    <row r="515" spans="1:9">
      <c r="D515" s="446"/>
      <c r="E515" s="446"/>
      <c r="F515" s="446"/>
      <c r="I515" s="490"/>
    </row>
    <row r="516" spans="1:9">
      <c r="B516" s="485" t="s">
        <v>2704</v>
      </c>
      <c r="D516" s="1283" t="s">
        <v>2279</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2704</v>
      </c>
      <c r="C527" s="483"/>
      <c r="D527" s="1263" t="s">
        <v>2060</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2704</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35" customHeight="1">
      <c r="A536" s="483"/>
      <c r="B536" s="485" t="s">
        <v>2705</v>
      </c>
      <c r="C536" s="483"/>
      <c r="D536" s="1283" t="s">
        <v>2062</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3.7" customHeight="1">
      <c r="A548" s="484"/>
      <c r="B548" s="485" t="s">
        <v>2704</v>
      </c>
      <c r="C548" s="487"/>
      <c r="D548" s="1284" t="s">
        <v>885</v>
      </c>
      <c r="E548" s="1284"/>
      <c r="F548" s="1284"/>
      <c r="I548" s="490"/>
    </row>
    <row r="549" spans="1:9" ht="13.7" customHeight="1">
      <c r="A549" s="487"/>
      <c r="B549" s="487"/>
      <c r="C549" s="487"/>
      <c r="D549" s="446"/>
      <c r="I549" s="490"/>
    </row>
    <row r="550" spans="1:9" ht="14.25">
      <c r="A550" s="484"/>
      <c r="B550" s="485" t="s">
        <v>2704</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2704</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2704</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2704</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2705</v>
      </c>
      <c r="C563" s="487"/>
      <c r="D563" s="1283" t="s">
        <v>2246</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2704</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2704</v>
      </c>
      <c r="C569" s="487"/>
      <c r="D569" s="1284" t="s">
        <v>1088</v>
      </c>
      <c r="E569" s="1284"/>
      <c r="F569" s="1284"/>
      <c r="I569" s="490"/>
    </row>
    <row r="570" spans="1:9">
      <c r="A570" s="490"/>
      <c r="B570" s="490"/>
      <c r="C570" s="487"/>
      <c r="D570" s="1284" t="s">
        <v>1907</v>
      </c>
      <c r="E570" s="1284"/>
      <c r="F570" s="1284"/>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2704</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2704</v>
      </c>
      <c r="C578" s="487"/>
      <c r="D578" s="1283" t="s">
        <v>2063</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2703</v>
      </c>
      <c r="D588" s="1287" t="s">
        <v>889</v>
      </c>
      <c r="E588" s="1287"/>
      <c r="F588" s="1287"/>
      <c r="I588" s="490"/>
    </row>
    <row r="589" spans="1:9">
      <c r="A589" s="490"/>
      <c r="B589" s="490"/>
      <c r="D589" s="476"/>
      <c r="I589" s="490"/>
    </row>
    <row r="590" spans="1:9">
      <c r="A590" s="490"/>
      <c r="B590" s="485" t="s">
        <v>2703</v>
      </c>
      <c r="D590" s="1287" t="s">
        <v>2064</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592</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2703</v>
      </c>
      <c r="D599" s="1287" t="s">
        <v>2065</v>
      </c>
      <c r="E599" s="1287"/>
      <c r="F599" s="1287"/>
      <c r="I599" s="490"/>
    </row>
    <row r="600" spans="1:9">
      <c r="A600" s="490"/>
      <c r="B600" s="490"/>
      <c r="D600" s="1287"/>
      <c r="E600" s="1287"/>
      <c r="F600" s="1287"/>
      <c r="I600" s="490"/>
    </row>
    <row r="601" spans="1:9">
      <c r="A601" s="490"/>
      <c r="B601" s="490"/>
      <c r="D601" s="499"/>
      <c r="I601" s="490"/>
    </row>
    <row r="602" spans="1:9">
      <c r="A602" s="490"/>
      <c r="B602" s="485" t="s">
        <v>592</v>
      </c>
      <c r="D602" s="1287" t="s">
        <v>1070</v>
      </c>
      <c r="E602" s="1287"/>
      <c r="F602" s="1287"/>
      <c r="I602" s="490"/>
    </row>
    <row r="603" spans="1:9">
      <c r="A603" s="490"/>
      <c r="B603" s="490"/>
      <c r="D603" s="1287"/>
      <c r="E603" s="1287"/>
      <c r="F603" s="1287"/>
      <c r="I603" s="490"/>
    </row>
    <row r="604" spans="1:9" ht="14.25">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2703</v>
      </c>
      <c r="D610" s="1312" t="s">
        <v>1908</v>
      </c>
      <c r="E610" s="1312"/>
      <c r="F610" s="1312"/>
      <c r="I610" s="490"/>
    </row>
    <row r="611" spans="1:9">
      <c r="D611" s="1312"/>
      <c r="E611" s="1312"/>
      <c r="F611" s="1312"/>
      <c r="I611" s="490"/>
    </row>
    <row r="612" spans="1:9">
      <c r="D612" s="385"/>
      <c r="E612" s="1036" t="s">
        <v>1909</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2704</v>
      </c>
      <c r="D620" s="1308" t="s">
        <v>1112</v>
      </c>
      <c r="E620" s="1308"/>
      <c r="F620" s="1308"/>
      <c r="I620" s="490"/>
    </row>
    <row r="621" spans="1:9">
      <c r="D621" s="1308"/>
      <c r="E621" s="1308"/>
      <c r="F621" s="1308"/>
      <c r="I621" s="490"/>
    </row>
    <row r="622" spans="1:9">
      <c r="I622" s="490"/>
    </row>
    <row r="623" spans="1:9">
      <c r="B623" s="485" t="s">
        <v>2704</v>
      </c>
      <c r="D623" s="1308" t="s">
        <v>1113</v>
      </c>
      <c r="E623" s="1308"/>
      <c r="F623" s="1308"/>
      <c r="I623" s="490"/>
    </row>
    <row r="624" spans="1:9">
      <c r="C624" s="500"/>
      <c r="D624" s="1308"/>
      <c r="E624" s="1308"/>
      <c r="F624" s="1308"/>
      <c r="I624" s="490"/>
    </row>
    <row r="625" spans="1:9">
      <c r="C625" s="500"/>
      <c r="I625" s="490"/>
    </row>
    <row r="626" spans="1:9">
      <c r="B626" s="485" t="s">
        <v>2705</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2704</v>
      </c>
      <c r="D633" s="1312" t="s">
        <v>2066</v>
      </c>
      <c r="E633" s="1312"/>
      <c r="F633" s="1312"/>
      <c r="I633" s="490"/>
    </row>
    <row r="634" spans="1:9">
      <c r="D634" s="1312"/>
      <c r="E634" s="1312"/>
      <c r="F634" s="1312"/>
      <c r="I634" s="490"/>
    </row>
    <row r="635" spans="1:9">
      <c r="D635" s="385"/>
      <c r="E635" s="1036" t="s">
        <v>1911</v>
      </c>
      <c r="F635" s="385"/>
      <c r="I635" s="490"/>
    </row>
    <row r="636" spans="1:9">
      <c r="D636" s="1283" t="s">
        <v>1910</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2705</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2705</v>
      </c>
      <c r="C643" s="487"/>
      <c r="D643" s="1283" t="s">
        <v>1226</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2705</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2704</v>
      </c>
      <c r="C653" s="487"/>
      <c r="D653" s="1283" t="s">
        <v>1282</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2704</v>
      </c>
      <c r="C658" s="487"/>
      <c r="D658" s="1283" t="s">
        <v>1284</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2704</v>
      </c>
      <c r="C664" s="487"/>
      <c r="D664" s="1283" t="s">
        <v>1283</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2705</v>
      </c>
      <c r="C669" s="487"/>
      <c r="D669" s="1283" t="s">
        <v>2067</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ht="14.25">
      <c r="A685" s="484"/>
      <c r="B685" s="485" t="s">
        <v>2704</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2704</v>
      </c>
      <c r="C690" s="483"/>
      <c r="D690" s="1283" t="s">
        <v>2068</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2704</v>
      </c>
      <c r="C694" s="483"/>
      <c r="D694" s="1284" t="s">
        <v>918</v>
      </c>
      <c r="E694" s="1284"/>
      <c r="F694" s="1284"/>
      <c r="H694" s="501"/>
      <c r="I694" s="483"/>
      <c r="J694" s="501"/>
      <c r="K694" s="501"/>
    </row>
    <row r="695" spans="1:11" ht="14.25">
      <c r="A695" s="484"/>
      <c r="B695" s="484"/>
      <c r="C695" s="483"/>
      <c r="D695" s="1284" t="s">
        <v>895</v>
      </c>
      <c r="E695" s="1284"/>
      <c r="F695" s="1284"/>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2705</v>
      </c>
      <c r="C698" s="483"/>
      <c r="D698" s="1284" t="s">
        <v>2468</v>
      </c>
      <c r="E698" s="1284"/>
      <c r="F698" s="1284"/>
      <c r="H698" s="501"/>
      <c r="I698" s="483"/>
      <c r="J698" s="501"/>
      <c r="K698" s="501"/>
    </row>
    <row r="699" spans="1:11" ht="14.25">
      <c r="A699" s="484"/>
      <c r="B699" s="484"/>
      <c r="C699" s="483"/>
      <c r="D699" s="1284" t="s">
        <v>895</v>
      </c>
      <c r="E699" s="1284"/>
      <c r="F699" s="1284"/>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ht="14.25">
      <c r="A702" s="484"/>
      <c r="B702" s="485" t="s">
        <v>2704</v>
      </c>
      <c r="C702" s="483"/>
      <c r="D702" s="1283" t="s">
        <v>2243</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2704</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2705</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2705</v>
      </c>
      <c r="C725" s="483"/>
      <c r="D725" s="1283" t="s">
        <v>2461</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2705</v>
      </c>
      <c r="C729" s="483"/>
      <c r="D729" s="1283" t="s">
        <v>2460</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2705</v>
      </c>
      <c r="C733" s="483"/>
      <c r="D733" s="1283" t="s">
        <v>2459</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2704</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2705</v>
      </c>
      <c r="C744" s="483"/>
      <c r="D744" s="1283" t="s">
        <v>2146</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2075</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2704</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2705</v>
      </c>
      <c r="C765" s="504"/>
      <c r="D765" s="1283" t="s">
        <v>1242</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2705</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2704</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2705</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1802</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1855</v>
      </c>
      <c r="E783" s="1314"/>
      <c r="F783" s="1314"/>
      <c r="G783" s="3"/>
      <c r="I783" s="490"/>
    </row>
    <row r="784" spans="1:11">
      <c r="A784" s="57"/>
      <c r="B784" s="57"/>
      <c r="C784" s="354"/>
      <c r="D784" s="1295" t="s">
        <v>1756</v>
      </c>
      <c r="E784" s="1295"/>
      <c r="F784" s="1295"/>
      <c r="G784" s="3"/>
      <c r="I784" s="490"/>
    </row>
    <row r="785" spans="1:9">
      <c r="A785" s="57"/>
      <c r="B785" s="57"/>
      <c r="C785" s="354"/>
      <c r="D785" s="447"/>
      <c r="E785" s="447"/>
      <c r="F785" s="447"/>
      <c r="G785" s="3"/>
      <c r="I785" s="490"/>
    </row>
    <row r="786" spans="1:9">
      <c r="A786" s="57"/>
      <c r="B786" s="485" t="s">
        <v>2704</v>
      </c>
      <c r="C786" s="354"/>
      <c r="D786" s="1316" t="s">
        <v>1757</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2704</v>
      </c>
      <c r="C790" s="172"/>
      <c r="D790" s="1316" t="s">
        <v>1758</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2704</v>
      </c>
      <c r="C794" s="989"/>
      <c r="D794" s="1316" t="s">
        <v>1759</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2705</v>
      </c>
      <c r="C798" s="989"/>
      <c r="D798" s="1316" t="s">
        <v>1760</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1803</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2705</v>
      </c>
      <c r="C808" s="989"/>
      <c r="D808" s="1316" t="s">
        <v>1761</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2704</v>
      </c>
      <c r="C815" s="989"/>
      <c r="D815" s="1316" t="s">
        <v>1762</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2705</v>
      </c>
      <c r="C822" s="989"/>
      <c r="D822" s="1288" t="s">
        <v>1763</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1764</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1804</v>
      </c>
      <c r="E831" s="1313"/>
      <c r="F831" s="1313"/>
      <c r="G831" s="3"/>
      <c r="I831" s="490"/>
    </row>
    <row r="832" spans="1:9" ht="14.25" customHeight="1">
      <c r="A832" s="175"/>
      <c r="B832" s="175"/>
      <c r="C832" s="354"/>
      <c r="D832" s="1260" t="s">
        <v>1765</v>
      </c>
      <c r="E832" s="1260"/>
      <c r="F832" s="1260"/>
      <c r="G832" s="3"/>
      <c r="I832" s="490"/>
    </row>
    <row r="833" spans="1:9" ht="12.75" customHeight="1">
      <c r="A833" s="175"/>
      <c r="B833" s="175"/>
      <c r="C833" s="354"/>
      <c r="D833" s="441"/>
      <c r="E833" s="441"/>
      <c r="F833" s="441"/>
      <c r="G833" s="3"/>
      <c r="I833" s="490"/>
    </row>
    <row r="834" spans="1:9" ht="12.75" customHeight="1">
      <c r="A834" s="354"/>
      <c r="B834" s="485" t="s">
        <v>2704</v>
      </c>
      <c r="C834" s="989"/>
      <c r="D834" s="1260" t="s">
        <v>1766</v>
      </c>
      <c r="E834" s="1260"/>
      <c r="F834" s="1260"/>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2076</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2704</v>
      </c>
      <c r="C848" s="989"/>
      <c r="D848" s="1260" t="s">
        <v>1767</v>
      </c>
      <c r="E848" s="1260"/>
      <c r="F848" s="1260"/>
      <c r="G848" s="3"/>
      <c r="I848" s="490" t="s">
        <v>1883</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2705</v>
      </c>
      <c r="C852" s="989"/>
      <c r="D852" s="1313" t="s">
        <v>1768</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2069</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2705</v>
      </c>
      <c r="C861" s="989"/>
      <c r="D861" s="1260" t="s">
        <v>1769</v>
      </c>
      <c r="E861" s="1260"/>
      <c r="F861" s="1260"/>
      <c r="G861" s="3"/>
      <c r="I861" s="490" t="s">
        <v>1881</v>
      </c>
    </row>
    <row r="862" spans="1:9" ht="12.75" customHeight="1">
      <c r="A862" s="175"/>
      <c r="B862" s="175"/>
      <c r="C862" s="989"/>
      <c r="D862" s="1260" t="s">
        <v>1770</v>
      </c>
      <c r="E862" s="1260"/>
      <c r="F862" s="1260"/>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2705</v>
      </c>
      <c r="C865" s="989"/>
      <c r="D865" s="1260" t="s">
        <v>1771</v>
      </c>
      <c r="E865" s="1260"/>
      <c r="F865" s="1260"/>
      <c r="G865" s="3"/>
      <c r="I865" s="490" t="s">
        <v>1884</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1805</v>
      </c>
      <c r="E872" s="1322"/>
      <c r="F872" s="1322"/>
      <c r="G872" s="988"/>
      <c r="I872" s="490"/>
    </row>
    <row r="873" spans="1:9" ht="12.75" customHeight="1">
      <c r="A873" s="354"/>
      <c r="B873" s="354"/>
      <c r="C873" s="174"/>
      <c r="D873" s="1317" t="s">
        <v>1773</v>
      </c>
      <c r="E873" s="1317"/>
      <c r="F873" s="1317"/>
      <c r="G873" s="988"/>
      <c r="I873" s="490"/>
    </row>
    <row r="874" spans="1:9" ht="12.75" customHeight="1">
      <c r="A874" s="354"/>
      <c r="B874" s="354"/>
      <c r="C874" s="174"/>
      <c r="D874" s="995"/>
      <c r="E874" s="995"/>
      <c r="F874" s="995"/>
      <c r="G874" s="988"/>
      <c r="I874" s="490"/>
    </row>
    <row r="875" spans="1:9" ht="12.75" customHeight="1">
      <c r="A875" s="175"/>
      <c r="B875" s="485" t="s">
        <v>2704</v>
      </c>
      <c r="C875" s="354"/>
      <c r="D875" s="1300" t="s">
        <v>1774</v>
      </c>
      <c r="E875" s="1300"/>
      <c r="F875" s="1300"/>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2704</v>
      </c>
      <c r="C878" s="354"/>
      <c r="D878" s="1260" t="s">
        <v>1775</v>
      </c>
      <c r="E878" s="1310"/>
      <c r="F878" s="1310"/>
      <c r="G878" s="3"/>
      <c r="I878" s="490" t="s">
        <v>1884</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2705</v>
      </c>
      <c r="C881" s="354"/>
      <c r="D881" s="1311" t="s">
        <v>1776</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2069</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2705</v>
      </c>
      <c r="C890" s="354"/>
      <c r="D890" s="1301" t="s">
        <v>1769</v>
      </c>
      <c r="E890" s="1301"/>
      <c r="F890" s="1301"/>
      <c r="G890" s="988"/>
      <c r="I890" s="490"/>
    </row>
    <row r="891" spans="1:9" ht="12.75" customHeight="1">
      <c r="A891" s="175"/>
      <c r="B891" s="175"/>
      <c r="C891" s="354"/>
      <c r="D891" s="1301" t="s">
        <v>1770</v>
      </c>
      <c r="E891" s="1301"/>
      <c r="F891" s="1301"/>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2705</v>
      </c>
      <c r="C894" s="354"/>
      <c r="D894" s="1260" t="s">
        <v>1771</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1806</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1812</v>
      </c>
      <c r="E901" s="1325"/>
      <c r="F901" s="1325"/>
      <c r="G901" s="57"/>
      <c r="I901" s="490"/>
    </row>
    <row r="902" spans="1:9" ht="12.75" customHeight="1">
      <c r="A902" s="57"/>
      <c r="B902" s="57"/>
      <c r="C902" s="57"/>
      <c r="D902" s="981"/>
      <c r="E902" s="981"/>
      <c r="F902" s="981"/>
      <c r="G902" s="57"/>
      <c r="I902" s="490"/>
    </row>
    <row r="903" spans="1:9" ht="12.75" customHeight="1">
      <c r="A903" s="57"/>
      <c r="B903" s="485" t="s">
        <v>2704</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1807</v>
      </c>
      <c r="E905" s="1325"/>
      <c r="F905" s="1325"/>
      <c r="G905" s="988"/>
      <c r="I905" s="490"/>
    </row>
    <row r="906" spans="1:9" ht="12.75" customHeight="1">
      <c r="A906" s="172"/>
      <c r="B906" s="172"/>
      <c r="C906" s="172"/>
      <c r="D906" s="1300" t="s">
        <v>1777</v>
      </c>
      <c r="E906" s="1300"/>
      <c r="F906" s="1300"/>
      <c r="G906" s="988"/>
      <c r="I906" s="490"/>
    </row>
    <row r="907" spans="1:9" ht="12.75" customHeight="1">
      <c r="A907" s="989"/>
      <c r="B907" s="989"/>
      <c r="C907" s="989"/>
      <c r="D907" s="2"/>
      <c r="E907" s="988"/>
      <c r="F907" s="988"/>
      <c r="G907" s="988"/>
      <c r="I907" s="490"/>
    </row>
    <row r="908" spans="1:9" ht="12.75" customHeight="1">
      <c r="A908" s="175"/>
      <c r="B908" s="485" t="s">
        <v>2704</v>
      </c>
      <c r="C908" s="354"/>
      <c r="D908" s="1260" t="s">
        <v>1781</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1780</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2704</v>
      </c>
      <c r="C913" s="174"/>
      <c r="D913" s="1264" t="s">
        <v>1778</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2705</v>
      </c>
      <c r="C922" s="989"/>
      <c r="D922" s="1260" t="s">
        <v>1782</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2705</v>
      </c>
      <c r="C925" s="989"/>
      <c r="D925" s="1288" t="s">
        <v>1783</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2705</v>
      </c>
      <c r="C930" s="989"/>
      <c r="D930" s="1300" t="s">
        <v>2070</v>
      </c>
      <c r="E930" s="1300"/>
      <c r="F930" s="1300"/>
      <c r="G930" s="988"/>
      <c r="I930" s="490"/>
    </row>
    <row r="931" spans="1:9" ht="12.75" customHeight="1">
      <c r="A931" s="989"/>
      <c r="B931" s="989"/>
      <c r="C931" s="989"/>
      <c r="D931" s="118"/>
      <c r="E931" s="988"/>
      <c r="F931" s="988"/>
      <c r="G931" s="988"/>
      <c r="I931" s="490"/>
    </row>
    <row r="932" spans="1:9" ht="12.75" customHeight="1">
      <c r="A932" s="989"/>
      <c r="B932" s="485" t="s">
        <v>2706</v>
      </c>
      <c r="C932" s="989"/>
      <c r="D932" s="1300" t="s">
        <v>2071</v>
      </c>
      <c r="E932" s="1300"/>
      <c r="F932" s="1300"/>
      <c r="G932" s="988"/>
      <c r="I932" s="490"/>
    </row>
    <row r="933" spans="1:9" ht="12.75" customHeight="1">
      <c r="A933" s="174"/>
      <c r="B933" s="174"/>
      <c r="C933" s="174"/>
      <c r="D933" s="2"/>
      <c r="E933" s="3"/>
      <c r="F933" s="988"/>
      <c r="G933" s="988"/>
      <c r="I933" s="490"/>
    </row>
    <row r="934" spans="1:9" ht="12.75" customHeight="1">
      <c r="A934" s="997"/>
      <c r="B934" s="485" t="s">
        <v>2704</v>
      </c>
      <c r="C934" s="998"/>
      <c r="D934" s="1264" t="s">
        <v>1779</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2704</v>
      </c>
      <c r="C944" s="174"/>
      <c r="D944" s="1319" t="s">
        <v>1887</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2705</v>
      </c>
      <c r="C952" s="174"/>
      <c r="D952" s="1263" t="s">
        <v>2138</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2705</v>
      </c>
      <c r="C959" s="989"/>
      <c r="D959" s="1288" t="s">
        <v>1784</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2705</v>
      </c>
      <c r="C964" s="174"/>
      <c r="D964" s="1264" t="s">
        <v>1886</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1785</v>
      </c>
      <c r="E969" s="1322"/>
      <c r="F969" s="1322"/>
      <c r="G969" s="3"/>
      <c r="I969" s="490"/>
    </row>
    <row r="970" spans="1:9" ht="12.75" customHeight="1">
      <c r="A970" s="175"/>
      <c r="B970" s="485" t="s">
        <v>2705</v>
      </c>
      <c r="C970" s="354"/>
      <c r="D970" s="1300" t="s">
        <v>1808</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1786</v>
      </c>
      <c r="E972" s="1322"/>
      <c r="F972" s="1322"/>
      <c r="G972"/>
      <c r="I972" s="490"/>
    </row>
    <row r="973" spans="1:9" ht="12.75" customHeight="1">
      <c r="A973" s="175"/>
      <c r="B973" s="485" t="s">
        <v>2705</v>
      </c>
      <c r="C973" s="354"/>
      <c r="D973" s="1260" t="s">
        <v>2072</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1787</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1809</v>
      </c>
      <c r="E991" s="1322"/>
      <c r="F991" s="1322"/>
      <c r="G991" s="3"/>
      <c r="I991" s="490"/>
    </row>
    <row r="992" spans="1:9" ht="12.75" customHeight="1">
      <c r="A992" s="172"/>
      <c r="B992" s="172"/>
      <c r="C992" s="172"/>
      <c r="D992" s="1300" t="s">
        <v>1788</v>
      </c>
      <c r="E992" s="1300"/>
      <c r="F992" s="1300"/>
      <c r="G992" s="3"/>
      <c r="I992" s="490"/>
    </row>
    <row r="993" spans="1:9" ht="12.75" customHeight="1">
      <c r="A993" s="172"/>
      <c r="B993" s="172"/>
      <c r="C993" s="172"/>
      <c r="D993" s="3"/>
      <c r="E993" s="3"/>
      <c r="F993" s="988"/>
      <c r="G993"/>
      <c r="I993" s="490"/>
    </row>
    <row r="994" spans="1:9" ht="12.75" customHeight="1">
      <c r="A994" s="354"/>
      <c r="B994" s="485" t="s">
        <v>2704</v>
      </c>
      <c r="C994" s="354"/>
      <c r="D994" s="1324" t="s">
        <v>1916</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1917</v>
      </c>
      <c r="F996" s="1038"/>
      <c r="G996"/>
      <c r="I996" s="490"/>
    </row>
    <row r="997" spans="1:9" ht="12.75" customHeight="1">
      <c r="A997" s="354"/>
      <c r="B997" s="354"/>
      <c r="C997" s="354"/>
      <c r="D997" s="1266" t="s">
        <v>1915</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2705</v>
      </c>
      <c r="C1002" s="174"/>
      <c r="D1002" s="1260" t="s">
        <v>1789</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2705</v>
      </c>
      <c r="C1007" s="174"/>
      <c r="D1007" s="1260" t="s">
        <v>2229</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2704</v>
      </c>
      <c r="C1010" s="354"/>
      <c r="D1010" s="1300" t="s">
        <v>1790</v>
      </c>
      <c r="E1010" s="1300"/>
      <c r="F1010" s="1300"/>
      <c r="G1010"/>
      <c r="I1010" s="490"/>
    </row>
    <row r="1011" spans="1:9" ht="12.75" customHeight="1">
      <c r="A1011" s="354"/>
      <c r="B1011" s="354"/>
      <c r="C1011" s="354"/>
      <c r="D1011" s="3"/>
      <c r="E1011" s="3"/>
      <c r="F1011" s="3"/>
      <c r="G1011"/>
      <c r="I1011" s="490"/>
    </row>
    <row r="1012" spans="1:9" ht="12.75" customHeight="1">
      <c r="A1012" s="175"/>
      <c r="B1012" s="485" t="s">
        <v>2704</v>
      </c>
      <c r="C1012" s="354"/>
      <c r="D1012" s="1300" t="s">
        <v>1791</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2705</v>
      </c>
      <c r="C1014" s="354"/>
      <c r="D1014" s="1300" t="s">
        <v>1792</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2705</v>
      </c>
      <c r="C1016" s="354"/>
      <c r="D1016" s="1260" t="s">
        <v>1793</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2705</v>
      </c>
      <c r="C1019" s="1000"/>
      <c r="D1019" s="1316" t="s">
        <v>1794</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2705</v>
      </c>
      <c r="C1022" s="1000"/>
      <c r="D1022" s="1323" t="s">
        <v>1795</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2705</v>
      </c>
      <c r="C1024" s="354"/>
      <c r="D1024" s="1300" t="s">
        <v>1796</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2705</v>
      </c>
      <c r="C1026" s="354"/>
      <c r="D1026" s="1260" t="s">
        <v>1797</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1798</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1799</v>
      </c>
      <c r="E1031" s="1325"/>
      <c r="F1031" s="1325"/>
      <c r="G1031" s="3"/>
      <c r="I1031" s="490"/>
    </row>
    <row r="1032" spans="1:9" ht="12.75" customHeight="1">
      <c r="A1032" s="354"/>
      <c r="B1032" s="354"/>
      <c r="C1032" s="354"/>
      <c r="D1032" s="1323" t="s">
        <v>1800</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1814</v>
      </c>
      <c r="E1034" s="1325"/>
      <c r="F1034" s="1325"/>
      <c r="G1034" s="3"/>
      <c r="I1034" s="490"/>
    </row>
    <row r="1035" spans="1:9" ht="12.75" customHeight="1">
      <c r="A1035" s="354"/>
      <c r="B1035" s="485" t="s">
        <v>2704</v>
      </c>
      <c r="C1035" s="354"/>
      <c r="D1035" s="1323" t="s">
        <v>1272</v>
      </c>
      <c r="E1035" s="1323"/>
      <c r="F1035" s="1323"/>
      <c r="G1035" s="3"/>
      <c r="I1035" s="490"/>
    </row>
    <row r="1036" spans="1:9" ht="12.75" customHeight="1">
      <c r="A1036" s="354"/>
      <c r="B1036" s="175"/>
      <c r="C1036" s="354"/>
      <c r="D1036" s="1323" t="s">
        <v>1801</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1810</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1273</v>
      </c>
      <c r="E1040" s="1330"/>
      <c r="F1040" s="1330"/>
      <c r="G1040" s="3"/>
      <c r="I1040" s="490"/>
    </row>
    <row r="1041" spans="1:9" ht="12.75" hidden="1" customHeight="1">
      <c r="A1041" s="118"/>
      <c r="B1041" s="485" t="s">
        <v>307</v>
      </c>
      <c r="D1041" s="1292" t="s">
        <v>1272</v>
      </c>
      <c r="E1041" s="1292"/>
      <c r="F1041" s="1292"/>
      <c r="G1041" s="3"/>
      <c r="I1041" s="490"/>
    </row>
    <row r="1042" spans="1:9" ht="12.75" hidden="1" customHeight="1">
      <c r="A1042" s="118"/>
      <c r="B1042" s="402"/>
      <c r="D1042" s="1292" t="s">
        <v>1811</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2247</v>
      </c>
      <c r="E1045" s="1301"/>
      <c r="F1045" s="1301"/>
      <c r="G1045" s="98"/>
      <c r="I1045" s="490"/>
    </row>
    <row r="1046" spans="1:9" ht="12.75" customHeight="1">
      <c r="A1046" s="175"/>
      <c r="B1046" s="485" t="s">
        <v>2705</v>
      </c>
      <c r="C1046" s="354"/>
      <c r="D1046" s="1301" t="s">
        <v>986</v>
      </c>
      <c r="E1046" s="1301"/>
      <c r="F1046" s="1301"/>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09" t="s">
        <v>1831</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2704</v>
      </c>
      <c r="C1054" s="402"/>
      <c r="D1054" s="1327" t="s">
        <v>1815</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2705</v>
      </c>
      <c r="C1062" s="402"/>
      <c r="D1062" s="402" t="s">
        <v>1813</v>
      </c>
      <c r="I1062" s="490"/>
    </row>
    <row r="1063" spans="1:9">
      <c r="A1063" s="402"/>
      <c r="B1063" s="402"/>
      <c r="C1063" s="402"/>
      <c r="I1063" s="490"/>
    </row>
    <row r="1064" spans="1:9">
      <c r="A1064" s="402"/>
      <c r="B1064" s="485" t="s">
        <v>2705</v>
      </c>
      <c r="C1064" s="402"/>
      <c r="D1064" s="1327" t="s">
        <v>1819</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1820</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2704</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2705</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2705</v>
      </c>
      <c r="C1079" s="402"/>
      <c r="D1079" s="119" t="s">
        <v>1829</v>
      </c>
      <c r="I1079" s="490"/>
    </row>
    <row r="1080" spans="1:9">
      <c r="A1080" s="402"/>
      <c r="B1080" s="402"/>
      <c r="C1080" s="402"/>
      <c r="D1080" s="1260" t="s">
        <v>1830</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2705</v>
      </c>
      <c r="C1087" s="402"/>
      <c r="D1087" s="1326" t="s">
        <v>1822</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1827</v>
      </c>
      <c r="I1092" s="490"/>
    </row>
    <row r="1093" spans="1:9">
      <c r="A1093" s="402"/>
      <c r="B1093" s="402"/>
      <c r="C1093" s="402"/>
      <c r="I1093" s="490"/>
    </row>
    <row r="1094" spans="1:9">
      <c r="A1094" s="402"/>
      <c r="B1094" s="485" t="s">
        <v>2706</v>
      </c>
      <c r="C1094" s="402"/>
      <c r="D1094" s="1276" t="s">
        <v>2280</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1832</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2704</v>
      </c>
      <c r="C1101" s="402"/>
      <c r="D1101" s="1328" t="s">
        <v>1930</v>
      </c>
      <c r="E1101" s="1328"/>
      <c r="F1101" s="1328"/>
      <c r="I1101" s="490"/>
    </row>
    <row r="1102" spans="1:9">
      <c r="A1102" s="402"/>
      <c r="B1102" s="402"/>
      <c r="C1102" s="402"/>
      <c r="D1102" s="1328"/>
      <c r="E1102" s="1328"/>
      <c r="F1102" s="1328"/>
      <c r="I1102" s="490"/>
    </row>
    <row r="1103" spans="1:9">
      <c r="A1103" s="402"/>
      <c r="B1103" s="402"/>
      <c r="C1103" s="402"/>
      <c r="D1103" s="1329" t="s">
        <v>2144</v>
      </c>
      <c r="E1103" s="1260"/>
      <c r="F1103" s="1260"/>
      <c r="I1103" s="490"/>
    </row>
    <row r="1104" spans="1:9">
      <c r="A1104" s="402"/>
      <c r="B1104" s="402"/>
      <c r="C1104" s="402"/>
      <c r="D1104" s="527"/>
      <c r="I1104" s="490"/>
    </row>
    <row r="1105" spans="1:9">
      <c r="A1105" s="402"/>
      <c r="B1105" s="485" t="s">
        <v>2704</v>
      </c>
      <c r="C1105" s="402"/>
      <c r="D1105" s="1326" t="s">
        <v>1833</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2705</v>
      </c>
      <c r="C1108" s="402"/>
      <c r="D1108" s="1326" t="s">
        <v>1888</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2705</v>
      </c>
      <c r="C1115" s="402"/>
      <c r="D1115" s="1326" t="s">
        <v>1834</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2705</v>
      </c>
      <c r="C1119" s="402"/>
      <c r="D1119" s="1266" t="s">
        <v>1889</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2706</v>
      </c>
      <c r="C1123" s="402"/>
      <c r="D1123" s="1260" t="s">
        <v>1890</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999" zoomScaleNormal="100" workbookViewId="0">
      <selection activeCell="AF1025" sqref="AF1025"/>
    </sheetView>
  </sheetViews>
  <sheetFormatPr defaultColWidth="0" defaultRowHeight="0" customHeight="1" zeroHeight="1"/>
  <cols>
    <col min="1" max="46" width="2.5703125" customWidth="1"/>
    <col min="47" max="47" width="2.5703125" hidden="1" customWidth="1"/>
    <col min="48" max="50" width="3.5703125" hidden="1" customWidth="1"/>
    <col min="51" max="51" width="4.5703125" hidden="1" customWidth="1"/>
    <col min="52" max="52" width="8.42578125" hidden="1" customWidth="1"/>
    <col min="53" max="53" width="7.42578125" hidden="1" customWidth="1"/>
    <col min="54" max="55" width="3.5703125" hidden="1" customWidth="1"/>
    <col min="56" max="57" width="8.42578125" hidden="1" customWidth="1"/>
    <col min="58" max="58" width="8.140625" hidden="1" customWidth="1"/>
    <col min="59" max="59" width="11.140625" hidden="1" customWidth="1"/>
    <col min="60" max="60" width="3.5703125" hidden="1" customWidth="1"/>
    <col min="61" max="61" width="8.42578125" hidden="1" customWidth="1"/>
    <col min="62" max="16384" width="3.5703125" hidden="1"/>
  </cols>
  <sheetData>
    <row r="1" spans="1:58" ht="12.95" customHeight="1">
      <c r="J1" s="100"/>
      <c r="AS1" s="1031">
        <v>4</v>
      </c>
      <c r="BD1" s="3" t="s">
        <v>2496</v>
      </c>
      <c r="BE1" s="3"/>
      <c r="BF1" s="3"/>
    </row>
    <row r="2" spans="1:58" ht="12.95" customHeight="1">
      <c r="BD2" s="3" t="s">
        <v>2497</v>
      </c>
      <c r="BE2" s="3" t="s">
        <v>2498</v>
      </c>
      <c r="BF2" s="3" t="s">
        <v>2499</v>
      </c>
    </row>
    <row r="3" spans="1:58" ht="12.95" customHeight="1">
      <c r="BD3" s="3" t="s">
        <v>2594</v>
      </c>
      <c r="BE3" t="str">
        <f>AC220</f>
        <v>N/A</v>
      </c>
    </row>
    <row r="4" spans="1:58" ht="12.95" customHeight="1">
      <c r="BD4" s="3" t="s">
        <v>2506</v>
      </c>
      <c r="BE4" s="1246"/>
    </row>
    <row r="5" spans="1:58" ht="12.95" customHeight="1">
      <c r="BD5" s="3" t="s">
        <v>2507</v>
      </c>
      <c r="BE5">
        <f>SUMIF($AC$718:$AC$752,"&lt;=20%",$G$718:G$752)</f>
        <v>0</v>
      </c>
      <c r="BF5" s="3" t="s">
        <v>2512</v>
      </c>
    </row>
    <row r="6" spans="1:58" ht="12.95" customHeight="1">
      <c r="BD6" s="3" t="s">
        <v>2508</v>
      </c>
      <c r="BE6" s="1249">
        <f>SUMIF($AC$718:$AC$752,"&lt;=25%",$G$718:G$752)-SUM($BE$5:BE5)</f>
        <v>0</v>
      </c>
    </row>
    <row r="7" spans="1:58" ht="12.95" customHeight="1">
      <c r="BD7" s="1247" t="s">
        <v>2500</v>
      </c>
      <c r="BE7" s="1249">
        <f>SUMIF($AC$718:$AC$752,"&lt;=30%",$G$718:G$752)-SUM($BE$5:BE6)</f>
        <v>28</v>
      </c>
    </row>
    <row r="8" spans="1:58" ht="26.25" customHeight="1">
      <c r="A8" s="1837" t="s">
        <v>100</v>
      </c>
      <c r="B8" s="1837"/>
      <c r="C8" s="1837"/>
      <c r="D8" s="1837"/>
      <c r="E8" s="1837"/>
      <c r="F8" s="1837"/>
      <c r="G8" s="1837"/>
      <c r="H8" s="1837"/>
      <c r="I8" s="1837"/>
      <c r="J8" s="1837"/>
      <c r="K8" s="1837"/>
      <c r="L8" s="1837"/>
      <c r="M8" s="1837"/>
      <c r="N8" s="1837"/>
      <c r="O8" s="1837"/>
      <c r="P8" s="1837"/>
      <c r="Q8" s="1837"/>
      <c r="R8" s="1837"/>
      <c r="S8" s="1837"/>
      <c r="T8" s="1837"/>
      <c r="U8" s="1837"/>
      <c r="V8" s="1837"/>
      <c r="W8" s="1837"/>
      <c r="X8" s="1837"/>
      <c r="Y8" s="1837"/>
      <c r="Z8" s="1837"/>
      <c r="AA8" s="1837"/>
      <c r="AB8" s="1837"/>
      <c r="AC8" s="1837"/>
      <c r="AD8" s="1837"/>
      <c r="AE8" s="1837"/>
      <c r="AF8" s="1837"/>
      <c r="AG8" s="1837"/>
      <c r="AH8" s="1837"/>
      <c r="AI8" s="1837"/>
      <c r="AJ8" s="1837"/>
      <c r="AK8" s="1837"/>
      <c r="AL8" s="1837"/>
      <c r="AM8" s="1837"/>
      <c r="AN8" s="1837"/>
      <c r="AO8" s="1837"/>
      <c r="AP8" s="1837"/>
      <c r="AQ8" s="1837"/>
      <c r="AR8" s="1837"/>
      <c r="AS8" s="1837"/>
      <c r="AT8" s="1837"/>
      <c r="AU8" s="898"/>
      <c r="AV8" s="898"/>
      <c r="AW8" s="898"/>
      <c r="AX8" s="898"/>
      <c r="AY8" s="898"/>
      <c r="BD8" s="3" t="s">
        <v>2509</v>
      </c>
      <c r="BE8" s="1249">
        <f>SUMIF($AC$718:$AC$752,"&lt;=35%",$G$718:G$752)-SUM($BE$5:BE7)</f>
        <v>0</v>
      </c>
    </row>
    <row r="9" spans="1:58" ht="12.95" customHeight="1">
      <c r="A9" s="1838" t="s">
        <v>2077</v>
      </c>
      <c r="B9" s="1838"/>
      <c r="C9" s="1838"/>
      <c r="D9" s="1838"/>
      <c r="E9" s="1838"/>
      <c r="F9" s="1838"/>
      <c r="G9" s="1838"/>
      <c r="H9" s="1838"/>
      <c r="I9" s="1838"/>
      <c r="J9" s="1838"/>
      <c r="K9" s="1838"/>
      <c r="L9" s="1838"/>
      <c r="M9" s="1838"/>
      <c r="N9" s="1838"/>
      <c r="O9" s="1838"/>
      <c r="P9" s="1838"/>
      <c r="Q9" s="1838"/>
      <c r="R9" s="1838"/>
      <c r="S9" s="1838"/>
      <c r="T9" s="1838"/>
      <c r="U9" s="1838"/>
      <c r="V9" s="1838"/>
      <c r="W9" s="1838"/>
      <c r="X9" s="1838"/>
      <c r="Y9" s="1838"/>
      <c r="Z9" s="1838"/>
      <c r="AA9" s="1838"/>
      <c r="AB9" s="1838"/>
      <c r="AC9" s="1838"/>
      <c r="AD9" s="1838"/>
      <c r="AE9" s="1838"/>
      <c r="AF9" s="1838"/>
      <c r="AG9" s="1838"/>
      <c r="AH9" s="1838"/>
      <c r="AI9" s="1838"/>
      <c r="AJ9" s="1838"/>
      <c r="AK9" s="1838"/>
      <c r="AL9" s="1838"/>
      <c r="AM9" s="1838"/>
      <c r="AN9" s="1838"/>
      <c r="AO9" s="1838"/>
      <c r="AP9" s="1838"/>
      <c r="AQ9" s="1838"/>
      <c r="AR9" s="1838"/>
      <c r="AS9" s="1838"/>
      <c r="AT9" s="1838"/>
      <c r="AU9" s="13"/>
      <c r="AV9" s="13"/>
      <c r="AW9" s="13"/>
      <c r="AX9" s="13"/>
      <c r="AY9" s="13"/>
      <c r="BD9" s="1248" t="s">
        <v>2501</v>
      </c>
      <c r="BE9" s="1249">
        <f>SUMIF($AC$718:$AC$752,"&lt;=40%",$G$718:G$752)-SUM($BE$5:BE8)</f>
        <v>10</v>
      </c>
    </row>
    <row r="10" spans="1:58" ht="12.95" customHeight="1">
      <c r="A10" s="1838" t="s">
        <v>2458</v>
      </c>
      <c r="B10" s="1838"/>
      <c r="C10" s="1838"/>
      <c r="D10" s="1838"/>
      <c r="E10" s="1838"/>
      <c r="F10" s="1838"/>
      <c r="G10" s="1838"/>
      <c r="H10" s="1838"/>
      <c r="I10" s="1838"/>
      <c r="J10" s="1838"/>
      <c r="K10" s="1838"/>
      <c r="L10" s="1838"/>
      <c r="M10" s="1838"/>
      <c r="N10" s="1838"/>
      <c r="O10" s="1838"/>
      <c r="P10" s="1838"/>
      <c r="Q10" s="1838"/>
      <c r="R10" s="1838"/>
      <c r="S10" s="1838"/>
      <c r="T10" s="1838"/>
      <c r="U10" s="1838"/>
      <c r="V10" s="1838"/>
      <c r="W10" s="1838"/>
      <c r="X10" s="1838"/>
      <c r="Y10" s="1838"/>
      <c r="Z10" s="1838"/>
      <c r="AA10" s="1838"/>
      <c r="AB10" s="1838"/>
      <c r="AC10" s="1838"/>
      <c r="AD10" s="1838"/>
      <c r="AE10" s="1838"/>
      <c r="AF10" s="1838"/>
      <c r="AG10" s="1838"/>
      <c r="AH10" s="1838"/>
      <c r="AI10" s="1838"/>
      <c r="AJ10" s="1838"/>
      <c r="AK10" s="1838"/>
      <c r="AL10" s="1838"/>
      <c r="AM10" s="1838"/>
      <c r="AN10" s="1838"/>
      <c r="AO10" s="1838"/>
      <c r="AP10" s="1838"/>
      <c r="AQ10" s="1838"/>
      <c r="AR10" s="1838"/>
      <c r="AS10" s="1838"/>
      <c r="AT10" s="1838"/>
      <c r="AU10" s="13"/>
      <c r="AV10" s="13"/>
      <c r="AW10" s="13"/>
      <c r="AX10" s="13"/>
      <c r="AY10" s="13"/>
      <c r="BD10" s="3" t="s">
        <v>2510</v>
      </c>
      <c r="BE10" s="1249">
        <f>SUMIF($AC$718:$AC$752,"&lt;=45%",$G$718:G$752)-SUM($BE$5:BE9)</f>
        <v>0</v>
      </c>
    </row>
    <row r="11" spans="1:58" ht="12.95" customHeight="1">
      <c r="A11" s="1838" t="s">
        <v>2604</v>
      </c>
      <c r="B11" s="1838"/>
      <c r="C11" s="1838"/>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1838"/>
      <c r="AL11" s="1838"/>
      <c r="AM11" s="1838"/>
      <c r="AN11" s="1838"/>
      <c r="AO11" s="1838"/>
      <c r="AP11" s="1838"/>
      <c r="AQ11" s="1838"/>
      <c r="AR11" s="1838"/>
      <c r="AS11" s="1838"/>
      <c r="AT11" s="1838"/>
      <c r="AU11" s="13"/>
      <c r="AV11" s="13"/>
      <c r="AW11" s="13"/>
      <c r="AX11" s="13"/>
      <c r="AY11" s="13"/>
      <c r="BD11" s="1247" t="s">
        <v>2502</v>
      </c>
      <c r="BE11" s="1249">
        <f>SUMIF($AC$718:$AC$752,"&lt;=50%",$G$718:G$752)-SUM($BE$5:BE10)</f>
        <v>0</v>
      </c>
    </row>
    <row r="12" spans="1:58" ht="12.95" customHeight="1">
      <c r="A12" s="1839" t="s">
        <v>2610</v>
      </c>
      <c r="B12" s="1839"/>
      <c r="C12" s="1839"/>
      <c r="D12" s="1839"/>
      <c r="E12" s="1839"/>
      <c r="F12" s="1839"/>
      <c r="G12" s="1839"/>
      <c r="H12" s="1839"/>
      <c r="I12" s="1839"/>
      <c r="J12" s="1839"/>
      <c r="K12" s="1839"/>
      <c r="L12" s="1839"/>
      <c r="M12" s="1839"/>
      <c r="N12" s="1839"/>
      <c r="O12" s="1839"/>
      <c r="P12" s="1839"/>
      <c r="Q12" s="1839"/>
      <c r="R12" s="1839"/>
      <c r="S12" s="1839"/>
      <c r="T12" s="1839"/>
      <c r="U12" s="1839"/>
      <c r="V12" s="1839"/>
      <c r="W12" s="1839"/>
      <c r="X12" s="1839"/>
      <c r="Y12" s="1839"/>
      <c r="Z12" s="1839"/>
      <c r="AA12" s="1839"/>
      <c r="AB12" s="1839"/>
      <c r="AC12" s="1839"/>
      <c r="AD12" s="1839"/>
      <c r="AE12" s="1839"/>
      <c r="AF12" s="1839"/>
      <c r="AG12" s="1839"/>
      <c r="AH12" s="1839"/>
      <c r="AI12" s="1839"/>
      <c r="AJ12" s="1839"/>
      <c r="AK12" s="1839"/>
      <c r="AL12" s="1839"/>
      <c r="AM12" s="1839"/>
      <c r="AN12" s="1839"/>
      <c r="AO12" s="1839"/>
      <c r="AP12" s="1839"/>
      <c r="AQ12" s="1839"/>
      <c r="AR12" s="1839"/>
      <c r="AS12" s="1839"/>
      <c r="AT12" s="1839"/>
      <c r="AU12" s="6"/>
      <c r="AV12" s="6"/>
      <c r="AW12" s="6"/>
      <c r="AX12" s="6"/>
      <c r="AY12" s="6"/>
      <c r="BD12" s="3" t="s">
        <v>2511</v>
      </c>
      <c r="BE12" s="1249">
        <f>SUMIF($AC$718:$AC$752,"&lt;=55%",$G$718:G$752)-SUM($BE$5:BE11)</f>
        <v>0</v>
      </c>
    </row>
    <row r="13" spans="1:58" ht="12.95" customHeight="1">
      <c r="A13" s="1270" t="s">
        <v>2078</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2503</v>
      </c>
      <c r="BE13" s="1249">
        <f>SUMIF($AC$718:$AC$752,"&lt;=60%",$G$718:G$752)-SUM($BE$5:BE12)</f>
        <v>103</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2504</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2.95" customHeight="1">
      <c r="A16" s="57" t="s">
        <v>2079</v>
      </c>
      <c r="C16" s="4"/>
      <c r="D16" s="4"/>
      <c r="E16" s="4"/>
      <c r="F16" s="4"/>
      <c r="G16" s="4"/>
      <c r="H16" s="1843" t="s">
        <v>2612</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c r="BD16" s="1248" t="s">
        <v>657</v>
      </c>
      <c r="BE16" s="1249" t="str">
        <f>Application!H18</f>
        <v>Green Phase</v>
      </c>
    </row>
    <row r="17" spans="1:58" ht="12.95" customHeight="1">
      <c r="BD17" s="1247" t="s">
        <v>2518</v>
      </c>
      <c r="BE17" s="1249">
        <f>Application!AA934</f>
        <v>0</v>
      </c>
    </row>
    <row r="18" spans="1:58" ht="12.95" customHeight="1">
      <c r="A18" s="57" t="s">
        <v>101</v>
      </c>
      <c r="C18" s="4"/>
      <c r="D18" s="4"/>
      <c r="E18" s="4"/>
      <c r="F18" s="4"/>
      <c r="G18" s="4"/>
      <c r="H18" s="1521" t="s">
        <v>2613</v>
      </c>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BD18" s="1248" t="s">
        <v>2519</v>
      </c>
      <c r="BE18" s="1249">
        <f>'CalHFA Addendum'!N11</f>
        <v>0</v>
      </c>
    </row>
    <row r="19" spans="1:58" ht="12.95" customHeight="1">
      <c r="BD19" s="1247" t="s">
        <v>2520</v>
      </c>
      <c r="BE19" s="1249">
        <f>Application!M26</f>
        <v>3310890</v>
      </c>
    </row>
    <row r="20" spans="1:58" ht="12.95" customHeight="1">
      <c r="A20" s="1840" t="s">
        <v>874</v>
      </c>
      <c r="B20" s="1840"/>
      <c r="C20" s="1840"/>
      <c r="D20" s="1840"/>
      <c r="E20" s="1840"/>
      <c r="F20" s="1840"/>
      <c r="G20" s="1840"/>
      <c r="H20" s="1840"/>
      <c r="I20" s="1840"/>
      <c r="J20" s="1840"/>
      <c r="K20" s="1840"/>
      <c r="L20" s="1840"/>
      <c r="M20" s="1840"/>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c r="AL20" s="1840"/>
      <c r="AM20" s="1840"/>
      <c r="AN20" s="1840"/>
      <c r="AO20" s="1840"/>
      <c r="AP20" s="1840"/>
      <c r="AQ20" s="1840"/>
      <c r="AR20" s="1840"/>
      <c r="AS20" s="1840"/>
      <c r="AT20" s="1840"/>
      <c r="AU20" s="900"/>
      <c r="AV20" s="900"/>
      <c r="AW20" s="900"/>
      <c r="AX20" s="900"/>
      <c r="AY20" s="900"/>
      <c r="BD20" s="1248" t="s">
        <v>2521</v>
      </c>
      <c r="BE20" s="1249">
        <f>Application!M27</f>
        <v>0</v>
      </c>
    </row>
    <row r="21" spans="1:58" ht="12.95" customHeight="1">
      <c r="A21" s="1844" t="s">
        <v>1010</v>
      </c>
      <c r="B21" s="1844"/>
      <c r="C21" s="1844"/>
      <c r="D21" s="1844"/>
      <c r="E21" s="1844"/>
      <c r="F21" s="1844"/>
      <c r="G21" s="1844"/>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901"/>
      <c r="AN21" s="901"/>
      <c r="AO21" s="901"/>
      <c r="AP21" s="901"/>
      <c r="AQ21" s="901"/>
      <c r="AR21" s="901"/>
      <c r="AS21" s="901"/>
      <c r="AT21" s="901"/>
      <c r="AU21" s="901"/>
      <c r="AV21" s="901"/>
      <c r="AW21" s="901"/>
      <c r="AX21" s="901"/>
      <c r="AY21" s="901"/>
      <c r="BD21" s="1247" t="s">
        <v>2522</v>
      </c>
      <c r="BE21" s="1249">
        <f>Application!AM554</f>
        <v>20570676</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71780116</v>
      </c>
      <c r="BF22" s="3" t="s">
        <v>2595</v>
      </c>
    </row>
    <row r="23" spans="1:58" ht="12.95" customHeight="1">
      <c r="A23" s="1328" t="s">
        <v>2147</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2523</v>
      </c>
      <c r="BE23" s="1249">
        <f>'Sources and Uses Budget'!B4</f>
        <v>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2524</v>
      </c>
      <c r="BE24" s="1249">
        <f>Application!AG450</f>
        <v>123489</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v>
      </c>
    </row>
    <row r="26" spans="1:58" ht="12.95" customHeight="1">
      <c r="A26" s="4"/>
      <c r="C26" s="4"/>
      <c r="D26" s="4"/>
      <c r="E26" s="4"/>
      <c r="F26" s="4"/>
      <c r="G26" s="4"/>
      <c r="H26" s="4"/>
      <c r="I26" s="4"/>
      <c r="J26" s="4"/>
      <c r="K26" s="4"/>
      <c r="L26" s="4"/>
      <c r="M26" s="1842">
        <f>'Basis &amp; Credits'!AB56</f>
        <v>3310890</v>
      </c>
      <c r="N26" s="1842"/>
      <c r="O26" s="1842"/>
      <c r="P26" s="1842"/>
      <c r="Q26" s="1842"/>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83">
        <f>'Basis &amp; Credits'!AB78</f>
        <v>0</v>
      </c>
      <c r="N27" s="1383"/>
      <c r="O27" s="1383"/>
      <c r="P27" s="1383"/>
      <c r="Q27" s="1383"/>
      <c r="R27" s="3" t="s">
        <v>1268</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2.95" customHeight="1">
      <c r="A29" s="1537" t="s">
        <v>2148</v>
      </c>
      <c r="B29" s="1537"/>
      <c r="C29" s="1537"/>
      <c r="D29" s="1537"/>
      <c r="E29" s="1537"/>
      <c r="F29" s="1537"/>
      <c r="G29" s="1537"/>
      <c r="H29" s="1537"/>
      <c r="I29" s="1537"/>
      <c r="J29" s="1537"/>
      <c r="K29" s="1537"/>
      <c r="L29" s="1537"/>
      <c r="M29" s="1537"/>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c r="AL29" s="1537"/>
      <c r="AM29" s="1537"/>
      <c r="AN29" s="1537"/>
      <c r="AO29" s="1537"/>
      <c r="AP29" s="1537"/>
      <c r="AQ29" s="1537"/>
      <c r="AR29" s="1537"/>
      <c r="AS29" s="1537"/>
      <c r="AT29" s="1537"/>
      <c r="BD29" s="1247" t="s">
        <v>2527</v>
      </c>
      <c r="BE29" s="1249" t="b">
        <f>Application!M358="Yes"</f>
        <v>1</v>
      </c>
    </row>
    <row r="30" spans="1:58" ht="12.95" customHeight="1">
      <c r="A30" s="1537"/>
      <c r="B30" s="1537"/>
      <c r="C30" s="1537"/>
      <c r="D30" s="1537"/>
      <c r="E30" s="1537"/>
      <c r="F30" s="1537"/>
      <c r="G30" s="1537"/>
      <c r="H30" s="1537"/>
      <c r="I30" s="1537"/>
      <c r="J30" s="1537"/>
      <c r="K30" s="1537"/>
      <c r="L30" s="1537"/>
      <c r="M30" s="1537"/>
      <c r="N30" s="1537"/>
      <c r="O30" s="1537"/>
      <c r="P30" s="1537"/>
      <c r="Q30" s="1537"/>
      <c r="R30" s="1537"/>
      <c r="S30" s="1537"/>
      <c r="T30" s="1537"/>
      <c r="U30" s="1537"/>
      <c r="V30" s="1537"/>
      <c r="W30" s="1537"/>
      <c r="X30" s="1537"/>
      <c r="Y30" s="1537"/>
      <c r="Z30" s="1537"/>
      <c r="AA30" s="1537"/>
      <c r="AB30" s="1537"/>
      <c r="AC30" s="1537"/>
      <c r="AD30" s="1537"/>
      <c r="AE30" s="1537"/>
      <c r="AF30" s="1537"/>
      <c r="AG30" s="1537"/>
      <c r="AH30" s="1537"/>
      <c r="AI30" s="1537"/>
      <c r="AJ30" s="1537"/>
      <c r="AK30" s="1537"/>
      <c r="AL30" s="1537"/>
      <c r="AM30" s="1537"/>
      <c r="AN30" s="1537"/>
      <c r="AO30" s="1537"/>
      <c r="AP30" s="1537"/>
      <c r="AQ30" s="1537"/>
      <c r="AR30" s="1537"/>
      <c r="AS30" s="1537"/>
      <c r="AT30" s="1537"/>
      <c r="AZ30" s="20"/>
      <c r="BD30" s="1248" t="s">
        <v>28</v>
      </c>
      <c r="BE30" s="1249" t="b">
        <f>Application!AJ355="Yes"</f>
        <v>1</v>
      </c>
    </row>
    <row r="31" spans="1:58" ht="12.95" customHeight="1">
      <c r="A31" s="1537"/>
      <c r="B31" s="1537"/>
      <c r="C31" s="1537"/>
      <c r="D31" s="1537"/>
      <c r="E31" s="1537"/>
      <c r="F31" s="1537"/>
      <c r="G31" s="1537"/>
      <c r="H31" s="1537"/>
      <c r="I31" s="1537"/>
      <c r="J31" s="1537"/>
      <c r="K31" s="1537"/>
      <c r="L31" s="1537"/>
      <c r="M31" s="1537"/>
      <c r="N31" s="1537"/>
      <c r="O31" s="1537"/>
      <c r="P31" s="1537"/>
      <c r="Q31" s="1537"/>
      <c r="R31" s="1537"/>
      <c r="S31" s="1537"/>
      <c r="T31" s="1537"/>
      <c r="U31" s="1537"/>
      <c r="V31" s="1537"/>
      <c r="W31" s="1537"/>
      <c r="X31" s="1537"/>
      <c r="Y31" s="1537"/>
      <c r="Z31" s="1537"/>
      <c r="AA31" s="1537"/>
      <c r="AB31" s="1537"/>
      <c r="AC31" s="1537"/>
      <c r="AD31" s="1537"/>
      <c r="AE31" s="1537"/>
      <c r="AF31" s="1537"/>
      <c r="AG31" s="1537"/>
      <c r="AH31" s="1537"/>
      <c r="AI31" s="1537"/>
      <c r="AJ31" s="1537"/>
      <c r="AK31" s="1537"/>
      <c r="AL31" s="1537"/>
      <c r="AM31" s="1537"/>
      <c r="AN31" s="1537"/>
      <c r="AO31" s="1537"/>
      <c r="AP31" s="1537"/>
      <c r="AQ31" s="1537"/>
      <c r="AR31" s="1537"/>
      <c r="AS31" s="1537"/>
      <c r="AT31" s="1537"/>
      <c r="AU31" s="20"/>
      <c r="AV31" s="20"/>
      <c r="AW31" s="20"/>
      <c r="AX31" s="20"/>
      <c r="AY31" s="20"/>
      <c r="AZ31" s="20"/>
      <c r="BD31" s="1247" t="s">
        <v>2528</v>
      </c>
      <c r="BE31" s="1249" t="str">
        <f>Application!D211</f>
        <v>At-Risk</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2.95" customHeight="1">
      <c r="A33" s="519" t="s">
        <v>1279</v>
      </c>
      <c r="C33" s="519"/>
      <c r="D33" s="519"/>
      <c r="E33" s="519"/>
      <c r="F33" s="519"/>
      <c r="G33" s="519"/>
      <c r="H33" s="519"/>
      <c r="I33" s="519"/>
      <c r="J33" s="519"/>
      <c r="K33" s="519"/>
      <c r="L33" s="519"/>
      <c r="M33" s="519"/>
      <c r="N33" s="519"/>
      <c r="O33" s="1433" t="s">
        <v>670</v>
      </c>
      <c r="P33" s="1433"/>
      <c r="Q33" s="1841" t="s">
        <v>2149</v>
      </c>
      <c r="R33" s="1841"/>
      <c r="S33" s="1841"/>
      <c r="T33" s="1841"/>
      <c r="U33" s="1841"/>
      <c r="V33" s="1841"/>
      <c r="W33" s="1841"/>
      <c r="X33" s="1841"/>
      <c r="Y33" s="1841"/>
      <c r="Z33" s="1841"/>
      <c r="AA33" s="1841"/>
      <c r="AB33" s="1841"/>
      <c r="AC33" s="1841"/>
      <c r="AD33" s="1841"/>
      <c r="AE33" s="1841"/>
      <c r="AF33" s="1841"/>
      <c r="AG33" s="1841"/>
      <c r="AH33" s="1841"/>
      <c r="AI33" s="1841"/>
      <c r="AJ33" s="1841"/>
      <c r="AK33" s="1841"/>
      <c r="AL33" s="1841"/>
      <c r="AM33" s="1841"/>
      <c r="AN33" s="1841"/>
      <c r="AO33" s="1841"/>
      <c r="AP33" s="1841"/>
      <c r="AQ33" s="1841"/>
      <c r="AR33" s="1841"/>
      <c r="AS33" s="1841"/>
      <c r="AT33" s="1841"/>
      <c r="AU33" s="20"/>
      <c r="AV33" s="20"/>
      <c r="AW33" s="20"/>
      <c r="AX33" s="20"/>
      <c r="AY33" s="20"/>
      <c r="BD33" s="1247" t="s">
        <v>2596</v>
      </c>
      <c r="BE33" s="1249" t="str">
        <f>Application!D220</f>
        <v>N/A</v>
      </c>
    </row>
    <row r="34" spans="1:57" ht="12.95" customHeight="1">
      <c r="A34" s="1537" t="s">
        <v>2150</v>
      </c>
      <c r="B34" s="1537"/>
      <c r="C34" s="1537"/>
      <c r="D34" s="1537"/>
      <c r="E34" s="1537"/>
      <c r="F34" s="1537"/>
      <c r="G34" s="1537"/>
      <c r="H34" s="1537"/>
      <c r="I34" s="1537"/>
      <c r="J34" s="1537"/>
      <c r="K34" s="1537"/>
      <c r="L34" s="1537"/>
      <c r="M34" s="1537"/>
      <c r="N34" s="1537"/>
      <c r="O34" s="1537"/>
      <c r="P34" s="1537"/>
      <c r="Q34" s="1537"/>
      <c r="R34" s="1537"/>
      <c r="S34" s="1537"/>
      <c r="T34" s="1537"/>
      <c r="U34" s="1537"/>
      <c r="V34" s="1537"/>
      <c r="W34" s="1537"/>
      <c r="X34" s="1537"/>
      <c r="Y34" s="1537"/>
      <c r="Z34" s="1537"/>
      <c r="AA34" s="1537"/>
      <c r="AB34" s="1537"/>
      <c r="AC34" s="1537"/>
      <c r="AD34" s="1537"/>
      <c r="AE34" s="1537"/>
      <c r="AF34" s="1537"/>
      <c r="AG34" s="1537"/>
      <c r="AH34" s="1537"/>
      <c r="AI34" s="1537"/>
      <c r="AJ34" s="1537"/>
      <c r="AK34" s="1537"/>
      <c r="AL34" s="1537"/>
      <c r="AM34" s="1537"/>
      <c r="AN34" s="1537"/>
      <c r="AO34" s="1537"/>
      <c r="AP34" s="1537"/>
      <c r="AQ34" s="1537"/>
      <c r="AR34" s="1537"/>
      <c r="AS34" s="1537"/>
      <c r="AT34" s="1537"/>
      <c r="AU34" s="20"/>
      <c r="AV34" s="20"/>
      <c r="AW34" s="20"/>
      <c r="AX34" s="20"/>
      <c r="AY34" s="20"/>
      <c r="AZ34" s="20"/>
      <c r="BD34" s="1248" t="s">
        <v>2530</v>
      </c>
      <c r="BE34" s="1249" t="str">
        <f>Application!I185</f>
        <v>3230 Hiler Street, Eureka, CA 95503</v>
      </c>
    </row>
    <row r="35" spans="1:57" ht="12.95" customHeight="1">
      <c r="A35" s="1537"/>
      <c r="B35" s="1537"/>
      <c r="C35" s="1537"/>
      <c r="D35" s="1537"/>
      <c r="E35" s="1537"/>
      <c r="F35" s="1537"/>
      <c r="G35" s="1537"/>
      <c r="H35" s="1537"/>
      <c r="I35" s="1537"/>
      <c r="J35" s="1537"/>
      <c r="K35" s="1537"/>
      <c r="L35" s="1537"/>
      <c r="M35" s="1537"/>
      <c r="N35" s="1537"/>
      <c r="O35" s="1537"/>
      <c r="P35" s="1537"/>
      <c r="Q35" s="1537"/>
      <c r="R35" s="1537"/>
      <c r="S35" s="1537"/>
      <c r="T35" s="1537"/>
      <c r="U35" s="1537"/>
      <c r="V35" s="1537"/>
      <c r="W35" s="1537"/>
      <c r="X35" s="1537"/>
      <c r="Y35" s="1537"/>
      <c r="Z35" s="1537"/>
      <c r="AA35" s="1537"/>
      <c r="AB35" s="1537"/>
      <c r="AC35" s="1537"/>
      <c r="AD35" s="1537"/>
      <c r="AE35" s="1537"/>
      <c r="AF35" s="1537"/>
      <c r="AG35" s="1537"/>
      <c r="AH35" s="1537"/>
      <c r="AI35" s="1537"/>
      <c r="AJ35" s="1537"/>
      <c r="AK35" s="1537"/>
      <c r="AL35" s="1537"/>
      <c r="AM35" s="1537"/>
      <c r="AN35" s="1537"/>
      <c r="AO35" s="1537"/>
      <c r="AP35" s="1537"/>
      <c r="AQ35" s="1537"/>
      <c r="AR35" s="1537"/>
      <c r="AS35" s="1537"/>
      <c r="AT35" s="1537"/>
      <c r="AU35" s="20"/>
      <c r="AV35" s="20"/>
      <c r="AW35" s="20"/>
      <c r="AX35" s="20"/>
      <c r="AY35" s="20"/>
      <c r="AZ35" s="20"/>
      <c r="BD35" s="1247" t="s">
        <v>2531</v>
      </c>
      <c r="BE35" s="1249" t="str">
        <f>IF(Application!E187="","",Application!E187)</f>
        <v/>
      </c>
    </row>
    <row r="36" spans="1:57" ht="12.95" customHeight="1">
      <c r="A36" s="1537"/>
      <c r="B36" s="1537"/>
      <c r="C36" s="1537"/>
      <c r="D36" s="1537"/>
      <c r="E36" s="1537"/>
      <c r="F36" s="1537"/>
      <c r="G36" s="1537"/>
      <c r="H36" s="1537"/>
      <c r="I36" s="1537"/>
      <c r="J36" s="1537"/>
      <c r="K36" s="1537"/>
      <c r="L36" s="1537"/>
      <c r="M36" s="1537"/>
      <c r="N36" s="1537"/>
      <c r="O36" s="1537"/>
      <c r="P36" s="1537"/>
      <c r="Q36" s="1537"/>
      <c r="R36" s="1537"/>
      <c r="S36" s="1537"/>
      <c r="T36" s="1537"/>
      <c r="U36" s="1537"/>
      <c r="V36" s="1537"/>
      <c r="W36" s="1537"/>
      <c r="X36" s="1537"/>
      <c r="Y36" s="1537"/>
      <c r="Z36" s="1537"/>
      <c r="AA36" s="1537"/>
      <c r="AB36" s="1537"/>
      <c r="AC36" s="1537"/>
      <c r="AD36" s="1537"/>
      <c r="AE36" s="1537"/>
      <c r="AF36" s="1537"/>
      <c r="AG36" s="1537"/>
      <c r="AH36" s="1537"/>
      <c r="AI36" s="1537"/>
      <c r="AJ36" s="1537"/>
      <c r="AK36" s="1537"/>
      <c r="AL36" s="1537"/>
      <c r="AM36" s="1537"/>
      <c r="AN36" s="1537"/>
      <c r="AO36" s="1537"/>
      <c r="AP36" s="1537"/>
      <c r="AQ36" s="1537"/>
      <c r="AR36" s="1537"/>
      <c r="AS36" s="1537"/>
      <c r="AT36" s="1537"/>
      <c r="AU36" s="20"/>
      <c r="AV36" s="20"/>
      <c r="AW36" s="20"/>
      <c r="AX36" s="20"/>
      <c r="AY36" s="20"/>
      <c r="AZ36" s="20"/>
      <c r="BD36" s="1248" t="s">
        <v>2532</v>
      </c>
      <c r="BE36" s="1249" t="str">
        <f>Application!I189</f>
        <v>Eureka</v>
      </c>
    </row>
    <row r="37" spans="1:57" ht="12.95" customHeight="1">
      <c r="A37" s="1537"/>
      <c r="B37" s="1537"/>
      <c r="C37" s="1537"/>
      <c r="D37" s="1537"/>
      <c r="E37" s="1537"/>
      <c r="F37" s="1537"/>
      <c r="G37" s="1537"/>
      <c r="H37" s="1537"/>
      <c r="I37" s="1537"/>
      <c r="J37" s="1537"/>
      <c r="K37" s="1537"/>
      <c r="L37" s="1537"/>
      <c r="M37" s="1537"/>
      <c r="N37" s="1537"/>
      <c r="O37" s="1537"/>
      <c r="P37" s="1537"/>
      <c r="Q37" s="1537"/>
      <c r="R37" s="1537"/>
      <c r="S37" s="1537"/>
      <c r="T37" s="1537"/>
      <c r="U37" s="1537"/>
      <c r="V37" s="1537"/>
      <c r="W37" s="1537"/>
      <c r="X37" s="1537"/>
      <c r="Y37" s="1537"/>
      <c r="Z37" s="1537"/>
      <c r="AA37" s="1537"/>
      <c r="AB37" s="1537"/>
      <c r="AC37" s="1537"/>
      <c r="AD37" s="1537"/>
      <c r="AE37" s="1537"/>
      <c r="AF37" s="1537"/>
      <c r="AG37" s="1537"/>
      <c r="AH37" s="1537"/>
      <c r="AI37" s="1537"/>
      <c r="AJ37" s="1537"/>
      <c r="AK37" s="1537"/>
      <c r="AL37" s="1537"/>
      <c r="AM37" s="1537"/>
      <c r="AN37" s="1537"/>
      <c r="AO37" s="1537"/>
      <c r="AP37" s="1537"/>
      <c r="AQ37" s="1537"/>
      <c r="AR37" s="1537"/>
      <c r="AS37" s="1537"/>
      <c r="AT37" s="1537"/>
      <c r="AZ37" s="20"/>
      <c r="BD37" s="1247" t="s">
        <v>2533</v>
      </c>
      <c r="BE37" s="1249" t="str">
        <f>Application!T189</f>
        <v>Humboldt</v>
      </c>
    </row>
    <row r="38" spans="1:57" ht="12.95" customHeight="1">
      <c r="A38" s="3"/>
      <c r="AZ38" s="20"/>
      <c r="BD38" s="1248" t="s">
        <v>2534</v>
      </c>
      <c r="BE38" s="1249">
        <f>Application!I190</f>
        <v>95503</v>
      </c>
    </row>
    <row r="39" spans="1:57" ht="12.95" customHeight="1">
      <c r="A39" s="1260" t="s">
        <v>2151</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2535</v>
      </c>
      <c r="BE39" s="1249">
        <f>Application!AG437</f>
        <v>142</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141</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2536</v>
      </c>
      <c r="BE42" s="1251">
        <f>Application!AC753</f>
        <v>0.52624113475177303</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2537</v>
      </c>
      <c r="BE43" s="1251">
        <f>Application!AH753</f>
        <v>0.52627575172086993</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2538</v>
      </c>
      <c r="BE44" s="1249">
        <f>Application!AC454</f>
        <v>505493.77464788733</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38</v>
      </c>
    </row>
    <row r="46" spans="1:57" ht="12.95" customHeight="1">
      <c r="A46" s="1328" t="s">
        <v>2152</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2540</v>
      </c>
      <c r="BE46" s="1249" t="b">
        <f>Application!T195="Yes"</f>
        <v>1</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2541</v>
      </c>
      <c r="BE47" s="1249" t="b">
        <f>Application!T196="Yes"</f>
        <v>0</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2542</v>
      </c>
      <c r="BE48" s="1249" t="str">
        <f>Application!M243</f>
        <v>Hiler I MGP LLC</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2543</v>
      </c>
      <c r="BE49" s="1249" t="str">
        <f>Application!M246</f>
        <v>Cheryl Churchill</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Eureka Housing Development Corporation</v>
      </c>
    </row>
    <row r="51" spans="1:57" ht="12.95" customHeight="1">
      <c r="A51" s="1260" t="s">
        <v>2153</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2545</v>
      </c>
      <c r="BE51" s="1249" t="str">
        <f>Application!M251</f>
        <v>Hiler I AGP LLC</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2546</v>
      </c>
      <c r="BE52" s="1249" t="str">
        <f>Application!M254</f>
        <v>Karly Brinla</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t="str">
        <f>Application!AA257</f>
        <v>Brinshore Development, L.L.C.</v>
      </c>
    </row>
    <row r="54" spans="1:57" ht="12.95" customHeight="1">
      <c r="A54" s="1260" t="s">
        <v>2154</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2548</v>
      </c>
      <c r="BE54" s="1249">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2549</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2550</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2551</v>
      </c>
      <c r="BE57" s="1249" t="str">
        <f>Application!H287</f>
        <v>Eureka Housing Development Corporation</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2552</v>
      </c>
      <c r="BE58" s="1249" t="str">
        <f>Application!H288</f>
        <v>735 W Everding Street</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Eureka, CA 95503</v>
      </c>
    </row>
    <row r="60" spans="1:57" ht="12.95" customHeight="1">
      <c r="A60" s="1260" t="s">
        <v>2155</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2554</v>
      </c>
      <c r="BE60" s="1249" t="str">
        <f>Application!H290</f>
        <v>Cheryl Churchill</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2555</v>
      </c>
      <c r="BE61" s="1249" t="str">
        <f>Application!H293</f>
        <v>cherylc@eurekahumboldtha.org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0.83778125000000003</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No</v>
      </c>
    </row>
    <row r="65" spans="1:57" ht="12.95" customHeight="1">
      <c r="A65" s="1546" t="s">
        <v>2157</v>
      </c>
      <c r="B65" s="1546"/>
      <c r="C65" s="1546"/>
      <c r="D65" s="1546"/>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546"/>
      <c r="AM65" s="1546"/>
      <c r="AN65" s="1546"/>
      <c r="AO65" s="1546"/>
      <c r="AP65" s="1546"/>
      <c r="AQ65" s="1546"/>
      <c r="AR65" s="1546"/>
      <c r="AS65" s="1546"/>
      <c r="AT65" s="1546"/>
      <c r="AU65" s="21"/>
      <c r="AV65" s="21"/>
      <c r="AW65" s="21"/>
      <c r="AX65" s="21"/>
      <c r="AY65" s="21"/>
      <c r="AZ65" s="20"/>
      <c r="BD65" s="1247" t="s">
        <v>2593</v>
      </c>
      <c r="BE65" s="1249" t="str">
        <f>Z205</f>
        <v>(select)</v>
      </c>
    </row>
    <row r="66" spans="1:57" ht="12.95" customHeight="1">
      <c r="A66" s="1546"/>
      <c r="B66" s="1546"/>
      <c r="C66" s="1546"/>
      <c r="D66" s="1546"/>
      <c r="E66" s="1546"/>
      <c r="F66" s="1546"/>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546"/>
      <c r="AM66" s="1546"/>
      <c r="AN66" s="1546"/>
      <c r="AO66" s="1546"/>
      <c r="AP66" s="1546"/>
      <c r="AQ66" s="1546"/>
      <c r="AR66" s="1546"/>
      <c r="AS66" s="1546"/>
      <c r="AT66" s="1546"/>
      <c r="AU66" s="21"/>
      <c r="AV66" s="21"/>
      <c r="AW66" s="21"/>
      <c r="AX66" s="21"/>
      <c r="AY66" s="21"/>
      <c r="AZ66" s="20"/>
      <c r="BD66" s="1248" t="s">
        <v>2558</v>
      </c>
      <c r="BE66" s="1249" t="b">
        <f>Application!Z205="State Farmworker Credit"</f>
        <v>0</v>
      </c>
    </row>
    <row r="67" spans="1:57" ht="12.95" customHeight="1">
      <c r="A67" s="1546"/>
      <c r="B67" s="1546"/>
      <c r="C67" s="1546"/>
      <c r="D67" s="1546"/>
      <c r="E67" s="1546"/>
      <c r="F67" s="1546"/>
      <c r="G67" s="1546"/>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546"/>
      <c r="AM67" s="1546"/>
      <c r="AN67" s="1546"/>
      <c r="AO67" s="1546"/>
      <c r="AP67" s="1546"/>
      <c r="AQ67" s="1546"/>
      <c r="AR67" s="1546"/>
      <c r="AS67" s="1546"/>
      <c r="AT67" s="1546"/>
      <c r="AZ67" s="20"/>
      <c r="BD67" s="1247" t="s">
        <v>2559</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2.95" customHeight="1">
      <c r="A69" s="1546" t="s">
        <v>2158</v>
      </c>
      <c r="B69" s="1546"/>
      <c r="C69" s="1546"/>
      <c r="D69" s="1546"/>
      <c r="E69" s="1546"/>
      <c r="F69" s="1546"/>
      <c r="G69" s="1546"/>
      <c r="H69" s="1546"/>
      <c r="I69" s="1546"/>
      <c r="J69" s="1546"/>
      <c r="K69" s="1546"/>
      <c r="L69" s="1546"/>
      <c r="M69" s="1546"/>
      <c r="N69" s="1546"/>
      <c r="O69" s="1546"/>
      <c r="P69" s="1546"/>
      <c r="Q69" s="1546"/>
      <c r="R69" s="1546"/>
      <c r="S69" s="1546"/>
      <c r="T69" s="1546"/>
      <c r="U69" s="1546"/>
      <c r="V69" s="1546"/>
      <c r="W69" s="1546"/>
      <c r="X69" s="1546"/>
      <c r="Y69" s="1546"/>
      <c r="Z69" s="1546"/>
      <c r="AA69" s="1546"/>
      <c r="AB69" s="1546"/>
      <c r="AC69" s="1546"/>
      <c r="AD69" s="1546"/>
      <c r="AE69" s="1546"/>
      <c r="AF69" s="1546"/>
      <c r="AG69" s="1546"/>
      <c r="AH69" s="1546"/>
      <c r="AI69" s="1546"/>
      <c r="AJ69" s="1546"/>
      <c r="AK69" s="1546"/>
      <c r="AL69" s="1546"/>
      <c r="AM69" s="1546"/>
      <c r="AN69" s="1546"/>
      <c r="AO69" s="1546"/>
      <c r="AP69" s="1546"/>
      <c r="AQ69" s="1546"/>
      <c r="AR69" s="1546"/>
      <c r="AS69" s="1546"/>
      <c r="AT69" s="1546"/>
      <c r="AZ69" s="20"/>
      <c r="BD69" s="1247" t="s">
        <v>2561</v>
      </c>
      <c r="BE69" s="1249" t="str">
        <f>Application!W700</f>
        <v>California Municipal Finance Authority</v>
      </c>
    </row>
    <row r="70" spans="1:57" ht="12.95" customHeight="1">
      <c r="A70" s="1546"/>
      <c r="B70" s="1546"/>
      <c r="C70" s="1546"/>
      <c r="D70" s="1546"/>
      <c r="E70" s="1546"/>
      <c r="F70" s="1546"/>
      <c r="G70" s="1546"/>
      <c r="H70" s="1546"/>
      <c r="I70" s="1546"/>
      <c r="J70" s="1546"/>
      <c r="K70" s="1546"/>
      <c r="L70" s="1546"/>
      <c r="M70" s="1546"/>
      <c r="N70" s="1546"/>
      <c r="O70" s="1546"/>
      <c r="P70" s="1546"/>
      <c r="Q70" s="1546"/>
      <c r="R70" s="1546"/>
      <c r="S70" s="1546"/>
      <c r="T70" s="1546"/>
      <c r="U70" s="1546"/>
      <c r="V70" s="1546"/>
      <c r="W70" s="1546"/>
      <c r="X70" s="1546"/>
      <c r="Y70" s="1546"/>
      <c r="Z70" s="1546"/>
      <c r="AA70" s="1546"/>
      <c r="AB70" s="1546"/>
      <c r="AC70" s="1546"/>
      <c r="AD70" s="1546"/>
      <c r="AE70" s="1546"/>
      <c r="AF70" s="1546"/>
      <c r="AG70" s="1546"/>
      <c r="AH70" s="1546"/>
      <c r="AI70" s="1546"/>
      <c r="AJ70" s="1546"/>
      <c r="AK70" s="1546"/>
      <c r="AL70" s="1546"/>
      <c r="AM70" s="1546"/>
      <c r="AN70" s="1546"/>
      <c r="AO70" s="1546"/>
      <c r="AP70" s="1546"/>
      <c r="AQ70" s="1546"/>
      <c r="AR70" s="1546"/>
      <c r="AS70" s="1546"/>
      <c r="AT70" s="1546"/>
      <c r="AU70" s="20"/>
      <c r="AV70" s="20"/>
      <c r="AW70" s="20"/>
      <c r="AX70" s="20"/>
      <c r="AY70" s="20"/>
      <c r="AZ70" s="20"/>
      <c r="BD70" s="1248" t="s">
        <v>2562</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20</v>
      </c>
    </row>
    <row r="72" spans="1:57" ht="12.95" customHeight="1">
      <c r="A72" s="1537" t="s">
        <v>2159</v>
      </c>
      <c r="B72" s="1537"/>
      <c r="C72" s="1537"/>
      <c r="D72" s="1537"/>
      <c r="E72" s="1537"/>
      <c r="F72" s="1537"/>
      <c r="G72" s="1537"/>
      <c r="H72" s="1537"/>
      <c r="I72" s="1537"/>
      <c r="J72" s="1537"/>
      <c r="K72" s="1537"/>
      <c r="L72" s="1537"/>
      <c r="M72" s="1537"/>
      <c r="N72" s="1537"/>
      <c r="O72" s="1537"/>
      <c r="P72" s="1537"/>
      <c r="Q72" s="1537"/>
      <c r="R72" s="1537"/>
      <c r="S72" s="1537"/>
      <c r="T72" s="1537"/>
      <c r="U72" s="1537"/>
      <c r="V72" s="1537"/>
      <c r="W72" s="1537"/>
      <c r="X72" s="1537"/>
      <c r="Y72" s="1537"/>
      <c r="Z72" s="1537"/>
      <c r="AA72" s="1537"/>
      <c r="AB72" s="1537"/>
      <c r="AC72" s="1537"/>
      <c r="AD72" s="1537"/>
      <c r="AE72" s="1537"/>
      <c r="AF72" s="1537"/>
      <c r="AG72" s="1537"/>
      <c r="AH72" s="1537"/>
      <c r="AI72" s="1537"/>
      <c r="AJ72" s="1537"/>
      <c r="AK72" s="1537"/>
      <c r="AL72" s="1537"/>
      <c r="AM72" s="1537"/>
      <c r="AN72" s="1537"/>
      <c r="AO72" s="1537"/>
      <c r="AP72" s="1537"/>
      <c r="AQ72" s="1537"/>
      <c r="AR72" s="1537"/>
      <c r="AS72" s="1537"/>
      <c r="AT72" s="1537"/>
      <c r="AU72" s="20"/>
      <c r="AV72" s="20"/>
      <c r="AW72" s="20"/>
      <c r="AX72" s="20"/>
      <c r="AY72" s="20"/>
      <c r="AZ72" s="20"/>
      <c r="BD72" s="1248" t="s">
        <v>2564</v>
      </c>
      <c r="BE72" s="1249">
        <f>'Points System'!AF805</f>
        <v>0</v>
      </c>
    </row>
    <row r="73" spans="1:57" ht="12.95" customHeight="1">
      <c r="A73" s="1537"/>
      <c r="B73" s="1537"/>
      <c r="C73" s="1537"/>
      <c r="D73" s="1537"/>
      <c r="E73" s="1537"/>
      <c r="F73" s="1537"/>
      <c r="G73" s="1537"/>
      <c r="H73" s="1537"/>
      <c r="I73" s="1537"/>
      <c r="J73" s="1537"/>
      <c r="K73" s="1537"/>
      <c r="L73" s="1537"/>
      <c r="M73" s="1537"/>
      <c r="N73" s="1537"/>
      <c r="O73" s="1537"/>
      <c r="P73" s="1537"/>
      <c r="Q73" s="1537"/>
      <c r="R73" s="1537"/>
      <c r="S73" s="1537"/>
      <c r="T73" s="1537"/>
      <c r="U73" s="1537"/>
      <c r="V73" s="1537"/>
      <c r="W73" s="1537"/>
      <c r="X73" s="1537"/>
      <c r="Y73" s="1537"/>
      <c r="Z73" s="1537"/>
      <c r="AA73" s="1537"/>
      <c r="AB73" s="1537"/>
      <c r="AC73" s="1537"/>
      <c r="AD73" s="1537"/>
      <c r="AE73" s="1537"/>
      <c r="AF73" s="1537"/>
      <c r="AG73" s="1537"/>
      <c r="AH73" s="1537"/>
      <c r="AI73" s="1537"/>
      <c r="AJ73" s="1537"/>
      <c r="AK73" s="1537"/>
      <c r="AL73" s="1537"/>
      <c r="AM73" s="1537"/>
      <c r="AN73" s="1537"/>
      <c r="AO73" s="1537"/>
      <c r="AP73" s="1537"/>
      <c r="AQ73" s="1537"/>
      <c r="AR73" s="1537"/>
      <c r="AS73" s="1537"/>
      <c r="AT73" s="1537"/>
      <c r="AU73" s="20"/>
      <c r="AV73" s="20"/>
      <c r="AW73" s="20"/>
      <c r="AX73" s="20"/>
      <c r="AY73" s="20"/>
      <c r="AZ73" s="20"/>
      <c r="BD73" s="1247" t="s">
        <v>2565</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2.95" customHeight="1">
      <c r="A75" s="1545" t="s">
        <v>2160</v>
      </c>
      <c r="B75" s="1545"/>
      <c r="C75" s="1545"/>
      <c r="D75" s="1545"/>
      <c r="E75" s="1545"/>
      <c r="F75" s="1545"/>
      <c r="G75" s="1545"/>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545"/>
      <c r="AM75" s="1545"/>
      <c r="AN75" s="1545"/>
      <c r="AO75" s="1545"/>
      <c r="AP75" s="1545"/>
      <c r="AQ75" s="1545"/>
      <c r="AR75" s="1545"/>
      <c r="AS75" s="1545"/>
      <c r="AT75" s="1545"/>
      <c r="AU75" s="20"/>
      <c r="AV75" s="20"/>
      <c r="AW75" s="20"/>
      <c r="AX75" s="20"/>
      <c r="AY75" s="20"/>
      <c r="AZ75" s="20"/>
      <c r="BD75" s="1247" t="s">
        <v>2567</v>
      </c>
      <c r="BE75" s="1249">
        <f>'Points System'!AF808</f>
        <v>10</v>
      </c>
    </row>
    <row r="76" spans="1:57" ht="12.95" customHeight="1">
      <c r="A76" s="1545"/>
      <c r="B76" s="1545"/>
      <c r="C76" s="1545"/>
      <c r="D76" s="1545"/>
      <c r="E76" s="1545"/>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545"/>
      <c r="AM76" s="1545"/>
      <c r="AN76" s="1545"/>
      <c r="AO76" s="1545"/>
      <c r="AP76" s="1545"/>
      <c r="AQ76" s="1545"/>
      <c r="AR76" s="1545"/>
      <c r="AS76" s="1545"/>
      <c r="AT76" s="1545"/>
      <c r="AU76" s="20"/>
      <c r="AV76" s="20"/>
      <c r="AW76" s="20"/>
      <c r="AX76" s="20"/>
      <c r="AY76" s="20"/>
      <c r="AZ76" s="17"/>
      <c r="BD76" s="1248" t="s">
        <v>2568</v>
      </c>
      <c r="BE76" s="1249">
        <f>'Points System'!AF811</f>
        <v>0</v>
      </c>
    </row>
    <row r="77" spans="1:57" ht="12.95" customHeight="1">
      <c r="A77" s="1545"/>
      <c r="B77" s="1545"/>
      <c r="C77" s="1545"/>
      <c r="D77" s="1545"/>
      <c r="E77" s="1545"/>
      <c r="F77" s="1545"/>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545"/>
      <c r="AM77" s="1545"/>
      <c r="AN77" s="1545"/>
      <c r="AO77" s="1545"/>
      <c r="AP77" s="1545"/>
      <c r="AQ77" s="1545"/>
      <c r="AR77" s="1545"/>
      <c r="AS77" s="1545"/>
      <c r="AT77" s="1545"/>
      <c r="AU77" s="20"/>
      <c r="AV77" s="20"/>
      <c r="AW77" s="20"/>
      <c r="AX77" s="20"/>
      <c r="AY77" s="20"/>
      <c r="AZ77" s="17"/>
      <c r="BD77" s="1247" t="s">
        <v>2569</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2.95" customHeight="1">
      <c r="A79" s="1546" t="s">
        <v>2161</v>
      </c>
      <c r="B79" s="1546"/>
      <c r="C79" s="1546"/>
      <c r="D79" s="1546"/>
      <c r="E79" s="1546"/>
      <c r="F79" s="1546"/>
      <c r="G79" s="1546"/>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546"/>
      <c r="AM79" s="1546"/>
      <c r="AN79" s="1546"/>
      <c r="AO79" s="1546"/>
      <c r="AP79" s="1546"/>
      <c r="AQ79" s="1546"/>
      <c r="AR79" s="1546"/>
      <c r="AS79" s="1546"/>
      <c r="AT79" s="1546"/>
      <c r="AU79" s="20"/>
      <c r="AV79" s="20"/>
      <c r="AW79" s="20"/>
      <c r="AX79" s="20"/>
      <c r="AY79" s="20"/>
      <c r="AZ79" s="20"/>
      <c r="BD79" s="1247" t="s">
        <v>2571</v>
      </c>
      <c r="BE79" s="1249">
        <f>'Points System'!AF815</f>
        <v>9</v>
      </c>
    </row>
    <row r="80" spans="1:57" ht="12.95" customHeight="1">
      <c r="A80" s="1546"/>
      <c r="B80" s="1546"/>
      <c r="C80" s="1546"/>
      <c r="D80" s="1546"/>
      <c r="E80" s="1546"/>
      <c r="F80" s="1546"/>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546"/>
      <c r="AM80" s="1546"/>
      <c r="AN80" s="1546"/>
      <c r="AO80" s="1546"/>
      <c r="AP80" s="1546"/>
      <c r="AQ80" s="1546"/>
      <c r="AR80" s="1546"/>
      <c r="AS80" s="1546"/>
      <c r="AT80" s="1546"/>
      <c r="AU80" s="20"/>
      <c r="AV80" s="20"/>
      <c r="AW80" s="20"/>
      <c r="AX80" s="20"/>
      <c r="AY80" s="20"/>
      <c r="AZ80" s="20"/>
      <c r="BD80" s="1248" t="s">
        <v>2572</v>
      </c>
      <c r="BE80" s="1249">
        <f>'Points System'!AF817</f>
        <v>10</v>
      </c>
    </row>
    <row r="81" spans="1:57" ht="12.95" customHeight="1">
      <c r="A81" s="1546"/>
      <c r="B81" s="1546"/>
      <c r="C81" s="1546"/>
      <c r="D81" s="1546"/>
      <c r="E81" s="1546"/>
      <c r="F81" s="1546"/>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546"/>
      <c r="AM81" s="1546"/>
      <c r="AN81" s="1546"/>
      <c r="AO81" s="1546"/>
      <c r="AP81" s="1546"/>
      <c r="AQ81" s="1546"/>
      <c r="AR81" s="1546"/>
      <c r="AS81" s="1546"/>
      <c r="AT81" s="1546"/>
      <c r="AU81" s="20"/>
      <c r="AV81" s="20"/>
      <c r="AW81" s="20"/>
      <c r="AX81" s="20"/>
      <c r="AY81" s="20"/>
      <c r="AZ81" s="20"/>
      <c r="BD81" s="1247" t="s">
        <v>2573</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2.95" customHeight="1">
      <c r="A83" s="1260" t="s">
        <v>2162</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2575</v>
      </c>
      <c r="BE83" s="1253">
        <f>'Tie Breaker'!H5</f>
        <v>3.1732198500607636</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2576</v>
      </c>
      <c r="BE84" s="1249" t="str">
        <f>Application!O153</f>
        <v>City of Eureka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Miles Slattery</v>
      </c>
    </row>
    <row r="86" spans="1:57" ht="12.95" customHeight="1">
      <c r="A86" s="1260" t="s">
        <v>2163</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2578</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2579</v>
      </c>
      <c r="BE87" s="1249" t="str">
        <f>Application!O156</f>
        <v>531 K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Eureka</v>
      </c>
    </row>
    <row r="89" spans="1:57" ht="12.95" customHeight="1">
      <c r="A89" s="1555" t="s">
        <v>2164</v>
      </c>
      <c r="B89" s="1555"/>
      <c r="C89" s="1555"/>
      <c r="D89" s="1555"/>
      <c r="E89" s="1555"/>
      <c r="F89" s="1555"/>
      <c r="G89" s="1555"/>
      <c r="H89" s="1555"/>
      <c r="I89" s="1555"/>
      <c r="J89" s="1555"/>
      <c r="K89" s="1555"/>
      <c r="L89" s="1555"/>
      <c r="M89" s="1555"/>
      <c r="N89" s="1555"/>
      <c r="O89" s="1555"/>
      <c r="P89" s="1555"/>
      <c r="Q89" s="1555"/>
      <c r="R89" s="1555"/>
      <c r="S89" s="1555"/>
      <c r="T89" s="1555"/>
      <c r="U89" s="1555"/>
      <c r="V89" s="1555"/>
      <c r="W89" s="1555"/>
      <c r="X89" s="1555"/>
      <c r="Y89" s="1555"/>
      <c r="Z89" s="1555"/>
      <c r="AA89" s="1555"/>
      <c r="AB89" s="1555"/>
      <c r="AC89" s="1555"/>
      <c r="AD89" s="1555"/>
      <c r="AE89" s="1555"/>
      <c r="AF89" s="1555"/>
      <c r="AG89" s="1555"/>
      <c r="AH89" s="1555"/>
      <c r="AI89" s="1555"/>
      <c r="AJ89" s="1555"/>
      <c r="AK89" s="1555"/>
      <c r="AL89" s="1555"/>
      <c r="AM89" s="1555"/>
      <c r="AN89" s="1555"/>
      <c r="AO89" s="1555"/>
      <c r="AP89" s="1555"/>
      <c r="AQ89" s="1555"/>
      <c r="AR89" s="1555"/>
      <c r="AS89" s="1555"/>
      <c r="AT89" s="1555"/>
      <c r="AU89" s="17"/>
      <c r="AV89" s="17"/>
      <c r="AW89" s="17"/>
      <c r="AX89" s="17"/>
      <c r="AY89" s="17"/>
      <c r="AZ89" s="20"/>
      <c r="BD89" s="1247" t="s">
        <v>2581</v>
      </c>
      <c r="BE89" s="1249">
        <f>Application!O158</f>
        <v>95501</v>
      </c>
    </row>
    <row r="90" spans="1:57" ht="12.95" customHeight="1">
      <c r="A90" s="1555"/>
      <c r="B90" s="1555"/>
      <c r="C90" s="1555"/>
      <c r="D90" s="1555"/>
      <c r="E90" s="1555"/>
      <c r="F90" s="1555"/>
      <c r="G90" s="1555"/>
      <c r="H90" s="1555"/>
      <c r="I90" s="1555"/>
      <c r="J90" s="1555"/>
      <c r="K90" s="1555"/>
      <c r="L90" s="1555"/>
      <c r="M90" s="1555"/>
      <c r="N90" s="1555"/>
      <c r="O90" s="1555"/>
      <c r="P90" s="1555"/>
      <c r="Q90" s="1555"/>
      <c r="R90" s="1555"/>
      <c r="S90" s="1555"/>
      <c r="T90" s="1555"/>
      <c r="U90" s="1555"/>
      <c r="V90" s="1555"/>
      <c r="W90" s="1555"/>
      <c r="X90" s="1555"/>
      <c r="Y90" s="1555"/>
      <c r="Z90" s="1555"/>
      <c r="AA90" s="1555"/>
      <c r="AB90" s="1555"/>
      <c r="AC90" s="1555"/>
      <c r="AD90" s="1555"/>
      <c r="AE90" s="1555"/>
      <c r="AF90" s="1555"/>
      <c r="AG90" s="1555"/>
      <c r="AH90" s="1555"/>
      <c r="AI90" s="1555"/>
      <c r="AJ90" s="1555"/>
      <c r="AK90" s="1555"/>
      <c r="AL90" s="1555"/>
      <c r="AM90" s="1555"/>
      <c r="AN90" s="1555"/>
      <c r="AO90" s="1555"/>
      <c r="AP90" s="1555"/>
      <c r="AQ90" s="1555"/>
      <c r="AR90" s="1555"/>
      <c r="AS90" s="1555"/>
      <c r="AT90" s="1555"/>
      <c r="AU90" s="17"/>
      <c r="AV90" s="17"/>
      <c r="AW90" s="17"/>
      <c r="AX90" s="17"/>
      <c r="AY90" s="17"/>
      <c r="AZ90" s="20"/>
      <c r="BD90" s="1248" t="s">
        <v>2582</v>
      </c>
      <c r="BE90" s="1249" t="str">
        <f>Application!H16</f>
        <v>Hiler I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735 W Everding Street</v>
      </c>
    </row>
    <row r="92" spans="1:57" ht="12.95" customHeight="1">
      <c r="A92" s="1545" t="s">
        <v>2165</v>
      </c>
      <c r="B92" s="1545"/>
      <c r="C92" s="1545"/>
      <c r="D92" s="1545"/>
      <c r="E92" s="1545"/>
      <c r="F92" s="1545"/>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545"/>
      <c r="AM92" s="1545"/>
      <c r="AN92" s="1545"/>
      <c r="AO92" s="1545"/>
      <c r="AP92" s="1545"/>
      <c r="AQ92" s="1545"/>
      <c r="AR92" s="1545"/>
      <c r="AS92" s="1545"/>
      <c r="AT92" s="1545"/>
      <c r="AU92" s="20"/>
      <c r="AV92" s="20"/>
      <c r="AW92" s="20"/>
      <c r="AX92" s="20"/>
      <c r="AY92" s="20"/>
      <c r="AZ92" s="20"/>
      <c r="BD92" s="1248" t="s">
        <v>2584</v>
      </c>
      <c r="BE92" s="1249" t="str">
        <f>Application!M234</f>
        <v>Eureka</v>
      </c>
    </row>
    <row r="93" spans="1:57" ht="12.95" customHeight="1">
      <c r="A93" s="1545"/>
      <c r="B93" s="1545"/>
      <c r="C93" s="1545"/>
      <c r="D93" s="1545"/>
      <c r="E93" s="1545"/>
      <c r="F93" s="1545"/>
      <c r="G93" s="1545"/>
      <c r="H93" s="1545"/>
      <c r="I93" s="1545"/>
      <c r="J93" s="1545"/>
      <c r="K93" s="1545"/>
      <c r="L93" s="1545"/>
      <c r="M93" s="1545"/>
      <c r="N93" s="1545"/>
      <c r="O93" s="1545"/>
      <c r="P93" s="1545"/>
      <c r="Q93" s="1545"/>
      <c r="R93" s="1545"/>
      <c r="S93" s="1545"/>
      <c r="T93" s="1545"/>
      <c r="U93" s="1545"/>
      <c r="V93" s="1545"/>
      <c r="W93" s="1545"/>
      <c r="X93" s="1545"/>
      <c r="Y93" s="1545"/>
      <c r="Z93" s="1545"/>
      <c r="AA93" s="1545"/>
      <c r="AB93" s="1545"/>
      <c r="AC93" s="1545"/>
      <c r="AD93" s="1545"/>
      <c r="AE93" s="1545"/>
      <c r="AF93" s="1545"/>
      <c r="AG93" s="1545"/>
      <c r="AH93" s="1545"/>
      <c r="AI93" s="1545"/>
      <c r="AJ93" s="1545"/>
      <c r="AK93" s="1545"/>
      <c r="AL93" s="1545"/>
      <c r="AM93" s="1545"/>
      <c r="AN93" s="1545"/>
      <c r="AO93" s="1545"/>
      <c r="AP93" s="1545"/>
      <c r="AQ93" s="1545"/>
      <c r="AR93" s="1545"/>
      <c r="AS93" s="1545"/>
      <c r="AT93" s="1545"/>
      <c r="AU93" s="20"/>
      <c r="AV93" s="20"/>
      <c r="AW93" s="20"/>
      <c r="AX93" s="20"/>
      <c r="AY93" s="20"/>
      <c r="AZ93" s="20"/>
      <c r="BD93" s="1247" t="s">
        <v>2585</v>
      </c>
      <c r="BE93" s="1249" t="str">
        <f>Application!W234</f>
        <v>CA</v>
      </c>
    </row>
    <row r="94" spans="1:57" ht="12.95" customHeight="1">
      <c r="A94" s="1545"/>
      <c r="B94" s="1545"/>
      <c r="C94" s="1545"/>
      <c r="D94" s="1545"/>
      <c r="E94" s="1545"/>
      <c r="F94" s="1545"/>
      <c r="G94" s="1545"/>
      <c r="H94" s="1545"/>
      <c r="I94" s="1545"/>
      <c r="J94" s="1545"/>
      <c r="K94" s="1545"/>
      <c r="L94" s="1545"/>
      <c r="M94" s="1545"/>
      <c r="N94" s="1545"/>
      <c r="O94" s="1545"/>
      <c r="P94" s="1545"/>
      <c r="Q94" s="1545"/>
      <c r="R94" s="1545"/>
      <c r="S94" s="1545"/>
      <c r="T94" s="1545"/>
      <c r="U94" s="1545"/>
      <c r="V94" s="1545"/>
      <c r="W94" s="1545"/>
      <c r="X94" s="1545"/>
      <c r="Y94" s="1545"/>
      <c r="Z94" s="1545"/>
      <c r="AA94" s="1545"/>
      <c r="AB94" s="1545"/>
      <c r="AC94" s="1545"/>
      <c r="AD94" s="1545"/>
      <c r="AE94" s="1545"/>
      <c r="AF94" s="1545"/>
      <c r="AG94" s="1545"/>
      <c r="AH94" s="1545"/>
      <c r="AI94" s="1545"/>
      <c r="AJ94" s="1545"/>
      <c r="AK94" s="1545"/>
      <c r="AL94" s="1545"/>
      <c r="AM94" s="1545"/>
      <c r="AN94" s="1545"/>
      <c r="AO94" s="1545"/>
      <c r="AP94" s="1545"/>
      <c r="AQ94" s="1545"/>
      <c r="AR94" s="1545"/>
      <c r="AS94" s="1545"/>
      <c r="AT94" s="1545"/>
      <c r="AU94" s="20"/>
      <c r="AV94" s="20"/>
      <c r="AW94" s="20"/>
      <c r="AX94" s="20"/>
      <c r="AY94" s="20"/>
      <c r="AZ94" s="20"/>
      <c r="BD94" s="1248" t="s">
        <v>2586</v>
      </c>
      <c r="BE94" s="1249">
        <f>Application!AC234</f>
        <v>95503</v>
      </c>
    </row>
    <row r="95" spans="1:57" ht="12.95" customHeight="1">
      <c r="A95" s="1545"/>
      <c r="B95" s="1545"/>
      <c r="C95" s="1545"/>
      <c r="D95" s="1545"/>
      <c r="E95" s="1545"/>
      <c r="F95" s="1545"/>
      <c r="G95" s="1545"/>
      <c r="H95" s="1545"/>
      <c r="I95" s="1545"/>
      <c r="J95" s="1545"/>
      <c r="K95" s="1545"/>
      <c r="L95" s="1545"/>
      <c r="M95" s="1545"/>
      <c r="N95" s="1545"/>
      <c r="O95" s="1545"/>
      <c r="P95" s="1545"/>
      <c r="Q95" s="1545"/>
      <c r="R95" s="1545"/>
      <c r="S95" s="1545"/>
      <c r="T95" s="1545"/>
      <c r="U95" s="1545"/>
      <c r="V95" s="1545"/>
      <c r="W95" s="1545"/>
      <c r="X95" s="1545"/>
      <c r="Y95" s="1545"/>
      <c r="Z95" s="1545"/>
      <c r="AA95" s="1545"/>
      <c r="AB95" s="1545"/>
      <c r="AC95" s="1545"/>
      <c r="AD95" s="1545"/>
      <c r="AE95" s="1545"/>
      <c r="AF95" s="1545"/>
      <c r="AG95" s="1545"/>
      <c r="AH95" s="1545"/>
      <c r="AI95" s="1545"/>
      <c r="AJ95" s="1545"/>
      <c r="AK95" s="1545"/>
      <c r="AL95" s="1545"/>
      <c r="AM95" s="1545"/>
      <c r="AN95" s="1545"/>
      <c r="AO95" s="1545"/>
      <c r="AP95" s="1545"/>
      <c r="AQ95" s="1545"/>
      <c r="AR95" s="1545"/>
      <c r="AS95" s="1545"/>
      <c r="AT95" s="1545"/>
      <c r="AU95" s="20"/>
      <c r="AV95" s="20"/>
      <c r="AW95" s="20"/>
      <c r="AX95" s="20"/>
      <c r="AY95" s="20"/>
      <c r="AZ95" s="20"/>
      <c r="BD95" s="1247" t="s">
        <v>2587</v>
      </c>
      <c r="BE95" s="1249" t="str">
        <f>Application!M235</f>
        <v>Cheryl Churchill</v>
      </c>
    </row>
    <row r="96" spans="1:57" ht="12.95" customHeight="1">
      <c r="A96" s="1545"/>
      <c r="B96" s="1545"/>
      <c r="C96" s="1545"/>
      <c r="D96" s="1545"/>
      <c r="E96" s="1545"/>
      <c r="F96" s="1545"/>
      <c r="G96" s="1545"/>
      <c r="H96" s="1545"/>
      <c r="I96" s="1545"/>
      <c r="J96" s="1545"/>
      <c r="K96" s="1545"/>
      <c r="L96" s="1545"/>
      <c r="M96" s="1545"/>
      <c r="N96" s="1545"/>
      <c r="O96" s="1545"/>
      <c r="P96" s="1545"/>
      <c r="Q96" s="1545"/>
      <c r="R96" s="1545"/>
      <c r="S96" s="1545"/>
      <c r="T96" s="1545"/>
      <c r="U96" s="1545"/>
      <c r="V96" s="1545"/>
      <c r="W96" s="1545"/>
      <c r="X96" s="1545"/>
      <c r="Y96" s="1545"/>
      <c r="Z96" s="1545"/>
      <c r="AA96" s="1545"/>
      <c r="AB96" s="1545"/>
      <c r="AC96" s="1545"/>
      <c r="AD96" s="1545"/>
      <c r="AE96" s="1545"/>
      <c r="AF96" s="1545"/>
      <c r="AG96" s="1545"/>
      <c r="AH96" s="1545"/>
      <c r="AI96" s="1545"/>
      <c r="AJ96" s="1545"/>
      <c r="AK96" s="1545"/>
      <c r="AL96" s="1545"/>
      <c r="AM96" s="1545"/>
      <c r="AN96" s="1545"/>
      <c r="AO96" s="1545"/>
      <c r="AP96" s="1545"/>
      <c r="AQ96" s="1545"/>
      <c r="AR96" s="1545"/>
      <c r="AS96" s="1545"/>
      <c r="AT96" s="1545"/>
      <c r="AU96" s="20"/>
      <c r="AV96" s="20"/>
      <c r="AW96" s="20"/>
      <c r="AX96" s="20"/>
      <c r="AY96" s="20"/>
      <c r="AZ96" s="20"/>
      <c r="BD96" s="1248" t="s">
        <v>2588</v>
      </c>
      <c r="BE96" s="1249" t="str">
        <f>Application!M237</f>
        <v>cherylc@eurekahumboldtha.org</v>
      </c>
    </row>
    <row r="97" spans="1:57" ht="12.95" customHeight="1">
      <c r="A97" s="1545"/>
      <c r="B97" s="1545"/>
      <c r="C97" s="1545"/>
      <c r="D97" s="1545"/>
      <c r="E97" s="1545"/>
      <c r="F97" s="1545"/>
      <c r="G97" s="1545"/>
      <c r="H97" s="1545"/>
      <c r="I97" s="1545"/>
      <c r="J97" s="1545"/>
      <c r="K97" s="1545"/>
      <c r="L97" s="1545"/>
      <c r="M97" s="1545"/>
      <c r="N97" s="1545"/>
      <c r="O97" s="1545"/>
      <c r="P97" s="1545"/>
      <c r="Q97" s="1545"/>
      <c r="R97" s="1545"/>
      <c r="S97" s="1545"/>
      <c r="T97" s="1545"/>
      <c r="U97" s="1545"/>
      <c r="V97" s="1545"/>
      <c r="W97" s="1545"/>
      <c r="X97" s="1545"/>
      <c r="Y97" s="1545"/>
      <c r="Z97" s="1545"/>
      <c r="AA97" s="1545"/>
      <c r="AB97" s="1545"/>
      <c r="AC97" s="1545"/>
      <c r="AD97" s="1545"/>
      <c r="AE97" s="1545"/>
      <c r="AF97" s="1545"/>
      <c r="AG97" s="1545"/>
      <c r="AH97" s="1545"/>
      <c r="AI97" s="1545"/>
      <c r="AJ97" s="1545"/>
      <c r="AK97" s="1545"/>
      <c r="AL97" s="1545"/>
      <c r="AM97" s="1545"/>
      <c r="AN97" s="1545"/>
      <c r="AO97" s="1545"/>
      <c r="AP97" s="1545"/>
      <c r="AQ97" s="1545"/>
      <c r="AR97" s="1545"/>
      <c r="AS97" s="1545"/>
      <c r="AT97" s="1545"/>
      <c r="AU97" s="20"/>
      <c r="AV97" s="20"/>
      <c r="AW97" s="20"/>
      <c r="AX97" s="20"/>
      <c r="AY97" s="20"/>
      <c r="AZ97" s="20"/>
      <c r="BD97" s="1247" t="s">
        <v>2589</v>
      </c>
      <c r="BE97" s="1249" t="str">
        <f>Application!M248</f>
        <v>cherylc@eurekahumboldtha.org</v>
      </c>
    </row>
    <row r="98" spans="1:57" ht="12.95" customHeight="1">
      <c r="A98" s="1545"/>
      <c r="B98" s="1545"/>
      <c r="C98" s="1545"/>
      <c r="D98" s="1545"/>
      <c r="E98" s="1545"/>
      <c r="F98" s="1545"/>
      <c r="G98" s="1545"/>
      <c r="H98" s="1545"/>
      <c r="I98" s="1545"/>
      <c r="J98" s="1545"/>
      <c r="K98" s="1545"/>
      <c r="L98" s="1545"/>
      <c r="M98" s="1545"/>
      <c r="N98" s="1545"/>
      <c r="O98" s="1545"/>
      <c r="P98" s="1545"/>
      <c r="Q98" s="1545"/>
      <c r="R98" s="1545"/>
      <c r="S98" s="1545"/>
      <c r="T98" s="1545"/>
      <c r="U98" s="1545"/>
      <c r="V98" s="1545"/>
      <c r="W98" s="1545"/>
      <c r="X98" s="1545"/>
      <c r="Y98" s="1545"/>
      <c r="Z98" s="1545"/>
      <c r="AA98" s="1545"/>
      <c r="AB98" s="1545"/>
      <c r="AC98" s="1545"/>
      <c r="AD98" s="1545"/>
      <c r="AE98" s="1545"/>
      <c r="AF98" s="1545"/>
      <c r="AG98" s="1545"/>
      <c r="AH98" s="1545"/>
      <c r="AI98" s="1545"/>
      <c r="AJ98" s="1545"/>
      <c r="AK98" s="1545"/>
      <c r="AL98" s="1545"/>
      <c r="AM98" s="1545"/>
      <c r="AN98" s="1545"/>
      <c r="AO98" s="1545"/>
      <c r="AP98" s="1545"/>
      <c r="AQ98" s="1545"/>
      <c r="AR98" s="1545"/>
      <c r="AS98" s="1545"/>
      <c r="AT98" s="1545"/>
      <c r="AU98" s="20"/>
      <c r="AV98" s="20"/>
      <c r="AW98" s="20"/>
      <c r="AX98" s="20"/>
      <c r="AY98" s="20"/>
      <c r="AZ98" s="20"/>
      <c r="BD98" s="1248" t="s">
        <v>2590</v>
      </c>
      <c r="BE98" s="1249" t="str">
        <f>Application!M256</f>
        <v>kbrinla@brinshore.com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2.95" customHeight="1">
      <c r="A100" s="1556" t="s">
        <v>2166</v>
      </c>
      <c r="B100" s="1556"/>
      <c r="C100" s="1556"/>
      <c r="D100" s="1556"/>
      <c r="E100" s="1556"/>
      <c r="F100" s="1556"/>
      <c r="G100" s="1556"/>
      <c r="H100" s="1556"/>
      <c r="I100" s="1556"/>
      <c r="J100" s="1556"/>
      <c r="K100" s="1556"/>
      <c r="L100" s="1556"/>
      <c r="M100" s="1556"/>
      <c r="N100" s="1556"/>
      <c r="O100" s="1556"/>
      <c r="P100" s="1556"/>
      <c r="Q100" s="1556"/>
      <c r="R100" s="1556"/>
      <c r="S100" s="1556"/>
      <c r="T100" s="1556"/>
      <c r="U100" s="1556"/>
      <c r="V100" s="1556"/>
      <c r="W100" s="1556"/>
      <c r="X100" s="1556"/>
      <c r="Y100" s="1556"/>
      <c r="Z100" s="1556"/>
      <c r="AA100" s="1556"/>
      <c r="AB100" s="1556"/>
      <c r="AC100" s="1556"/>
      <c r="AD100" s="1556"/>
      <c r="AE100" s="1556"/>
      <c r="AF100" s="1556"/>
      <c r="AG100" s="1556"/>
      <c r="AH100" s="1556"/>
      <c r="AI100" s="1556"/>
      <c r="AJ100" s="1556"/>
      <c r="AK100" s="1556"/>
      <c r="AL100" s="1556"/>
      <c r="AM100" s="1556"/>
      <c r="AN100" s="1556"/>
      <c r="AO100" s="1556"/>
      <c r="AP100" s="1556"/>
      <c r="AQ100" s="1556"/>
      <c r="AR100" s="1556"/>
      <c r="AS100" s="1556"/>
      <c r="AT100" s="1556"/>
      <c r="AU100" s="20"/>
      <c r="AV100" s="20"/>
      <c r="AW100" s="20"/>
      <c r="AX100" s="20"/>
      <c r="AY100" s="20"/>
      <c r="AZ100" s="20"/>
      <c r="BD100" s="1248" t="s">
        <v>2592</v>
      </c>
      <c r="BE100" s="1249" t="str">
        <f>Application!L279</f>
        <v>kbrinla@brinshore.com &amp; emily@operativeoffice.com</v>
      </c>
    </row>
    <row r="101" spans="1:57" ht="12.95" customHeight="1">
      <c r="A101" s="1556"/>
      <c r="B101" s="1556"/>
      <c r="C101" s="1556"/>
      <c r="D101" s="1556"/>
      <c r="E101" s="1556"/>
      <c r="F101" s="1556"/>
      <c r="G101" s="1556"/>
      <c r="H101" s="1556"/>
      <c r="I101" s="1556"/>
      <c r="J101" s="1556"/>
      <c r="K101" s="1556"/>
      <c r="L101" s="1556"/>
      <c r="M101" s="1556"/>
      <c r="N101" s="1556"/>
      <c r="O101" s="1556"/>
      <c r="P101" s="1556"/>
      <c r="Q101" s="1556"/>
      <c r="R101" s="1556"/>
      <c r="S101" s="1556"/>
      <c r="T101" s="1556"/>
      <c r="U101" s="1556"/>
      <c r="V101" s="1556"/>
      <c r="W101" s="1556"/>
      <c r="X101" s="1556"/>
      <c r="Y101" s="1556"/>
      <c r="Z101" s="1556"/>
      <c r="AA101" s="1556"/>
      <c r="AB101" s="1556"/>
      <c r="AC101" s="1556"/>
      <c r="AD101" s="1556"/>
      <c r="AE101" s="1556"/>
      <c r="AF101" s="1556"/>
      <c r="AG101" s="1556"/>
      <c r="AH101" s="1556"/>
      <c r="AI101" s="1556"/>
      <c r="AJ101" s="1556"/>
      <c r="AK101" s="1556"/>
      <c r="AL101" s="1556"/>
      <c r="AM101" s="1556"/>
      <c r="AN101" s="1556"/>
      <c r="AO101" s="1556"/>
      <c r="AP101" s="1556"/>
      <c r="AQ101" s="1556"/>
      <c r="AR101" s="1556"/>
      <c r="AS101" s="1556"/>
      <c r="AT101" s="1556"/>
      <c r="AU101" s="20"/>
      <c r="AV101" s="20"/>
      <c r="AW101" s="20"/>
      <c r="AX101" s="20"/>
      <c r="AY101" s="20"/>
      <c r="AZ101" s="20"/>
      <c r="BD101" s="3" t="s">
        <v>2597</v>
      </c>
      <c r="BE101">
        <f>'Sources and Uses Budget'!C105</f>
        <v>71780116</v>
      </c>
    </row>
    <row r="102" spans="1:57" ht="12.95" customHeight="1">
      <c r="A102" s="1556"/>
      <c r="B102" s="1556"/>
      <c r="C102" s="1556"/>
      <c r="D102" s="1556"/>
      <c r="E102" s="1556"/>
      <c r="F102" s="1556"/>
      <c r="G102" s="1556"/>
      <c r="H102" s="1556"/>
      <c r="I102" s="1556"/>
      <c r="J102" s="1556"/>
      <c r="K102" s="1556"/>
      <c r="L102" s="1556"/>
      <c r="M102" s="1556"/>
      <c r="N102" s="1556"/>
      <c r="O102" s="1556"/>
      <c r="P102" s="1556"/>
      <c r="Q102" s="1556"/>
      <c r="R102" s="1556"/>
      <c r="S102" s="1556"/>
      <c r="T102" s="1556"/>
      <c r="U102" s="1556"/>
      <c r="V102" s="1556"/>
      <c r="W102" s="1556"/>
      <c r="X102" s="1556"/>
      <c r="Y102" s="1556"/>
      <c r="Z102" s="1556"/>
      <c r="AA102" s="1556"/>
      <c r="AB102" s="1556"/>
      <c r="AC102" s="1556"/>
      <c r="AD102" s="1556"/>
      <c r="AE102" s="1556"/>
      <c r="AF102" s="1556"/>
      <c r="AG102" s="1556"/>
      <c r="AH102" s="1556"/>
      <c r="AI102" s="1556"/>
      <c r="AJ102" s="1556"/>
      <c r="AK102" s="1556"/>
      <c r="AL102" s="1556"/>
      <c r="AM102" s="1556"/>
      <c r="AN102" s="1556"/>
      <c r="AO102" s="1556"/>
      <c r="AP102" s="1556"/>
      <c r="AQ102" s="1556"/>
      <c r="AR102" s="1556"/>
      <c r="AS102" s="1556"/>
      <c r="AT102" s="1556"/>
      <c r="AU102" s="20"/>
      <c r="AV102" s="20"/>
      <c r="AW102" s="20"/>
      <c r="AX102" s="20"/>
      <c r="AY102" s="20"/>
      <c r="AZ102" s="20"/>
      <c r="BD102" s="3" t="s">
        <v>2598</v>
      </c>
      <c r="BE102" t="b">
        <f>T197="Yes"</f>
        <v>0</v>
      </c>
    </row>
    <row r="103" spans="1:57" ht="12.95" customHeight="1">
      <c r="A103" s="1556"/>
      <c r="B103" s="1556"/>
      <c r="C103" s="1556"/>
      <c r="D103" s="1556"/>
      <c r="E103" s="1556"/>
      <c r="F103" s="1556"/>
      <c r="G103" s="1556"/>
      <c r="H103" s="1556"/>
      <c r="I103" s="1556"/>
      <c r="J103" s="1556"/>
      <c r="K103" s="1556"/>
      <c r="L103" s="1556"/>
      <c r="M103" s="1556"/>
      <c r="N103" s="1556"/>
      <c r="O103" s="1556"/>
      <c r="P103" s="1556"/>
      <c r="Q103" s="1556"/>
      <c r="R103" s="1556"/>
      <c r="S103" s="1556"/>
      <c r="T103" s="1556"/>
      <c r="U103" s="1556"/>
      <c r="V103" s="1556"/>
      <c r="W103" s="1556"/>
      <c r="X103" s="1556"/>
      <c r="Y103" s="1556"/>
      <c r="Z103" s="1556"/>
      <c r="AA103" s="1556"/>
      <c r="AB103" s="1556"/>
      <c r="AC103" s="1556"/>
      <c r="AD103" s="1556"/>
      <c r="AE103" s="1556"/>
      <c r="AF103" s="1556"/>
      <c r="AG103" s="1556"/>
      <c r="AH103" s="1556"/>
      <c r="AI103" s="1556"/>
      <c r="AJ103" s="1556"/>
      <c r="AK103" s="1556"/>
      <c r="AL103" s="1556"/>
      <c r="AM103" s="1556"/>
      <c r="AN103" s="1556"/>
      <c r="AO103" s="1556"/>
      <c r="AP103" s="1556"/>
      <c r="AQ103" s="1556"/>
      <c r="AR103" s="1556"/>
      <c r="AS103" s="1556"/>
      <c r="AT103" s="1556"/>
      <c r="AU103" s="20"/>
      <c r="AV103" s="20"/>
      <c r="AW103" s="20"/>
      <c r="AX103" s="20"/>
      <c r="AY103" s="20"/>
      <c r="BD103" t="s">
        <v>2176</v>
      </c>
      <c r="BE103" s="1249" t="b">
        <f>T199="Yes"</f>
        <v>1</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6" t="s">
        <v>2167</v>
      </c>
      <c r="B105" s="1556"/>
      <c r="C105" s="1556"/>
      <c r="D105" s="1556"/>
      <c r="E105" s="1556"/>
      <c r="F105" s="1556"/>
      <c r="G105" s="1556"/>
      <c r="H105" s="1556"/>
      <c r="I105" s="1556"/>
      <c r="J105" s="1556"/>
      <c r="K105" s="1556"/>
      <c r="L105" s="1556"/>
      <c r="M105" s="1556"/>
      <c r="N105" s="1556"/>
      <c r="O105" s="1556"/>
      <c r="P105" s="1556"/>
      <c r="Q105" s="1556"/>
      <c r="R105" s="1556"/>
      <c r="S105" s="1556"/>
      <c r="T105" s="1556"/>
      <c r="U105" s="1556"/>
      <c r="V105" s="1556"/>
      <c r="W105" s="1556"/>
      <c r="X105" s="1556"/>
      <c r="Y105" s="1556"/>
      <c r="Z105" s="1556"/>
      <c r="AA105" s="1556"/>
      <c r="AB105" s="1556"/>
      <c r="AC105" s="1556"/>
      <c r="AD105" s="1556"/>
      <c r="AE105" s="1556"/>
      <c r="AF105" s="1556"/>
      <c r="AG105" s="1556"/>
      <c r="AH105" s="1556"/>
      <c r="AI105" s="1556"/>
      <c r="AJ105" s="1556"/>
      <c r="AK105" s="1556"/>
      <c r="AL105" s="1556"/>
      <c r="AM105" s="1556"/>
      <c r="AN105" s="1556"/>
      <c r="AO105" s="1556"/>
      <c r="AP105" s="1556"/>
      <c r="AQ105" s="1556"/>
      <c r="AR105" s="1556"/>
      <c r="AS105" s="1556"/>
      <c r="AT105" s="1556"/>
      <c r="AU105" s="20"/>
      <c r="AV105" s="20"/>
      <c r="AW105" s="20"/>
      <c r="AX105" s="20"/>
      <c r="AY105" s="20"/>
    </row>
    <row r="106" spans="1:57" ht="12.95" customHeight="1">
      <c r="A106" s="1556"/>
      <c r="B106" s="1556"/>
      <c r="C106" s="1556"/>
      <c r="D106" s="1556"/>
      <c r="E106" s="1556"/>
      <c r="F106" s="1556"/>
      <c r="G106" s="1556"/>
      <c r="H106" s="1556"/>
      <c r="I106" s="1556"/>
      <c r="J106" s="1556"/>
      <c r="K106" s="1556"/>
      <c r="L106" s="1556"/>
      <c r="M106" s="1556"/>
      <c r="N106" s="1556"/>
      <c r="O106" s="1556"/>
      <c r="P106" s="1556"/>
      <c r="Q106" s="1556"/>
      <c r="R106" s="1556"/>
      <c r="S106" s="1556"/>
      <c r="T106" s="1556"/>
      <c r="U106" s="1556"/>
      <c r="V106" s="1556"/>
      <c r="W106" s="1556"/>
      <c r="X106" s="1556"/>
      <c r="Y106" s="1556"/>
      <c r="Z106" s="1556"/>
      <c r="AA106" s="1556"/>
      <c r="AB106" s="1556"/>
      <c r="AC106" s="1556"/>
      <c r="AD106" s="1556"/>
      <c r="AE106" s="1556"/>
      <c r="AF106" s="1556"/>
      <c r="AG106" s="1556"/>
      <c r="AH106" s="1556"/>
      <c r="AI106" s="1556"/>
      <c r="AJ106" s="1556"/>
      <c r="AK106" s="1556"/>
      <c r="AL106" s="1556"/>
      <c r="AM106" s="1556"/>
      <c r="AN106" s="1556"/>
      <c r="AO106" s="1556"/>
      <c r="AP106" s="1556"/>
      <c r="AQ106" s="1556"/>
      <c r="AR106" s="1556"/>
      <c r="AS106" s="1556"/>
      <c r="AT106" s="1556"/>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9"/>
      <c r="H113" s="1549"/>
      <c r="I113" s="3" t="s">
        <v>182</v>
      </c>
      <c r="L113" s="1549"/>
      <c r="M113" s="1549"/>
      <c r="N113" s="1549"/>
      <c r="O113" s="1549"/>
      <c r="P113" s="1563" t="s">
        <v>2239</v>
      </c>
      <c r="Q113" s="1563"/>
      <c r="R113" s="1563"/>
      <c r="S113" s="15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0"/>
      <c r="D115" s="1550"/>
      <c r="E115" s="1550"/>
      <c r="F115" s="1550"/>
      <c r="G115" s="1550"/>
      <c r="H115" s="1550"/>
      <c r="I115" s="1550"/>
      <c r="J115" s="1550"/>
      <c r="K115" s="1550"/>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49"/>
      <c r="Z117" s="1549"/>
      <c r="AA117" s="1549"/>
      <c r="AB117" s="1549"/>
      <c r="AC117" s="1549"/>
      <c r="AD117" s="1549"/>
      <c r="AE117" s="1549"/>
      <c r="AF117" s="1549"/>
      <c r="AG117" s="1549"/>
      <c r="AH117" s="1549"/>
      <c r="AI117" s="1549"/>
      <c r="AJ117" s="1549"/>
      <c r="AK117" s="1549"/>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9"/>
      <c r="Z120" s="1549"/>
      <c r="AA120" s="1549"/>
      <c r="AB120" s="1549"/>
      <c r="AC120" s="1549"/>
      <c r="AD120" s="1549"/>
      <c r="AE120" s="1549"/>
      <c r="AF120" s="1549"/>
      <c r="AG120" s="1549"/>
      <c r="AH120" s="1549"/>
      <c r="AI120" s="1549"/>
      <c r="AJ120" s="1549"/>
      <c r="AK120" s="154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7" t="s">
        <v>470</v>
      </c>
      <c r="CV122" s="1698"/>
      <c r="CW122" s="14"/>
      <c r="CX122" s="14" t="s">
        <v>635</v>
      </c>
      <c r="CY122" s="14"/>
      <c r="CZ122" s="14"/>
      <c r="DA122" s="14"/>
      <c r="DB122" s="14"/>
      <c r="DC122" s="14"/>
      <c r="DD122" s="14"/>
      <c r="DE122" s="14"/>
      <c r="DF122" s="14"/>
      <c r="DG122" s="1694" t="str">
        <f>T189</f>
        <v>Humboldt</v>
      </c>
      <c r="DH122" s="1695"/>
      <c r="DI122" s="1695"/>
      <c r="DJ122" s="1695"/>
      <c r="DK122" s="1695"/>
      <c r="DL122" s="1695"/>
      <c r="DM122" s="1696"/>
    </row>
    <row r="123" spans="1:117" ht="12.95" customHeight="1">
      <c r="A123" s="3"/>
      <c r="B123" s="3"/>
      <c r="T123" s="3"/>
      <c r="U123" s="3"/>
      <c r="V123" s="3"/>
      <c r="W123" s="3"/>
      <c r="X123" s="3"/>
      <c r="Y123" s="1549"/>
      <c r="Z123" s="1549"/>
      <c r="AA123" s="1549"/>
      <c r="AB123" s="1549"/>
      <c r="AC123" s="1549"/>
      <c r="AD123" s="1549"/>
      <c r="AE123" s="1549"/>
      <c r="AF123" s="1549"/>
      <c r="AG123" s="1549"/>
      <c r="AH123" s="1549"/>
      <c r="AI123" s="1549"/>
      <c r="AJ123" s="1549"/>
      <c r="AK123" s="154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77"/>
      <c r="G150" s="1377"/>
      <c r="H150" s="1377"/>
      <c r="I150" s="1377"/>
      <c r="J150" s="1377"/>
      <c r="K150" s="1377"/>
      <c r="L150" s="1377"/>
      <c r="M150" s="1377"/>
      <c r="N150" s="1377"/>
      <c r="O150" s="1377"/>
      <c r="P150" s="1377"/>
      <c r="Q150" s="1377"/>
      <c r="R150" s="1377"/>
      <c r="S150" s="1377"/>
      <c r="T150" s="137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2.95" customHeight="1">
      <c r="BM152">
        <v>4</v>
      </c>
      <c r="BN152" s="3" t="s">
        <v>2464</v>
      </c>
    </row>
    <row r="153" spans="1:108" ht="12.95" customHeight="1">
      <c r="D153" t="s">
        <v>646</v>
      </c>
      <c r="O153" s="1525" t="s">
        <v>2614</v>
      </c>
      <c r="P153" s="1525"/>
      <c r="Q153" s="1525"/>
      <c r="R153" s="1525"/>
      <c r="S153" s="1525"/>
      <c r="T153" s="1525"/>
      <c r="U153" s="1525"/>
      <c r="V153" s="1525"/>
      <c r="W153" s="1525"/>
      <c r="X153" s="1525"/>
      <c r="Y153" s="1525"/>
      <c r="Z153" s="1525"/>
      <c r="AA153" s="1525"/>
      <c r="AB153" s="1525"/>
      <c r="AC153" s="1525"/>
      <c r="AD153" s="1525"/>
      <c r="AE153" s="1525"/>
      <c r="AF153" s="1525"/>
      <c r="AG153" s="1525"/>
      <c r="AH153" s="1525"/>
      <c r="BM153">
        <v>5</v>
      </c>
      <c r="BN153" s="3" t="s">
        <v>2466</v>
      </c>
      <c r="CR153" s="31" t="s">
        <v>2599</v>
      </c>
      <c r="CS153" s="32"/>
      <c r="CT153" s="32"/>
      <c r="CU153" s="32"/>
      <c r="CV153" s="32"/>
      <c r="CW153" s="32"/>
      <c r="CX153" s="14"/>
      <c r="CY153" s="31" t="s">
        <v>2600</v>
      </c>
      <c r="CZ153" s="14"/>
      <c r="DA153" s="14"/>
      <c r="DB153" s="14"/>
      <c r="DC153" s="14"/>
      <c r="DD153" s="14"/>
    </row>
    <row r="154" spans="1:108" ht="12.95" customHeight="1">
      <c r="D154" s="303" t="s">
        <v>440</v>
      </c>
      <c r="O154" s="1464" t="s">
        <v>2615</v>
      </c>
      <c r="P154" s="1464"/>
      <c r="Q154" s="1464"/>
      <c r="R154" s="1464"/>
      <c r="S154" s="1464"/>
      <c r="T154" s="1464"/>
      <c r="U154" s="1464"/>
      <c r="V154" s="1464"/>
      <c r="W154" s="1464"/>
      <c r="X154" s="1464"/>
      <c r="Y154" s="1464"/>
      <c r="Z154" s="1464"/>
      <c r="AA154" s="1464"/>
      <c r="AB154" s="1464"/>
      <c r="AC154" s="1464"/>
      <c r="AD154" s="1464"/>
      <c r="AE154" s="1464"/>
      <c r="AF154" s="1464"/>
      <c r="AG154" s="1464"/>
      <c r="AH154" s="1464"/>
      <c r="BM154">
        <v>6</v>
      </c>
      <c r="BN154" s="3" t="s">
        <v>2467</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4" t="s">
        <v>441</v>
      </c>
      <c r="P155" s="1534"/>
      <c r="Q155" s="1534"/>
      <c r="R155" s="1534"/>
      <c r="S155" s="1534"/>
      <c r="T155" s="1534"/>
      <c r="U155" s="1534"/>
      <c r="V155" s="1534"/>
      <c r="W155" s="1534"/>
      <c r="X155" s="1534"/>
      <c r="Y155" s="1534"/>
      <c r="Z155" s="1534"/>
      <c r="AA155" s="1534"/>
      <c r="AB155" s="1534"/>
      <c r="AC155" s="1534"/>
      <c r="AD155" s="1534"/>
      <c r="AE155" s="1534"/>
      <c r="AF155" s="1534"/>
      <c r="AG155" s="1534"/>
      <c r="AH155" s="1534"/>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33" t="s">
        <v>2616</v>
      </c>
      <c r="P156" s="1333"/>
      <c r="Q156" s="1333"/>
      <c r="R156" s="1333"/>
      <c r="S156" s="1333"/>
      <c r="T156" s="1333"/>
      <c r="U156" s="1333"/>
      <c r="V156" s="1333"/>
      <c r="W156" s="1333"/>
      <c r="X156" s="1333"/>
      <c r="Y156" s="1333"/>
      <c r="Z156" s="1333"/>
      <c r="AA156" s="1333"/>
      <c r="AB156" s="1333"/>
      <c r="AC156" s="1333"/>
      <c r="AD156" s="1333"/>
      <c r="AE156" s="1333"/>
      <c r="AF156" s="1333"/>
      <c r="AG156" s="1333"/>
      <c r="AH156" s="1333"/>
      <c r="BT156" t="s">
        <v>307</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5" t="s">
        <v>2617</v>
      </c>
      <c r="P157" s="1525"/>
      <c r="Q157" s="1525"/>
      <c r="R157" s="1525"/>
      <c r="S157" s="1525"/>
      <c r="T157" s="1525"/>
      <c r="U157" s="1525"/>
      <c r="V157" s="1525"/>
      <c r="W157" s="1525"/>
      <c r="X157" s="1525"/>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9">
        <v>95501</v>
      </c>
      <c r="P158" s="1559"/>
      <c r="Q158" s="1559"/>
      <c r="R158" s="1559"/>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4" t="s">
        <v>2618</v>
      </c>
      <c r="P159" s="1554"/>
      <c r="Q159" s="1554"/>
      <c r="R159" s="1554"/>
      <c r="S159" s="1554"/>
      <c r="T159" s="1554"/>
      <c r="V159" s="97" t="s">
        <v>271</v>
      </c>
      <c r="W159" s="1560"/>
      <c r="X159" s="1560"/>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4" t="s">
        <v>2618</v>
      </c>
      <c r="P160" s="1554"/>
      <c r="Q160" s="1554"/>
      <c r="R160" s="1554"/>
      <c r="S160" s="1554"/>
      <c r="T160" s="1554"/>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542" t="s">
        <v>2619</v>
      </c>
      <c r="P161" s="1542"/>
      <c r="Q161" s="1542"/>
      <c r="R161" s="1542"/>
      <c r="S161" s="1542"/>
      <c r="T161" s="1542"/>
      <c r="U161" s="1542"/>
      <c r="V161" s="1542"/>
      <c r="W161" s="1542"/>
      <c r="X161" s="1542"/>
      <c r="Y161" s="1542"/>
      <c r="Z161" s="1542"/>
      <c r="AA161" s="1542"/>
      <c r="AB161" s="1542"/>
      <c r="AC161" s="1542"/>
      <c r="AD161" s="1542"/>
      <c r="AE161" s="1542"/>
      <c r="AF161" s="1542"/>
      <c r="AG161" s="1542"/>
      <c r="AH161" s="1542"/>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551" t="s">
        <v>2217</v>
      </c>
      <c r="E164" s="1551"/>
      <c r="F164" s="1551"/>
      <c r="G164" s="1551"/>
      <c r="H164" s="1551"/>
      <c r="I164" s="1551"/>
      <c r="J164" s="1551"/>
      <c r="K164" s="1551"/>
      <c r="L164" s="1551"/>
      <c r="M164" s="1551"/>
      <c r="N164" s="1551"/>
      <c r="O164" s="1551"/>
      <c r="P164" s="1551"/>
      <c r="Q164" s="1551"/>
      <c r="R164" s="1551"/>
      <c r="S164" s="1551"/>
      <c r="T164" s="1551"/>
      <c r="U164" s="1551"/>
      <c r="V164" s="1551"/>
      <c r="W164" s="1551"/>
      <c r="X164" s="1551"/>
      <c r="Y164" s="1551"/>
      <c r="Z164" s="1551"/>
      <c r="AA164" s="1551"/>
      <c r="AB164" s="1551"/>
      <c r="AC164" s="1551"/>
      <c r="AD164" s="1551"/>
      <c r="AE164" s="1551"/>
      <c r="AF164" s="1551"/>
      <c r="AG164" s="1551"/>
      <c r="AH164" s="1551"/>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536" t="s">
        <v>540</v>
      </c>
      <c r="B169" s="1536"/>
      <c r="C169" s="1536"/>
      <c r="D169" s="1536"/>
      <c r="E169" s="1536"/>
      <c r="F169" s="1536"/>
      <c r="G169" s="1536"/>
      <c r="H169" s="1536"/>
      <c r="I169" s="1536"/>
      <c r="J169" s="1536"/>
      <c r="K169" s="1536"/>
      <c r="L169" s="1536"/>
      <c r="M169" s="1536"/>
      <c r="N169" s="1536"/>
      <c r="O169" s="1536"/>
      <c r="P169" s="1536"/>
      <c r="Q169" s="1536"/>
      <c r="R169" s="1536"/>
      <c r="S169" s="1536"/>
      <c r="T169" s="1536"/>
      <c r="U169" s="1536"/>
      <c r="V169" s="1536"/>
      <c r="W169" s="1536"/>
      <c r="X169" s="1536"/>
      <c r="Y169" s="1536"/>
      <c r="Z169" s="1536"/>
      <c r="AA169" s="1536"/>
      <c r="AB169" s="1536"/>
      <c r="AC169" s="1536"/>
      <c r="AD169" s="1536"/>
      <c r="AE169" s="1536"/>
      <c r="AF169" s="1536"/>
      <c r="AG169" s="1536"/>
      <c r="AH169" s="1536"/>
      <c r="AI169" s="1536"/>
      <c r="AJ169" s="1536"/>
      <c r="AK169" s="1536"/>
      <c r="AL169" s="1536"/>
      <c r="AM169" s="1536"/>
      <c r="AN169" s="1536"/>
      <c r="AO169" s="1536"/>
      <c r="AP169" s="1536"/>
      <c r="AQ169" s="1536"/>
      <c r="AR169" s="1536"/>
      <c r="AS169" s="1536"/>
      <c r="AT169" s="1536"/>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536"/>
      <c r="B170" s="1536"/>
      <c r="C170" s="1536"/>
      <c r="D170" s="1536"/>
      <c r="E170" s="1536"/>
      <c r="F170" s="1536"/>
      <c r="G170" s="1536"/>
      <c r="H170" s="1536"/>
      <c r="I170" s="1536"/>
      <c r="J170" s="1536"/>
      <c r="K170" s="1536"/>
      <c r="L170" s="1536"/>
      <c r="M170" s="1536"/>
      <c r="N170" s="1536"/>
      <c r="O170" s="1536"/>
      <c r="P170" s="1536"/>
      <c r="Q170" s="1536"/>
      <c r="R170" s="1536"/>
      <c r="S170" s="1536"/>
      <c r="T170" s="1536"/>
      <c r="U170" s="1536"/>
      <c r="V170" s="1536"/>
      <c r="W170" s="1536"/>
      <c r="X170" s="1536"/>
      <c r="Y170" s="1536"/>
      <c r="Z170" s="1536"/>
      <c r="AA170" s="1536"/>
      <c r="AB170" s="1536"/>
      <c r="AC170" s="1536"/>
      <c r="AD170" s="1536"/>
      <c r="AE170" s="1536"/>
      <c r="AF170" s="1536"/>
      <c r="AG170" s="1536"/>
      <c r="AH170" s="1536"/>
      <c r="AI170" s="1536"/>
      <c r="AJ170" s="1536"/>
      <c r="AK170" s="1536"/>
      <c r="AL170" s="1536"/>
      <c r="AM170" s="1536"/>
      <c r="AN170" s="1536"/>
      <c r="AO170" s="1536"/>
      <c r="AP170" s="1536"/>
      <c r="AQ170" s="1536"/>
      <c r="AR170" s="1536"/>
      <c r="AS170" s="1536"/>
      <c r="AT170" s="1536"/>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533" t="s">
        <v>371</v>
      </c>
      <c r="K173" s="1533"/>
      <c r="L173" s="1533"/>
      <c r="M173" s="1533"/>
      <c r="N173" s="1533"/>
      <c r="O173" s="1533"/>
      <c r="P173" s="1533"/>
      <c r="Q173" s="1533"/>
      <c r="R173" s="1533"/>
      <c r="S173" s="1533"/>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33" t="s">
        <v>2102</v>
      </c>
      <c r="K174" s="1333"/>
      <c r="L174" s="1333"/>
      <c r="M174" s="1333"/>
      <c r="N174" s="1333"/>
      <c r="O174" s="1333"/>
      <c r="P174" s="1333"/>
      <c r="Q174" s="1333"/>
      <c r="R174" s="1333"/>
      <c r="S174" s="1333"/>
      <c r="T174" s="1333"/>
      <c r="U174" s="1333"/>
      <c r="V174" s="1333"/>
      <c r="W174" s="1333"/>
      <c r="X174" s="1333"/>
      <c r="Y174" s="1333"/>
      <c r="Z174" s="1333"/>
      <c r="AA174" s="1333"/>
      <c r="AB174" s="1333"/>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33" t="s">
        <v>546</v>
      </c>
      <c r="V175" s="1433"/>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484">
        <v>24</v>
      </c>
      <c r="V176" s="1484"/>
      <c r="W176" s="1" t="s">
        <v>306</v>
      </c>
      <c r="X176" s="1567">
        <v>97</v>
      </c>
      <c r="Y176" s="1567"/>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33" t="s">
        <v>670</v>
      </c>
      <c r="S177" s="1433"/>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2080</v>
      </c>
      <c r="AE178" s="27" t="s">
        <v>305</v>
      </c>
      <c r="AF178" s="1566"/>
      <c r="AG178" s="1566"/>
      <c r="AH178" s="1" t="s">
        <v>306</v>
      </c>
      <c r="AI178" s="1437" t="s">
        <v>592</v>
      </c>
      <c r="AJ178" s="1437"/>
      <c r="AK178" s="1437"/>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433" t="s">
        <v>670</v>
      </c>
      <c r="Y180" s="1433"/>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82" t="str">
        <f>H18</f>
        <v>Green Phase</v>
      </c>
      <c r="J184" s="1482"/>
      <c r="K184" s="1482"/>
      <c r="L184" s="1482"/>
      <c r="M184" s="1482"/>
      <c r="N184" s="1482"/>
      <c r="O184" s="1482"/>
      <c r="P184" s="1482"/>
      <c r="Q184" s="1482"/>
      <c r="R184" s="1482"/>
      <c r="S184" s="1482"/>
      <c r="T184" s="1482"/>
      <c r="U184" s="1482"/>
      <c r="V184" s="1482"/>
      <c r="W184" s="1482"/>
      <c r="X184" s="1482"/>
      <c r="Y184" s="1482"/>
      <c r="Z184" s="1482"/>
      <c r="AA184" s="1482"/>
      <c r="AB184" s="1482"/>
      <c r="AC184" s="1482"/>
      <c r="AD184" s="1482"/>
      <c r="AE184" s="1482"/>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32" t="s">
        <v>2620</v>
      </c>
      <c r="J185" s="1332"/>
      <c r="K185" s="1332"/>
      <c r="L185" s="1332"/>
      <c r="M185" s="1332"/>
      <c r="N185" s="1332"/>
      <c r="O185" s="1332"/>
      <c r="P185" s="1332"/>
      <c r="Q185" s="1332"/>
      <c r="R185" s="1332"/>
      <c r="S185" s="1332"/>
      <c r="T185" s="1332"/>
      <c r="U185" s="1332"/>
      <c r="V185" s="1332"/>
      <c r="W185" s="1332"/>
      <c r="X185" s="1332"/>
      <c r="Y185" s="1332"/>
      <c r="Z185" s="1332"/>
      <c r="AA185" s="1332"/>
      <c r="AB185" s="1332"/>
      <c r="AC185" s="1332"/>
      <c r="AD185" s="1332"/>
      <c r="AE185" s="1332"/>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29"/>
      <c r="F187" s="1529"/>
      <c r="G187" s="1529"/>
      <c r="H187" s="1529"/>
      <c r="I187" s="1529"/>
      <c r="J187" s="1529"/>
      <c r="K187" s="1529"/>
      <c r="L187" s="1529"/>
      <c r="M187" s="1529"/>
      <c r="N187" s="1529"/>
      <c r="O187" s="1529"/>
      <c r="P187" s="1529"/>
      <c r="Q187" s="1529"/>
      <c r="R187" s="1529"/>
      <c r="S187" s="1529"/>
      <c r="T187" s="1529"/>
      <c r="U187" s="1529"/>
      <c r="V187" s="1529"/>
      <c r="W187" s="1529"/>
      <c r="X187" s="1529"/>
      <c r="Y187" s="1529"/>
      <c r="Z187" s="1529"/>
      <c r="AA187" s="1529"/>
      <c r="AB187" s="1529"/>
      <c r="AC187" s="1529"/>
      <c r="AD187" s="1529"/>
      <c r="AE187" s="1529"/>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30"/>
      <c r="F188" s="1530"/>
      <c r="G188" s="1530"/>
      <c r="H188" s="1530"/>
      <c r="I188" s="1530"/>
      <c r="J188" s="1530"/>
      <c r="K188" s="1530"/>
      <c r="L188" s="1530"/>
      <c r="M188" s="1530"/>
      <c r="N188" s="1530"/>
      <c r="O188" s="1530"/>
      <c r="P188" s="1530"/>
      <c r="Q188" s="1530"/>
      <c r="R188" s="1530"/>
      <c r="S188" s="1530"/>
      <c r="T188" s="1530"/>
      <c r="U188" s="1530"/>
      <c r="V188" s="1530"/>
      <c r="W188" s="1530"/>
      <c r="X188" s="1530"/>
      <c r="Y188" s="1530"/>
      <c r="Z188" s="1530"/>
      <c r="AA188" s="1530"/>
      <c r="AB188" s="1530"/>
      <c r="AC188" s="1530"/>
      <c r="AD188" s="1530"/>
      <c r="AE188" s="1530"/>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521" t="s">
        <v>2617</v>
      </c>
      <c r="J189" s="1333"/>
      <c r="K189" s="1333"/>
      <c r="L189" s="1333"/>
      <c r="M189" s="1333"/>
      <c r="N189" s="1333"/>
      <c r="O189" s="1333"/>
      <c r="P189" s="1333"/>
      <c r="Q189" t="s">
        <v>583</v>
      </c>
      <c r="T189" s="1333" t="s">
        <v>488</v>
      </c>
      <c r="U189" s="1333"/>
      <c r="V189" s="1333"/>
      <c r="W189" s="1333"/>
      <c r="X189" s="1333"/>
      <c r="Y189" s="1333"/>
      <c r="Z189" s="1333"/>
      <c r="AA189" s="1333"/>
      <c r="AB189" s="1333"/>
      <c r="AC189" s="1333"/>
      <c r="AD189" s="1333"/>
      <c r="AE189" s="1333"/>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32">
        <v>95503</v>
      </c>
      <c r="J190" s="1332"/>
      <c r="K190" s="1332"/>
      <c r="L190" s="1332"/>
      <c r="M190" s="1332"/>
      <c r="N190" s="1332"/>
      <c r="O190" t="s">
        <v>586</v>
      </c>
      <c r="T190" s="1557" t="s">
        <v>2749</v>
      </c>
      <c r="U190" s="1557"/>
      <c r="V190" s="1557"/>
      <c r="W190" s="1557"/>
      <c r="X190" s="1557"/>
      <c r="Y190" s="1557"/>
      <c r="Z190" s="1557"/>
      <c r="AA190" s="1557"/>
      <c r="AB190" s="1557"/>
      <c r="AC190" s="1557"/>
      <c r="AD190" s="1557"/>
      <c r="AE190" s="1557"/>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29" t="s">
        <v>2765</v>
      </c>
      <c r="O191" s="1529"/>
      <c r="P191" s="1529"/>
      <c r="Q191" s="1529"/>
      <c r="R191" s="1529"/>
      <c r="S191" s="1529"/>
      <c r="T191" s="1529"/>
      <c r="U191" s="1529"/>
      <c r="V191" s="1529"/>
      <c r="W191" s="1529"/>
      <c r="X191" s="1529"/>
      <c r="Y191" s="1529"/>
      <c r="Z191" s="1529"/>
      <c r="AA191" s="1529"/>
      <c r="AB191" s="1529"/>
      <c r="AC191" s="1529"/>
      <c r="AD191" s="1529"/>
      <c r="AE191" s="1529"/>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30"/>
      <c r="O192" s="1530"/>
      <c r="P192" s="1530"/>
      <c r="Q192" s="1530"/>
      <c r="R192" s="1530"/>
      <c r="S192" s="1530"/>
      <c r="T192" s="1530"/>
      <c r="U192" s="1530"/>
      <c r="V192" s="1530"/>
      <c r="W192" s="1530"/>
      <c r="X192" s="1530"/>
      <c r="Y192" s="1530"/>
      <c r="Z192" s="1530"/>
      <c r="AA192" s="1530"/>
      <c r="AB192" s="1530"/>
      <c r="AC192" s="1530"/>
      <c r="AD192" s="1530"/>
      <c r="AE192" s="1530"/>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561" t="s">
        <v>2214</v>
      </c>
      <c r="U193" s="1561"/>
      <c r="V193" s="1561"/>
      <c r="W193" s="1561"/>
      <c r="X193" s="1561"/>
      <c r="Y193" s="1561"/>
      <c r="Z193" s="1561"/>
      <c r="AA193" s="1561"/>
      <c r="AB193" s="1561"/>
      <c r="AC193" s="1561"/>
      <c r="AD193" s="1561"/>
      <c r="AE193" s="1561"/>
      <c r="AF193" s="1561"/>
      <c r="AG193" s="1561"/>
      <c r="AH193" s="1561"/>
      <c r="AI193" s="1561"/>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433" t="s">
        <v>670</v>
      </c>
      <c r="AI194" s="1433"/>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433" t="s">
        <v>546</v>
      </c>
      <c r="U195" s="1433"/>
      <c r="W195" t="s">
        <v>685</v>
      </c>
      <c r="AH195" s="1433">
        <v>2</v>
      </c>
      <c r="AI195" s="1433"/>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13" t="s">
        <v>670</v>
      </c>
      <c r="U196" s="1413"/>
      <c r="W196" t="s">
        <v>686</v>
      </c>
      <c r="AH196" s="1433">
        <v>2</v>
      </c>
      <c r="AI196" s="1433"/>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13" t="s">
        <v>670</v>
      </c>
      <c r="U197" s="1413"/>
      <c r="W197" t="s">
        <v>687</v>
      </c>
      <c r="AH197" s="1433">
        <v>2</v>
      </c>
      <c r="AI197" s="1433"/>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13" t="s">
        <v>592</v>
      </c>
      <c r="U198" s="1413"/>
      <c r="V198"/>
      <c r="X198" s="1537" t="s">
        <v>2513</v>
      </c>
      <c r="Y198" s="1537"/>
      <c r="Z198" s="1537"/>
      <c r="AA198" s="1537"/>
      <c r="AB198" s="1537"/>
      <c r="AC198" s="1537"/>
      <c r="AD198" s="1537"/>
      <c r="AE198" s="1537"/>
      <c r="AF198" s="1537"/>
      <c r="AG198" s="1537"/>
      <c r="AH198" s="1537"/>
      <c r="AI198" s="1537"/>
      <c r="AJ198" s="1537"/>
      <c r="AK198" s="1537"/>
      <c r="AL198" s="1537"/>
      <c r="AM198" s="1537"/>
      <c r="AN198" s="1537"/>
      <c r="AO198" s="1537"/>
      <c r="AP198" s="1537"/>
      <c r="AQ198" s="1537"/>
      <c r="AR198" s="1537"/>
      <c r="AS198" s="1537"/>
      <c r="AT198" s="1537"/>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2516</v>
      </c>
      <c r="E199"/>
      <c r="F199"/>
      <c r="G199"/>
      <c r="H199"/>
      <c r="I199"/>
      <c r="J199"/>
      <c r="K199"/>
      <c r="L199"/>
      <c r="M199"/>
      <c r="N199"/>
      <c r="O199"/>
      <c r="P199"/>
      <c r="Q199"/>
      <c r="R199"/>
      <c r="S199"/>
      <c r="T199" s="1433" t="s">
        <v>546</v>
      </c>
      <c r="U199" s="1433"/>
      <c r="V199"/>
      <c r="W199"/>
      <c r="X199" s="1537"/>
      <c r="Y199" s="1537"/>
      <c r="Z199" s="1537"/>
      <c r="AA199" s="1537"/>
      <c r="AB199" s="1537"/>
      <c r="AC199" s="1537"/>
      <c r="AD199" s="1537"/>
      <c r="AE199" s="1537"/>
      <c r="AF199" s="1537"/>
      <c r="AG199" s="1537"/>
      <c r="AH199" s="1537"/>
      <c r="AI199" s="1537"/>
      <c r="AJ199" s="1537"/>
      <c r="AK199" s="1537"/>
      <c r="AL199" s="1537"/>
      <c r="AM199" s="1537"/>
      <c r="AN199" s="1537"/>
      <c r="AO199" s="1537"/>
      <c r="AP199" s="1537"/>
      <c r="AQ199" s="1537"/>
      <c r="AR199" s="1537"/>
      <c r="AS199" s="1537"/>
      <c r="AT199" s="1537"/>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2514</v>
      </c>
      <c r="T200" s="1433" t="s">
        <v>546</v>
      </c>
      <c r="U200" s="1433"/>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2515</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82" t="s">
        <v>385</v>
      </c>
      <c r="E204" s="1482"/>
      <c r="F204" s="1482"/>
      <c r="G204" s="1482"/>
      <c r="H204" s="1482"/>
      <c r="I204" s="1482"/>
      <c r="J204" s="1482"/>
      <c r="K204" s="1482"/>
      <c r="L204" s="1482"/>
      <c r="M204" s="1482"/>
      <c r="P204" s="1552">
        <f>M26</f>
        <v>3310890</v>
      </c>
      <c r="Q204" s="1553"/>
      <c r="R204" s="1553"/>
      <c r="S204" s="1553"/>
      <c r="T204" s="1553"/>
      <c r="U204" s="1553"/>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539" t="s">
        <v>1248</v>
      </c>
      <c r="E205" s="1482"/>
      <c r="F205" s="1482"/>
      <c r="G205" s="1482"/>
      <c r="H205" s="1482"/>
      <c r="I205" s="1482"/>
      <c r="J205" s="1482"/>
      <c r="K205" s="1482"/>
      <c r="L205" s="1482"/>
      <c r="M205" s="1482"/>
      <c r="P205" s="1553">
        <f>M27</f>
        <v>0</v>
      </c>
      <c r="Q205" s="1553"/>
      <c r="R205" s="1553"/>
      <c r="S205" s="1553"/>
      <c r="T205" s="1553"/>
      <c r="U205" s="1553"/>
      <c r="V205" s="28"/>
      <c r="W205" s="3" t="s">
        <v>1721</v>
      </c>
      <c r="Z205" s="1535" t="s">
        <v>1185</v>
      </c>
      <c r="AA205" s="1535"/>
      <c r="AB205" s="1535"/>
      <c r="AC205" s="1535"/>
      <c r="AD205" s="1535"/>
      <c r="AE205" s="1535"/>
      <c r="AF205" s="1535"/>
      <c r="AG205" s="1535"/>
      <c r="AH205" s="1535"/>
      <c r="AI205" s="1535"/>
      <c r="AJ205" s="1535"/>
      <c r="AK205" s="1535"/>
      <c r="AL205" s="1535"/>
      <c r="AM205" s="1535"/>
      <c r="AN205" s="1535"/>
      <c r="AP205" s="1377"/>
      <c r="AQ205" s="1377"/>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525" t="s">
        <v>2621</v>
      </c>
      <c r="E208" s="1525"/>
      <c r="F208" s="1525"/>
      <c r="G208" s="1525"/>
      <c r="H208" s="1525"/>
      <c r="I208" s="1525"/>
      <c r="J208" s="1525"/>
      <c r="K208" s="1525"/>
      <c r="L208" s="1525"/>
      <c r="M208" s="1525"/>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5" t="s">
        <v>1043</v>
      </c>
      <c r="E211" s="1525"/>
      <c r="F211" s="1525"/>
      <c r="G211" s="1525"/>
      <c r="H211" s="1525"/>
      <c r="I211" s="1525"/>
      <c r="J211" s="1525"/>
      <c r="K211" s="1525"/>
      <c r="L211" s="1525"/>
      <c r="M211" s="1525"/>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2230</v>
      </c>
      <c r="Q212" s="1433">
        <v>0</v>
      </c>
      <c r="R212" s="1433"/>
      <c r="T212" s="1564">
        <f>IFERROR(Q212/AG440,0)</f>
        <v>0</v>
      </c>
      <c r="U212" s="1565"/>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2473</v>
      </c>
      <c r="BC213" t="s">
        <v>527</v>
      </c>
      <c r="BI213" s="3" t="s">
        <v>2227</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7" t="s">
        <v>592</v>
      </c>
      <c r="E214" s="1547"/>
      <c r="F214" s="1547"/>
      <c r="G214" s="1547"/>
      <c r="H214" s="1547"/>
      <c r="I214" s="1547"/>
      <c r="J214" s="1547"/>
      <c r="K214" s="1547"/>
      <c r="L214" s="1547"/>
      <c r="M214" s="1547"/>
      <c r="N214" s="1547"/>
      <c r="O214" s="1547"/>
      <c r="P214" s="1547"/>
      <c r="Q214" s="1547"/>
      <c r="R214" s="1547"/>
      <c r="S214" s="1547"/>
      <c r="T214" s="1547"/>
      <c r="U214" s="1547"/>
      <c r="V214" s="1547"/>
      <c r="W214" s="1547"/>
      <c r="X214" s="1547"/>
      <c r="Y214" s="1547"/>
      <c r="Z214" s="1547"/>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517"/>
      <c r="AC215" s="1517"/>
      <c r="AD215" s="1517"/>
      <c r="AE215" s="1517"/>
      <c r="AF215" s="1517"/>
      <c r="AG215" s="1517"/>
      <c r="AH215" s="1517"/>
      <c r="AI215" s="1517"/>
      <c r="AJ215" s="1517"/>
      <c r="AK215" s="1517"/>
      <c r="AL215" s="1517"/>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548">
        <v>47294</v>
      </c>
      <c r="AC216" s="1517"/>
      <c r="AD216" s="1517"/>
      <c r="AE216" s="1517"/>
      <c r="AF216" s="1517"/>
      <c r="AG216" s="1517"/>
      <c r="AH216" s="1517"/>
      <c r="AI216" s="1517"/>
      <c r="AJ216" s="1517"/>
      <c r="AK216" s="1517"/>
      <c r="AL216" s="1517"/>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2223</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2233</v>
      </c>
      <c r="D218" s="28"/>
      <c r="AC218" s="2" t="s">
        <v>2462</v>
      </c>
      <c r="BC218" t="s">
        <v>530</v>
      </c>
    </row>
    <row r="219" spans="1:108" ht="12.95" customHeight="1">
      <c r="A219" s="2"/>
      <c r="C219" s="2"/>
      <c r="D219" s="3" t="s">
        <v>2463</v>
      </c>
      <c r="AZ219" s="3"/>
      <c r="BA219" s="3"/>
      <c r="BC219" t="s">
        <v>377</v>
      </c>
    </row>
    <row r="220" spans="1:108" ht="12.95" customHeight="1">
      <c r="A220" s="2"/>
      <c r="C220" s="2"/>
      <c r="D220" s="1525" t="s">
        <v>592</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C220" s="1538" t="s">
        <v>592</v>
      </c>
      <c r="AD220" s="1538"/>
      <c r="AE220" s="1538"/>
      <c r="AF220" s="1538"/>
      <c r="AG220" s="1538"/>
      <c r="AH220" s="1538"/>
      <c r="AI220" s="1538"/>
      <c r="AJ220" s="1538"/>
      <c r="AK220" s="1538"/>
      <c r="AL220" s="1538"/>
      <c r="AM220" s="1538"/>
      <c r="AN220" s="1538"/>
      <c r="AO220" s="1538"/>
      <c r="AP220" s="1538"/>
      <c r="AQ220" s="1538"/>
      <c r="BA220" s="3"/>
      <c r="BC220" t="s">
        <v>300</v>
      </c>
    </row>
    <row r="221" spans="1:108" ht="12.95" customHeight="1">
      <c r="A221" s="2"/>
      <c r="B221" s="14"/>
      <c r="C221" s="2"/>
      <c r="BA221" s="3"/>
    </row>
    <row r="222" spans="1:108" ht="12.95" customHeight="1">
      <c r="A222" s="1536" t="s">
        <v>541</v>
      </c>
      <c r="B222" s="1536"/>
      <c r="C222" s="1536"/>
      <c r="D222" s="1536"/>
      <c r="E222" s="1536"/>
      <c r="F222" s="1536"/>
      <c r="G222" s="1536"/>
      <c r="H222" s="1536"/>
      <c r="I222" s="1536"/>
      <c r="J222" s="1536"/>
      <c r="K222" s="1536"/>
      <c r="L222" s="1536"/>
      <c r="M222" s="1536"/>
      <c r="N222" s="1536"/>
      <c r="O222" s="1536"/>
      <c r="P222" s="1536"/>
      <c r="Q222" s="1536"/>
      <c r="R222" s="1536"/>
      <c r="S222" s="1536"/>
      <c r="T222" s="1536"/>
      <c r="U222" s="1536"/>
      <c r="V222" s="1536"/>
      <c r="W222" s="1536"/>
      <c r="X222" s="1536"/>
      <c r="Y222" s="1536"/>
      <c r="Z222" s="1536"/>
      <c r="AA222" s="1536"/>
      <c r="AB222" s="1536"/>
      <c r="AC222" s="1536"/>
      <c r="AD222" s="1536"/>
      <c r="AE222" s="1536"/>
      <c r="AF222" s="1536"/>
      <c r="AG222" s="1536"/>
      <c r="AH222" s="1536"/>
      <c r="AI222" s="1536"/>
      <c r="AJ222" s="1536"/>
      <c r="AK222" s="1536"/>
      <c r="AL222" s="1536"/>
      <c r="AM222" s="1536"/>
      <c r="AN222" s="1536"/>
      <c r="AO222" s="1536"/>
      <c r="AP222" s="1536"/>
      <c r="AQ222" s="1536"/>
      <c r="AR222" s="1536"/>
      <c r="AS222" s="1536"/>
      <c r="AT222" s="1536"/>
      <c r="AU222" s="95"/>
      <c r="AV222" s="95"/>
      <c r="AW222" s="95"/>
      <c r="AX222" s="95"/>
      <c r="AY222" s="95"/>
      <c r="AZ222" s="3"/>
      <c r="BA222" s="3"/>
      <c r="BP222" s="34"/>
    </row>
    <row r="223" spans="1:108" ht="12.95" customHeight="1">
      <c r="A223" s="1536"/>
      <c r="B223" s="1536"/>
      <c r="C223" s="1536"/>
      <c r="D223" s="1536"/>
      <c r="E223" s="1536"/>
      <c r="F223" s="1536"/>
      <c r="G223" s="1536"/>
      <c r="H223" s="1536"/>
      <c r="I223" s="1536"/>
      <c r="J223" s="1536"/>
      <c r="K223" s="1536"/>
      <c r="L223" s="1536"/>
      <c r="M223" s="1536"/>
      <c r="N223" s="1536"/>
      <c r="O223" s="1536"/>
      <c r="P223" s="1536"/>
      <c r="Q223" s="1536"/>
      <c r="R223" s="1536"/>
      <c r="S223" s="1536"/>
      <c r="T223" s="1536"/>
      <c r="U223" s="1536"/>
      <c r="V223" s="1536"/>
      <c r="W223" s="1536"/>
      <c r="X223" s="1536"/>
      <c r="Y223" s="1536"/>
      <c r="Z223" s="1536"/>
      <c r="AA223" s="1536"/>
      <c r="AB223" s="1536"/>
      <c r="AC223" s="1536"/>
      <c r="AD223" s="1536"/>
      <c r="AE223" s="1536"/>
      <c r="AF223" s="1536"/>
      <c r="AG223" s="1536"/>
      <c r="AH223" s="1536"/>
      <c r="AI223" s="1536"/>
      <c r="AJ223" s="1536"/>
      <c r="AK223" s="1536"/>
      <c r="AL223" s="1536"/>
      <c r="AM223" s="1536"/>
      <c r="AN223" s="1536"/>
      <c r="AO223" s="1536"/>
      <c r="AP223" s="1536"/>
      <c r="AQ223" s="1536"/>
      <c r="AR223" s="1536"/>
      <c r="AS223" s="1536"/>
      <c r="AT223" s="1536"/>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33" t="s">
        <v>592</v>
      </c>
      <c r="AJ226" s="1433"/>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33" t="s">
        <v>592</v>
      </c>
      <c r="AJ227" s="1433"/>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33" t="s">
        <v>546</v>
      </c>
      <c r="AJ228" s="1433"/>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33" t="s">
        <v>592</v>
      </c>
      <c r="AJ229" s="1433"/>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2</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58" t="str">
        <f>H16</f>
        <v>Hiler I LP</v>
      </c>
      <c r="N232" s="1558"/>
      <c r="O232" s="1558"/>
      <c r="P232" s="1558"/>
      <c r="Q232" s="1558"/>
      <c r="R232" s="1558"/>
      <c r="S232" s="1558"/>
      <c r="T232" s="1558"/>
      <c r="U232" s="1558"/>
      <c r="V232" s="1558"/>
      <c r="W232" s="1558"/>
      <c r="X232" s="1558"/>
      <c r="Y232" s="1558"/>
      <c r="Z232" s="1558"/>
      <c r="AA232" s="1558"/>
      <c r="AB232" s="1558"/>
      <c r="AC232" s="1558"/>
      <c r="AD232" s="1558"/>
      <c r="AE232" s="1558"/>
      <c r="AF232" s="1558"/>
      <c r="AG232" s="1558"/>
      <c r="AH232" s="1558"/>
      <c r="AI232" s="1558"/>
      <c r="AJ232" s="1558"/>
      <c r="AK232" s="1558"/>
      <c r="AZ232" s="4"/>
      <c r="BA232" s="3"/>
      <c r="BB232" s="205" t="s">
        <v>539</v>
      </c>
      <c r="BG232" s="241">
        <f>IF(AND(AND($M$249="nonprofit",$M$257="nonprofit",$M$265="for profit")),2,0)</f>
        <v>0</v>
      </c>
    </row>
    <row r="233" spans="1:59" ht="12.95" customHeight="1">
      <c r="D233" s="4" t="s">
        <v>85</v>
      </c>
      <c r="E233" s="4"/>
      <c r="F233" s="4"/>
      <c r="G233" s="4"/>
      <c r="H233" s="4"/>
      <c r="I233" s="4"/>
      <c r="J233" s="4"/>
      <c r="K233" s="4"/>
      <c r="M233" s="1525" t="s">
        <v>2622</v>
      </c>
      <c r="N233" s="1525"/>
      <c r="O233" s="1525"/>
      <c r="P233" s="1525"/>
      <c r="Q233" s="1525"/>
      <c r="R233" s="1525"/>
      <c r="S233" s="1525"/>
      <c r="T233" s="1525"/>
      <c r="U233" s="1525"/>
      <c r="V233" s="1525"/>
      <c r="W233" s="1525"/>
      <c r="X233" s="1525"/>
      <c r="Y233" s="1525"/>
      <c r="Z233" s="1525"/>
      <c r="AA233" s="1525"/>
      <c r="AB233" s="1525"/>
      <c r="AC233" s="1525"/>
      <c r="AD233" s="1525"/>
      <c r="AE233" s="1525"/>
      <c r="BB233" s="205" t="s">
        <v>539</v>
      </c>
      <c r="BG233" s="241">
        <f>IF(AND(AND($M$249="nonprofit",$M$257="for profit",$M$265="nonprofit")),2,0)</f>
        <v>0</v>
      </c>
    </row>
    <row r="234" spans="1:59" ht="12.95" customHeight="1">
      <c r="D234" s="4" t="s">
        <v>581</v>
      </c>
      <c r="E234" s="4"/>
      <c r="M234" s="1525" t="s">
        <v>2617</v>
      </c>
      <c r="N234" s="1525"/>
      <c r="O234" s="1525"/>
      <c r="P234" s="1525"/>
      <c r="Q234" s="1525"/>
      <c r="R234" s="1525"/>
      <c r="S234" s="1525"/>
      <c r="T234" s="1525"/>
      <c r="V234" s="33" t="s">
        <v>86</v>
      </c>
      <c r="W234" s="1464" t="s">
        <v>2623</v>
      </c>
      <c r="X234" s="1464"/>
      <c r="Y234" s="4" t="s">
        <v>584</v>
      </c>
      <c r="AC234" s="1525">
        <v>95503</v>
      </c>
      <c r="AD234" s="1525"/>
      <c r="AE234" s="1525"/>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525" t="s">
        <v>2624</v>
      </c>
      <c r="N235" s="1525"/>
      <c r="O235" s="1525"/>
      <c r="P235" s="1525"/>
      <c r="Q235" s="1525"/>
      <c r="R235" s="1525"/>
      <c r="S235" s="1525"/>
      <c r="T235" s="1525"/>
      <c r="U235" s="1525"/>
      <c r="V235" s="1525"/>
      <c r="W235" s="1525"/>
      <c r="X235" s="1525"/>
      <c r="Y235" s="1525"/>
      <c r="Z235" s="1525"/>
      <c r="AA235" s="1525"/>
      <c r="AB235" s="1525"/>
      <c r="AC235" s="1525"/>
      <c r="AD235" s="1525"/>
      <c r="AE235" s="1525"/>
      <c r="AI235" s="4"/>
      <c r="AJ235" s="4"/>
      <c r="AK235" s="4"/>
      <c r="AL235" s="4"/>
      <c r="AM235" s="4"/>
      <c r="AN235" s="4"/>
      <c r="AO235" s="4"/>
      <c r="AP235" s="4"/>
      <c r="AQ235" s="4"/>
      <c r="AR235" s="4"/>
      <c r="AS235" s="4"/>
      <c r="AT235" s="4"/>
      <c r="BB235" s="205"/>
      <c r="BG235" s="204"/>
    </row>
    <row r="236" spans="1:59" ht="12.95" customHeight="1">
      <c r="D236" s="4" t="s">
        <v>88</v>
      </c>
      <c r="E236" s="4"/>
      <c r="F236" s="4"/>
      <c r="M236" s="1494" t="s">
        <v>2625</v>
      </c>
      <c r="N236" s="1494"/>
      <c r="O236" s="1494"/>
      <c r="P236" s="1494"/>
      <c r="Q236" s="1494"/>
      <c r="R236" s="1494"/>
      <c r="S236" s="4" t="s">
        <v>206</v>
      </c>
      <c r="T236" s="4"/>
      <c r="U236" s="1464"/>
      <c r="V236" s="1464"/>
      <c r="W236" s="1464"/>
      <c r="X236" s="4" t="s">
        <v>89</v>
      </c>
      <c r="Z236" s="1494"/>
      <c r="AA236" s="1494"/>
      <c r="AB236" s="1494"/>
      <c r="AC236" s="1494"/>
      <c r="AD236" s="1494"/>
      <c r="AE236" s="1494"/>
      <c r="AU236" s="4"/>
      <c r="AV236" s="4"/>
      <c r="AW236" s="4"/>
      <c r="AX236" s="4"/>
      <c r="AY236" s="4"/>
      <c r="AZ236" s="4"/>
      <c r="BB236" s="204" t="s">
        <v>538</v>
      </c>
      <c r="BG236" s="241">
        <f>IF(AND(AND($M$249="nonprofit",$M$257="nonprofit",$M$265="(select one)")),1,0)</f>
        <v>0</v>
      </c>
    </row>
    <row r="237" spans="1:59" ht="12.95" customHeight="1">
      <c r="D237" s="4" t="s">
        <v>90</v>
      </c>
      <c r="E237" s="4"/>
      <c r="F237" s="4"/>
      <c r="M237" s="1542" t="s">
        <v>2626</v>
      </c>
      <c r="N237" s="1542"/>
      <c r="O237" s="1542"/>
      <c r="P237" s="1542"/>
      <c r="Q237" s="1542"/>
      <c r="R237" s="1542"/>
      <c r="S237" s="1542"/>
      <c r="T237" s="1542"/>
      <c r="U237" s="1542"/>
      <c r="V237" s="1542"/>
      <c r="W237" s="1542"/>
      <c r="X237" s="1542"/>
      <c r="Y237" s="1542"/>
      <c r="Z237" s="1542"/>
      <c r="AA237" s="1542"/>
      <c r="AB237" s="1542"/>
      <c r="AC237" s="1542"/>
      <c r="AD237" s="1542"/>
      <c r="AE237" s="1542"/>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32" t="s">
        <v>529</v>
      </c>
      <c r="N238" s="1332"/>
      <c r="O238" s="1332"/>
      <c r="P238" s="1332"/>
      <c r="Q238" s="1332"/>
      <c r="R238" s="1332"/>
      <c r="S238" s="1332"/>
      <c r="T238" s="1332"/>
      <c r="U238" s="204" t="s">
        <v>907</v>
      </c>
      <c r="V238" s="204"/>
      <c r="W238" s="204"/>
      <c r="X238" s="204"/>
      <c r="Y238" s="204"/>
      <c r="Z238" s="204"/>
      <c r="AA238" s="1562" t="s">
        <v>2627</v>
      </c>
      <c r="AB238" s="1562"/>
      <c r="AC238" s="1562"/>
      <c r="AD238" s="1562"/>
      <c r="AE238" s="1562"/>
      <c r="AF238" s="1562"/>
      <c r="AG238" s="1562"/>
      <c r="AH238" s="1562"/>
      <c r="AI238" s="1562"/>
      <c r="AJ238" s="1562"/>
      <c r="AK238" s="1562"/>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33"/>
      <c r="N239" s="1333"/>
      <c r="O239" s="1333"/>
      <c r="P239" s="1333"/>
      <c r="Q239" s="1333"/>
      <c r="R239" s="1333"/>
      <c r="S239" s="1333"/>
      <c r="T239" s="1333"/>
      <c r="U239" s="1333"/>
      <c r="V239" s="1333"/>
      <c r="W239" s="1333"/>
      <c r="X239" s="1333"/>
      <c r="Y239" s="1333"/>
      <c r="Z239" s="1333"/>
      <c r="AA239" s="1333"/>
      <c r="AB239" s="1333"/>
      <c r="AC239" s="1333"/>
      <c r="AD239" s="1333"/>
      <c r="AE239" s="1333"/>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44" t="s">
        <v>2628</v>
      </c>
      <c r="N243" s="1544"/>
      <c r="O243" s="1544"/>
      <c r="P243" s="1544"/>
      <c r="Q243" s="1544"/>
      <c r="R243" s="1544"/>
      <c r="S243" s="1544"/>
      <c r="T243" s="1544"/>
      <c r="U243" s="1544"/>
      <c r="V243" s="1544"/>
      <c r="W243" s="1544"/>
      <c r="X243" s="1544"/>
      <c r="Y243" s="1544"/>
      <c r="Z243" s="1544"/>
      <c r="AA243" s="1544"/>
      <c r="AB243" s="1544"/>
      <c r="AC243" s="1544"/>
      <c r="AD243" s="1544"/>
      <c r="AE243" s="1544"/>
      <c r="AF243" s="1544" t="s">
        <v>2629</v>
      </c>
      <c r="AG243" s="1544"/>
      <c r="AH243" s="1544"/>
      <c r="AI243" s="1544"/>
      <c r="AJ243" s="1544"/>
      <c r="AK243" s="1544"/>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25" t="str">
        <f>M233</f>
        <v>735 W Everding Street</v>
      </c>
      <c r="N244" s="1525"/>
      <c r="O244" s="1525"/>
      <c r="P244" s="1525"/>
      <c r="Q244" s="1525"/>
      <c r="R244" s="1525"/>
      <c r="S244" s="1525"/>
      <c r="T244" s="1525"/>
      <c r="U244" s="1525"/>
      <c r="V244" s="1525"/>
      <c r="W244" s="1525"/>
      <c r="X244" s="1525"/>
      <c r="Y244" s="1525"/>
      <c r="Z244" s="1525"/>
      <c r="AA244" s="1525"/>
      <c r="AB244" s="1525"/>
      <c r="AC244" s="1525"/>
      <c r="AD244" s="1525"/>
      <c r="AE244" s="1525"/>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525" t="str">
        <f>M234</f>
        <v>Eureka</v>
      </c>
      <c r="N245" s="1525"/>
      <c r="O245" s="1525"/>
      <c r="P245" s="1525"/>
      <c r="Q245" s="1525"/>
      <c r="R245" s="1525"/>
      <c r="S245" s="1525"/>
      <c r="T245" s="1525"/>
      <c r="V245" s="33" t="s">
        <v>86</v>
      </c>
      <c r="W245" s="1464" t="str">
        <f>W234</f>
        <v>CA</v>
      </c>
      <c r="X245" s="1464"/>
      <c r="Y245" s="4" t="s">
        <v>584</v>
      </c>
      <c r="AC245" s="1525">
        <f>AC234</f>
        <v>95503</v>
      </c>
      <c r="AD245" s="1525"/>
      <c r="AE245" s="1525"/>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525" t="str">
        <f>M235</f>
        <v>Cheryl Churchill</v>
      </c>
      <c r="N246" s="1525"/>
      <c r="O246" s="1525"/>
      <c r="P246" s="1525"/>
      <c r="Q246" s="1525"/>
      <c r="R246" s="1525"/>
      <c r="S246" s="1525"/>
      <c r="T246" s="1525"/>
      <c r="U246" s="1525"/>
      <c r="V246" s="1525"/>
      <c r="W246" s="1525"/>
      <c r="X246" s="1525"/>
      <c r="Y246" s="1525"/>
      <c r="Z246" s="1525"/>
      <c r="AA246" s="1525"/>
      <c r="AB246" s="1525"/>
      <c r="AC246" s="1525"/>
      <c r="AD246" s="1525"/>
      <c r="AE246" s="1525"/>
      <c r="AH246" s="1540">
        <v>0.03</v>
      </c>
      <c r="AI246" s="1540"/>
      <c r="AJ246" s="1540"/>
      <c r="AK246" s="1540"/>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494" t="str">
        <f>M236</f>
        <v>707-443-4583</v>
      </c>
      <c r="N247" s="1494"/>
      <c r="O247" s="1494"/>
      <c r="P247" s="1494"/>
      <c r="Q247" s="1494"/>
      <c r="R247" s="1494"/>
      <c r="S247" s="4" t="s">
        <v>206</v>
      </c>
      <c r="T247" s="4"/>
      <c r="U247" s="1464"/>
      <c r="V247" s="1464"/>
      <c r="W247" s="1464"/>
      <c r="X247" s="4" t="s">
        <v>89</v>
      </c>
      <c r="Z247" s="1494"/>
      <c r="AA247" s="1494"/>
      <c r="AB247" s="1494"/>
      <c r="AC247" s="1494"/>
      <c r="AD247" s="1494"/>
      <c r="AE247" s="1494"/>
      <c r="AU247" s="4"/>
      <c r="AV247" s="4"/>
      <c r="AW247" s="4"/>
      <c r="AX247" s="4"/>
      <c r="AY247" s="4"/>
      <c r="BG247">
        <v>0</v>
      </c>
      <c r="BH247" s="3" t="str">
        <f>""</f>
        <v/>
      </c>
      <c r="BN247" s="34"/>
    </row>
    <row r="248" spans="1:67" ht="12.95" customHeight="1">
      <c r="A248" s="19"/>
      <c r="B248" s="4"/>
      <c r="C248" s="4"/>
      <c r="D248" s="4" t="s">
        <v>90</v>
      </c>
      <c r="E248" s="4"/>
      <c r="F248" s="4"/>
      <c r="M248" s="1542" t="str">
        <f>M237</f>
        <v>cherylc@eurekahumboldtha.org</v>
      </c>
      <c r="N248" s="1542"/>
      <c r="O248" s="1542"/>
      <c r="P248" s="1542"/>
      <c r="Q248" s="1542"/>
      <c r="R248" s="1542"/>
      <c r="S248" s="1542"/>
      <c r="T248" s="1542"/>
      <c r="U248" s="1542"/>
      <c r="V248" s="1542"/>
      <c r="W248" s="1542"/>
      <c r="X248" s="1542"/>
      <c r="Y248" s="1542"/>
      <c r="Z248" s="1542"/>
      <c r="AA248" s="1542"/>
      <c r="AB248" s="1542"/>
      <c r="AC248" s="1542"/>
      <c r="AD248" s="1542"/>
      <c r="AE248" s="1542"/>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32" t="s">
        <v>535</v>
      </c>
      <c r="N249" s="1332"/>
      <c r="O249" s="1332"/>
      <c r="P249" s="1332"/>
      <c r="Q249" s="1332"/>
      <c r="R249" s="1332"/>
      <c r="S249" s="1332"/>
      <c r="T249" s="1332"/>
      <c r="U249" s="204" t="s">
        <v>907</v>
      </c>
      <c r="V249" s="204"/>
      <c r="W249" s="204"/>
      <c r="X249" s="204"/>
      <c r="Y249" s="204"/>
      <c r="Z249" s="204"/>
      <c r="AA249" s="1562" t="str">
        <f>AA238</f>
        <v>Eureka Housing Development Corporation</v>
      </c>
      <c r="AB249" s="1562"/>
      <c r="AC249" s="1562"/>
      <c r="AD249" s="1562"/>
      <c r="AE249" s="1562"/>
      <c r="AF249" s="1562"/>
      <c r="AG249" s="1562"/>
      <c r="AH249" s="1562"/>
      <c r="AI249" s="1562"/>
      <c r="AJ249" s="1562"/>
      <c r="AK249" s="1562"/>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44" t="s">
        <v>2630</v>
      </c>
      <c r="N251" s="1544"/>
      <c r="O251" s="1544"/>
      <c r="P251" s="1544"/>
      <c r="Q251" s="1544"/>
      <c r="R251" s="1544"/>
      <c r="S251" s="1544"/>
      <c r="T251" s="1544"/>
      <c r="U251" s="1544"/>
      <c r="V251" s="1544"/>
      <c r="W251" s="1544"/>
      <c r="X251" s="1544"/>
      <c r="Y251" s="1544"/>
      <c r="Z251" s="1544"/>
      <c r="AA251" s="1544"/>
      <c r="AB251" s="1544"/>
      <c r="AC251" s="1544"/>
      <c r="AD251" s="1544"/>
      <c r="AE251" s="1544"/>
      <c r="AF251" s="1544" t="s">
        <v>2638</v>
      </c>
      <c r="AG251" s="1544"/>
      <c r="AH251" s="1544"/>
      <c r="AI251" s="1544"/>
      <c r="AJ251" s="1544"/>
      <c r="AK251" s="1544"/>
      <c r="AU251" s="4"/>
      <c r="AV251" s="4"/>
      <c r="AW251" s="4"/>
      <c r="AX251" s="4"/>
      <c r="AY251" s="4"/>
      <c r="BN251" s="34"/>
    </row>
    <row r="252" spans="1:67" ht="12.95" customHeight="1">
      <c r="A252" s="19"/>
      <c r="B252" s="4"/>
      <c r="C252" s="4"/>
      <c r="D252" s="4" t="s">
        <v>85</v>
      </c>
      <c r="E252" s="4"/>
      <c r="F252" s="4"/>
      <c r="G252" s="4"/>
      <c r="H252" s="4"/>
      <c r="I252" s="4"/>
      <c r="J252" s="4"/>
      <c r="K252" s="4"/>
      <c r="L252" s="4"/>
      <c r="M252" s="1525" t="s">
        <v>2631</v>
      </c>
      <c r="N252" s="1525"/>
      <c r="O252" s="1525"/>
      <c r="P252" s="1525"/>
      <c r="Q252" s="1525"/>
      <c r="R252" s="1525"/>
      <c r="S252" s="1525"/>
      <c r="T252" s="1525"/>
      <c r="U252" s="1525"/>
      <c r="V252" s="1525"/>
      <c r="W252" s="1525"/>
      <c r="X252" s="1525"/>
      <c r="Y252" s="1525"/>
      <c r="Z252" s="1525"/>
      <c r="AA252" s="1525"/>
      <c r="AB252" s="1525"/>
      <c r="AC252" s="1525"/>
      <c r="AD252" s="1525"/>
      <c r="AE252" s="1525"/>
      <c r="AF252" s="3" t="s">
        <v>1180</v>
      </c>
      <c r="AL252" s="4"/>
      <c r="AM252" s="4"/>
      <c r="AN252" s="4"/>
      <c r="AO252" s="4"/>
      <c r="AP252" s="4"/>
      <c r="AQ252" s="4"/>
      <c r="AR252" s="4"/>
      <c r="AS252" s="4"/>
      <c r="AT252" s="4"/>
      <c r="BN252" s="34"/>
    </row>
    <row r="253" spans="1:67" ht="12.95" customHeight="1">
      <c r="A253" s="19"/>
      <c r="B253" s="4"/>
      <c r="C253" s="4"/>
      <c r="D253" s="4" t="s">
        <v>581</v>
      </c>
      <c r="E253" s="4"/>
      <c r="M253" s="1525" t="s">
        <v>2632</v>
      </c>
      <c r="N253" s="1525"/>
      <c r="O253" s="1525"/>
      <c r="P253" s="1525"/>
      <c r="Q253" s="1525"/>
      <c r="R253" s="1525"/>
      <c r="S253" s="1525"/>
      <c r="T253" s="1525"/>
      <c r="V253" s="33" t="s">
        <v>86</v>
      </c>
      <c r="W253" s="1464" t="s">
        <v>2637</v>
      </c>
      <c r="X253" s="1464"/>
      <c r="Y253" s="4" t="s">
        <v>584</v>
      </c>
      <c r="AC253" s="1525">
        <v>60201</v>
      </c>
      <c r="AD253" s="1525"/>
      <c r="AE253" s="1525"/>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521" t="s">
        <v>2633</v>
      </c>
      <c r="N254" s="1525"/>
      <c r="O254" s="1525"/>
      <c r="P254" s="1525"/>
      <c r="Q254" s="1525"/>
      <c r="R254" s="1525"/>
      <c r="S254" s="1525"/>
      <c r="T254" s="1525"/>
      <c r="U254" s="1525"/>
      <c r="V254" s="1525"/>
      <c r="W254" s="1525"/>
      <c r="X254" s="1525"/>
      <c r="Y254" s="1525"/>
      <c r="Z254" s="1525"/>
      <c r="AA254" s="1525"/>
      <c r="AB254" s="1525"/>
      <c r="AC254" s="1525"/>
      <c r="AD254" s="1525"/>
      <c r="AE254" s="1525"/>
      <c r="AH254" s="1540">
        <v>7.0000000000000007E-2</v>
      </c>
      <c r="AI254" s="1540"/>
      <c r="AJ254" s="1540"/>
      <c r="AK254" s="1540"/>
      <c r="AL254" s="4"/>
      <c r="AM254" s="4"/>
      <c r="AN254" s="4"/>
      <c r="AO254" s="4"/>
      <c r="AP254" s="4"/>
      <c r="AQ254" s="4"/>
      <c r="AR254" s="4"/>
      <c r="AS254" s="4"/>
      <c r="AT254" s="4"/>
    </row>
    <row r="255" spans="1:67" ht="12.95" customHeight="1">
      <c r="A255" s="19"/>
      <c r="B255" s="4"/>
      <c r="C255" s="4"/>
      <c r="D255" s="4" t="s">
        <v>88</v>
      </c>
      <c r="E255" s="4"/>
      <c r="F255" s="4"/>
      <c r="M255" s="1494" t="s">
        <v>2634</v>
      </c>
      <c r="N255" s="1494"/>
      <c r="O255" s="1494"/>
      <c r="P255" s="1494"/>
      <c r="Q255" s="1494"/>
      <c r="R255" s="1494"/>
      <c r="S255" s="4" t="s">
        <v>206</v>
      </c>
      <c r="T255" s="4"/>
      <c r="U255" s="1464"/>
      <c r="V255" s="1464"/>
      <c r="W255" s="1464"/>
      <c r="X255" s="4" t="s">
        <v>89</v>
      </c>
      <c r="Z255" s="1494"/>
      <c r="AA255" s="1494"/>
      <c r="AB255" s="1494"/>
      <c r="AC255" s="1494"/>
      <c r="AD255" s="1494"/>
      <c r="AE255" s="1494"/>
      <c r="AU255" s="4"/>
      <c r="AV255" s="4"/>
      <c r="AW255" s="4"/>
      <c r="AX255" s="4"/>
      <c r="AY255" s="4"/>
      <c r="BN255" s="34"/>
    </row>
    <row r="256" spans="1:67" ht="12.95" customHeight="1">
      <c r="A256" s="19"/>
      <c r="B256" s="4"/>
      <c r="C256" s="4"/>
      <c r="D256" s="4" t="s">
        <v>90</v>
      </c>
      <c r="E256" s="4"/>
      <c r="F256" s="4"/>
      <c r="M256" s="1542" t="s">
        <v>2635</v>
      </c>
      <c r="N256" s="1542"/>
      <c r="O256" s="1542"/>
      <c r="P256" s="1542"/>
      <c r="Q256" s="1542"/>
      <c r="R256" s="1542"/>
      <c r="S256" s="1542"/>
      <c r="T256" s="1542"/>
      <c r="U256" s="1542"/>
      <c r="V256" s="1542"/>
      <c r="W256" s="1542"/>
      <c r="X256" s="1542"/>
      <c r="Y256" s="1542"/>
      <c r="Z256" s="1542"/>
      <c r="AA256" s="1542"/>
      <c r="AB256" s="1542"/>
      <c r="AC256" s="1542"/>
      <c r="AD256" s="1542"/>
      <c r="AE256" s="1542"/>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32" t="s">
        <v>537</v>
      </c>
      <c r="N257" s="1332"/>
      <c r="O257" s="1332"/>
      <c r="P257" s="1332"/>
      <c r="Q257" s="1332"/>
      <c r="R257" s="1332"/>
      <c r="S257" s="1332"/>
      <c r="T257" s="1332"/>
      <c r="U257" s="204" t="s">
        <v>907</v>
      </c>
      <c r="V257" s="204"/>
      <c r="W257" s="204"/>
      <c r="X257" s="204"/>
      <c r="Y257" s="204"/>
      <c r="Z257" s="204"/>
      <c r="AA257" s="1562" t="s">
        <v>2636</v>
      </c>
      <c r="AB257" s="1562"/>
      <c r="AC257" s="1562"/>
      <c r="AD257" s="1562"/>
      <c r="AE257" s="1562"/>
      <c r="AF257" s="1562"/>
      <c r="AG257" s="1562"/>
      <c r="AH257" s="1562"/>
      <c r="AI257" s="1562"/>
      <c r="AJ257" s="1562"/>
      <c r="AK257" s="1562"/>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44"/>
      <c r="N259" s="1544"/>
      <c r="O259" s="1544"/>
      <c r="P259" s="1544"/>
      <c r="Q259" s="1544"/>
      <c r="R259" s="1544"/>
      <c r="S259" s="1544"/>
      <c r="T259" s="1544"/>
      <c r="U259" s="1544"/>
      <c r="V259" s="1544"/>
      <c r="W259" s="1544"/>
      <c r="X259" s="1544"/>
      <c r="Y259" s="1544"/>
      <c r="Z259" s="1544"/>
      <c r="AA259" s="1544"/>
      <c r="AB259" s="1544"/>
      <c r="AC259" s="1544"/>
      <c r="AD259" s="1544"/>
      <c r="AE259" s="1544"/>
      <c r="AF259" s="1544" t="s">
        <v>307</v>
      </c>
      <c r="AG259" s="1544"/>
      <c r="AH259" s="1544"/>
      <c r="AI259" s="1544"/>
      <c r="AJ259" s="1544"/>
      <c r="AK259" s="1544"/>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5"/>
      <c r="N260" s="1525"/>
      <c r="O260" s="1525"/>
      <c r="P260" s="1525"/>
      <c r="Q260" s="1525"/>
      <c r="R260" s="1525"/>
      <c r="S260" s="1525"/>
      <c r="T260" s="1525"/>
      <c r="U260" s="1525"/>
      <c r="V260" s="1525"/>
      <c r="W260" s="1525"/>
      <c r="X260" s="1525"/>
      <c r="Y260" s="1525"/>
      <c r="Z260" s="1525"/>
      <c r="AA260" s="1525"/>
      <c r="AB260" s="1525"/>
      <c r="AC260" s="1525"/>
      <c r="AD260" s="1525"/>
      <c r="AE260" s="1525"/>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25"/>
      <c r="N261" s="1525"/>
      <c r="O261" s="1525"/>
      <c r="P261" s="1525"/>
      <c r="Q261" s="1525"/>
      <c r="R261" s="1525"/>
      <c r="S261" s="1525"/>
      <c r="T261" s="1525"/>
      <c r="V261" s="33" t="s">
        <v>86</v>
      </c>
      <c r="W261" s="1464"/>
      <c r="X261" s="1464"/>
      <c r="Y261" s="4" t="s">
        <v>584</v>
      </c>
      <c r="AC261" s="1525"/>
      <c r="AD261" s="1525"/>
      <c r="AE261" s="1525"/>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5"/>
      <c r="N262" s="1525"/>
      <c r="O262" s="1525"/>
      <c r="P262" s="1525"/>
      <c r="Q262" s="1525"/>
      <c r="R262" s="1525"/>
      <c r="S262" s="1525"/>
      <c r="T262" s="1525"/>
      <c r="U262" s="1525"/>
      <c r="V262" s="1525"/>
      <c r="W262" s="1525"/>
      <c r="X262" s="1525"/>
      <c r="Y262" s="1525"/>
      <c r="Z262" s="1525"/>
      <c r="AA262" s="1525"/>
      <c r="AB262" s="1525"/>
      <c r="AC262" s="1525"/>
      <c r="AD262" s="1525"/>
      <c r="AE262" s="1525"/>
      <c r="AH262" s="1540"/>
      <c r="AI262" s="1540"/>
      <c r="AJ262" s="1540"/>
      <c r="AK262" s="1540"/>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94"/>
      <c r="N263" s="1494"/>
      <c r="O263" s="1494"/>
      <c r="P263" s="1494"/>
      <c r="Q263" s="1494"/>
      <c r="R263" s="1494"/>
      <c r="S263" s="4" t="s">
        <v>206</v>
      </c>
      <c r="T263" s="4"/>
      <c r="U263" s="1464"/>
      <c r="V263" s="1464"/>
      <c r="W263" s="1464"/>
      <c r="X263" s="4" t="s">
        <v>89</v>
      </c>
      <c r="Z263" s="1494"/>
      <c r="AA263" s="1494"/>
      <c r="AB263" s="1494"/>
      <c r="AC263" s="1494"/>
      <c r="AD263" s="1494"/>
      <c r="AE263" s="1494"/>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2"/>
      <c r="N264" s="1542"/>
      <c r="O264" s="1542"/>
      <c r="P264" s="1542"/>
      <c r="Q264" s="1542"/>
      <c r="R264" s="1542"/>
      <c r="S264" s="1542"/>
      <c r="T264" s="1542"/>
      <c r="U264" s="1542"/>
      <c r="V264" s="1542"/>
      <c r="W264" s="1542"/>
      <c r="X264" s="1542"/>
      <c r="Y264" s="1542"/>
      <c r="Z264" s="1542"/>
      <c r="AA264" s="1543"/>
      <c r="AB264" s="1543"/>
      <c r="AC264" s="1543"/>
      <c r="AD264" s="1543"/>
      <c r="AE264" s="1543"/>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32" t="s">
        <v>307</v>
      </c>
      <c r="N265" s="1332"/>
      <c r="O265" s="1332"/>
      <c r="P265" s="1332"/>
      <c r="Q265" s="1332"/>
      <c r="R265" s="1332"/>
      <c r="S265" s="1332"/>
      <c r="T265" s="1332"/>
      <c r="U265" s="204" t="s">
        <v>907</v>
      </c>
      <c r="V265" s="204"/>
      <c r="W265" s="204"/>
      <c r="X265" s="204"/>
      <c r="Y265" s="204"/>
      <c r="Z265" s="204"/>
      <c r="AA265" s="1575"/>
      <c r="AB265" s="1575"/>
      <c r="AC265" s="1575"/>
      <c r="AD265" s="1575"/>
      <c r="AE265" s="1575"/>
      <c r="AF265" s="1575"/>
      <c r="AG265" s="1575"/>
      <c r="AH265" s="1575"/>
      <c r="AI265" s="1575"/>
      <c r="AJ265" s="1575"/>
      <c r="AK265" s="1575"/>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68" t="str">
        <f>IFERROR(BO245,"")</f>
        <v>Joint Venture</v>
      </c>
      <c r="U267" s="1568"/>
      <c r="V267" s="1568"/>
      <c r="W267" s="1568"/>
      <c r="X267" s="1568"/>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525" t="s">
        <v>280</v>
      </c>
      <c r="E270" s="1525"/>
      <c r="F270" s="1525"/>
      <c r="G270" s="1525"/>
      <c r="H270" s="1525"/>
      <c r="J270" t="s">
        <v>279</v>
      </c>
      <c r="X270" s="1541"/>
      <c r="Y270" s="1541"/>
      <c r="Z270" s="1541"/>
      <c r="AA270" s="1541"/>
      <c r="AB270" s="1541"/>
      <c r="AC270" s="1541"/>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44" t="s">
        <v>2639</v>
      </c>
      <c r="M274" s="1544"/>
      <c r="N274" s="1544"/>
      <c r="O274" s="1544"/>
      <c r="P274" s="1544"/>
      <c r="Q274" s="1544"/>
      <c r="R274" s="1544"/>
      <c r="S274" s="1544"/>
      <c r="T274" s="1544"/>
      <c r="U274" s="1544"/>
      <c r="V274" s="1544"/>
      <c r="W274" s="1544"/>
      <c r="X274" s="1544"/>
      <c r="Y274" s="1544"/>
      <c r="Z274" s="1544"/>
      <c r="AA274" s="1544"/>
      <c r="AB274" s="1544"/>
      <c r="AC274" s="1544"/>
      <c r="AD274" s="1544"/>
      <c r="AE274" s="1544"/>
      <c r="AF274" s="1544"/>
      <c r="AG274" s="1544"/>
      <c r="AH274" s="1544"/>
      <c r="AI274" s="1544"/>
      <c r="AJ274" s="1544"/>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5" t="s">
        <v>2640</v>
      </c>
      <c r="M275" s="1525"/>
      <c r="N275" s="1525"/>
      <c r="O275" s="1525"/>
      <c r="P275" s="1525"/>
      <c r="Q275" s="1525"/>
      <c r="R275" s="1525"/>
      <c r="S275" s="1525"/>
      <c r="T275" s="1525"/>
      <c r="U275" s="1525"/>
      <c r="V275" s="1525"/>
      <c r="W275" s="1525"/>
      <c r="X275" s="1525"/>
      <c r="Y275" s="1525"/>
      <c r="Z275" s="1525"/>
      <c r="AA275" s="1525"/>
      <c r="AB275" s="1525"/>
      <c r="AC275" s="1525"/>
      <c r="AD275" s="1525"/>
      <c r="AK275" s="3"/>
      <c r="AL275" s="3"/>
      <c r="AM275" s="3"/>
      <c r="AN275" s="3"/>
      <c r="AO275" s="3"/>
      <c r="AP275" s="3"/>
      <c r="AQ275" s="3"/>
      <c r="AR275" s="3"/>
      <c r="AS275" s="3"/>
      <c r="AT275" s="3"/>
      <c r="AU275" s="3"/>
      <c r="AV275" s="3"/>
      <c r="AW275" s="3"/>
      <c r="AX275" s="3"/>
      <c r="AY275" s="3"/>
    </row>
    <row r="276" spans="1:51" ht="12.95" customHeight="1">
      <c r="D276" s="4" t="s">
        <v>581</v>
      </c>
      <c r="E276" s="4"/>
      <c r="L276" s="1525" t="s">
        <v>2641</v>
      </c>
      <c r="M276" s="1525"/>
      <c r="N276" s="1525"/>
      <c r="O276" s="1525"/>
      <c r="P276" s="1525"/>
      <c r="Q276" s="1525"/>
      <c r="R276" s="1525"/>
      <c r="S276" s="1525"/>
      <c r="U276" s="33" t="s">
        <v>86</v>
      </c>
      <c r="V276" s="1464" t="s">
        <v>2646</v>
      </c>
      <c r="W276" s="1464"/>
      <c r="X276" s="4" t="s">
        <v>584</v>
      </c>
      <c r="AB276" s="1525" t="s">
        <v>2647</v>
      </c>
      <c r="AC276" s="1525"/>
      <c r="AD276" s="1525"/>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5" t="s">
        <v>2642</v>
      </c>
      <c r="M277" s="1525"/>
      <c r="N277" s="1525"/>
      <c r="O277" s="1525"/>
      <c r="P277" s="1525"/>
      <c r="Q277" s="1525"/>
      <c r="R277" s="1525"/>
      <c r="S277" s="1525"/>
      <c r="T277" s="1525"/>
      <c r="U277" s="1525"/>
      <c r="V277" s="1525"/>
      <c r="W277" s="1525"/>
      <c r="X277" s="1525"/>
      <c r="Y277" s="1525"/>
      <c r="Z277" s="1525"/>
      <c r="AA277" s="1525"/>
      <c r="AB277" s="1525"/>
      <c r="AC277" s="1525"/>
      <c r="AD277" s="1525"/>
      <c r="AI277" s="4"/>
      <c r="AJ277" s="4"/>
      <c r="AK277" s="3"/>
      <c r="AL277" s="3"/>
      <c r="AM277" s="3"/>
      <c r="AN277" s="3"/>
      <c r="AO277" s="3"/>
      <c r="AP277" s="3"/>
      <c r="AQ277" s="3"/>
      <c r="AR277" s="3"/>
      <c r="AS277" s="3"/>
      <c r="AT277" s="3"/>
    </row>
    <row r="278" spans="1:51" ht="12.95" customHeight="1">
      <c r="D278" s="4" t="s">
        <v>88</v>
      </c>
      <c r="E278" s="4"/>
      <c r="F278" s="4"/>
      <c r="L278" s="1494" t="s">
        <v>2643</v>
      </c>
      <c r="M278" s="1494"/>
      <c r="N278" s="1494"/>
      <c r="O278" s="1494"/>
      <c r="P278" s="1494"/>
      <c r="Q278" s="1494"/>
      <c r="R278" s="4" t="s">
        <v>206</v>
      </c>
      <c r="S278" s="4"/>
      <c r="T278" s="1464"/>
      <c r="U278" s="1464"/>
      <c r="V278" s="1464"/>
      <c r="W278" s="4" t="s">
        <v>89</v>
      </c>
      <c r="Y278" s="1494"/>
      <c r="Z278" s="1494"/>
      <c r="AA278" s="1494"/>
      <c r="AB278" s="1494"/>
      <c r="AC278" s="1494"/>
      <c r="AD278" s="1494"/>
    </row>
    <row r="279" spans="1:51" ht="12.95" customHeight="1">
      <c r="D279" s="4" t="s">
        <v>90</v>
      </c>
      <c r="E279" s="4"/>
      <c r="F279" s="4"/>
      <c r="L279" s="1542" t="s">
        <v>2644</v>
      </c>
      <c r="M279" s="1542"/>
      <c r="N279" s="1542"/>
      <c r="O279" s="1542"/>
      <c r="P279" s="1542"/>
      <c r="Q279" s="1542"/>
      <c r="R279" s="1542"/>
      <c r="S279" s="1542"/>
      <c r="T279" s="1542"/>
      <c r="U279" s="1542"/>
      <c r="V279" s="1542"/>
      <c r="W279" s="1542"/>
      <c r="X279" s="1542"/>
      <c r="Y279" s="1542"/>
      <c r="Z279" s="1542"/>
      <c r="AA279" s="1542"/>
      <c r="AB279" s="1542"/>
      <c r="AC279" s="1542"/>
      <c r="AD279" s="1542"/>
      <c r="AF279" s="4"/>
      <c r="AG279" s="4"/>
      <c r="AH279" s="4"/>
      <c r="AI279" s="4"/>
      <c r="AJ279" s="4"/>
      <c r="AU279" s="3"/>
      <c r="AV279" s="3"/>
      <c r="AW279" s="3"/>
      <c r="AX279" s="3"/>
      <c r="AY279" s="3"/>
    </row>
    <row r="280" spans="1:51" ht="12.95" customHeight="1">
      <c r="D280" s="3" t="s">
        <v>624</v>
      </c>
      <c r="E280" s="3"/>
      <c r="F280" s="3"/>
      <c r="G280" s="3"/>
      <c r="H280" s="3"/>
      <c r="I280" s="3"/>
      <c r="L280" s="1569" t="s">
        <v>2645</v>
      </c>
      <c r="M280" s="1569"/>
      <c r="N280" s="1569"/>
      <c r="O280" s="1569"/>
      <c r="P280" s="1569"/>
      <c r="Q280" s="1569"/>
      <c r="R280" s="1569"/>
      <c r="S280" s="1569"/>
      <c r="T280" s="1569"/>
      <c r="U280" s="1569"/>
      <c r="V280" s="1569"/>
      <c r="W280" s="1569"/>
      <c r="X280" s="1569"/>
      <c r="Y280" s="1569"/>
      <c r="Z280" s="1569"/>
      <c r="AA280" s="1569"/>
      <c r="AB280" s="1569"/>
      <c r="AC280" s="1569"/>
      <c r="AD280" s="1569"/>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6" t="s">
        <v>542</v>
      </c>
      <c r="B282" s="1536"/>
      <c r="C282" s="1536"/>
      <c r="D282" s="1536"/>
      <c r="E282" s="1536"/>
      <c r="F282" s="1536"/>
      <c r="G282" s="1536"/>
      <c r="H282" s="1536"/>
      <c r="I282" s="1536"/>
      <c r="J282" s="1536"/>
      <c r="K282" s="1536"/>
      <c r="L282" s="1536"/>
      <c r="M282" s="1536"/>
      <c r="N282" s="1536"/>
      <c r="O282" s="1536"/>
      <c r="P282" s="1536"/>
      <c r="Q282" s="1536"/>
      <c r="R282" s="1536"/>
      <c r="S282" s="1536"/>
      <c r="T282" s="1536"/>
      <c r="U282" s="1536"/>
      <c r="V282" s="1536"/>
      <c r="W282" s="1536"/>
      <c r="X282" s="1536"/>
      <c r="Y282" s="1536"/>
      <c r="Z282" s="1536"/>
      <c r="AA282" s="1536"/>
      <c r="AB282" s="1536"/>
      <c r="AC282" s="1536"/>
      <c r="AD282" s="1536"/>
      <c r="AE282" s="1536"/>
      <c r="AF282" s="1536"/>
      <c r="AG282" s="1536"/>
      <c r="AH282" s="1536"/>
      <c r="AI282" s="1536"/>
      <c r="AJ282" s="1536"/>
      <c r="AK282" s="1536"/>
      <c r="AL282" s="1536"/>
      <c r="AM282" s="1536"/>
      <c r="AN282" s="1536"/>
      <c r="AO282" s="1536"/>
      <c r="AP282" s="1536"/>
      <c r="AQ282" s="1536"/>
      <c r="AR282" s="1536"/>
      <c r="AS282" s="1536"/>
      <c r="AT282" s="1536"/>
      <c r="AU282" s="95"/>
      <c r="AV282" s="95"/>
      <c r="AW282" s="95"/>
      <c r="AX282" s="95"/>
      <c r="AY282" s="95"/>
    </row>
    <row r="283" spans="1:51" ht="12.95" customHeight="1">
      <c r="A283" s="1536"/>
      <c r="B283" s="1536"/>
      <c r="C283" s="1536"/>
      <c r="D283" s="1536"/>
      <c r="E283" s="1536"/>
      <c r="F283" s="1536"/>
      <c r="G283" s="1536"/>
      <c r="H283" s="1536"/>
      <c r="I283" s="1536"/>
      <c r="J283" s="1536"/>
      <c r="K283" s="1536"/>
      <c r="L283" s="1536"/>
      <c r="M283" s="1536"/>
      <c r="N283" s="1536"/>
      <c r="O283" s="1536"/>
      <c r="P283" s="1536"/>
      <c r="Q283" s="1536"/>
      <c r="R283" s="1536"/>
      <c r="S283" s="1536"/>
      <c r="T283" s="1536"/>
      <c r="U283" s="1536"/>
      <c r="V283" s="1536"/>
      <c r="W283" s="1536"/>
      <c r="X283" s="1536"/>
      <c r="Y283" s="1536"/>
      <c r="Z283" s="1536"/>
      <c r="AA283" s="1536"/>
      <c r="AB283" s="1536"/>
      <c r="AC283" s="1536"/>
      <c r="AD283" s="1536"/>
      <c r="AE283" s="1536"/>
      <c r="AF283" s="1536"/>
      <c r="AG283" s="1536"/>
      <c r="AH283" s="1536"/>
      <c r="AI283" s="1536"/>
      <c r="AJ283" s="1536"/>
      <c r="AK283" s="1536"/>
      <c r="AL283" s="1536"/>
      <c r="AM283" s="1536"/>
      <c r="AN283" s="1536"/>
      <c r="AO283" s="1536"/>
      <c r="AP283" s="1536"/>
      <c r="AQ283" s="1536"/>
      <c r="AR283" s="1536"/>
      <c r="AS283" s="1536"/>
      <c r="AT283" s="1536"/>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33" t="s">
        <v>2627</v>
      </c>
      <c r="I287" s="1333"/>
      <c r="J287" s="1333"/>
      <c r="K287" s="1333"/>
      <c r="L287" s="1333"/>
      <c r="M287" s="1333"/>
      <c r="N287" s="1333"/>
      <c r="O287" s="1333"/>
      <c r="P287" s="1333"/>
      <c r="Q287" s="1333"/>
      <c r="R287" s="1333"/>
      <c r="T287" s="3" t="s">
        <v>568</v>
      </c>
      <c r="V287" s="3"/>
      <c r="W287" s="3"/>
      <c r="X287" s="3"/>
      <c r="Y287" s="3"/>
      <c r="AA287" s="1333" t="s">
        <v>2649</v>
      </c>
      <c r="AB287" s="1333"/>
      <c r="AC287" s="1333"/>
      <c r="AD287" s="1333"/>
      <c r="AE287" s="1333"/>
      <c r="AF287" s="1333"/>
      <c r="AG287" s="1333"/>
      <c r="AH287" s="1333"/>
      <c r="AI287" s="1333"/>
      <c r="AJ287" s="1333"/>
      <c r="AK287" s="1333"/>
    </row>
    <row r="288" spans="1:51" ht="12.95" customHeight="1">
      <c r="B288" s="3" t="s">
        <v>472</v>
      </c>
      <c r="C288" s="3"/>
      <c r="D288" s="3"/>
      <c r="E288" s="3"/>
      <c r="F288" s="3"/>
      <c r="H288" s="1332" t="s">
        <v>2622</v>
      </c>
      <c r="I288" s="1332"/>
      <c r="J288" s="1332"/>
      <c r="K288" s="1332"/>
      <c r="L288" s="1332"/>
      <c r="M288" s="1332"/>
      <c r="N288" s="1332"/>
      <c r="O288" s="1332"/>
      <c r="P288" s="1332"/>
      <c r="Q288" s="1332"/>
      <c r="R288" s="1332"/>
      <c r="T288" s="3" t="s">
        <v>472</v>
      </c>
      <c r="V288" s="3"/>
      <c r="W288" s="3"/>
      <c r="X288" s="3"/>
      <c r="Y288" s="3"/>
      <c r="AA288" s="1332" t="s">
        <v>2650</v>
      </c>
      <c r="AB288" s="1332"/>
      <c r="AC288" s="1332"/>
      <c r="AD288" s="1332"/>
      <c r="AE288" s="1332"/>
      <c r="AF288" s="1332"/>
      <c r="AG288" s="1332"/>
      <c r="AH288" s="1332"/>
      <c r="AI288" s="1332"/>
      <c r="AJ288" s="1332"/>
      <c r="AK288" s="1332"/>
    </row>
    <row r="289" spans="2:37" ht="12.95" customHeight="1">
      <c r="B289" s="3" t="s">
        <v>473</v>
      </c>
      <c r="C289" s="3"/>
      <c r="D289" s="3"/>
      <c r="E289" s="3"/>
      <c r="F289" s="3"/>
      <c r="H289" s="1332" t="s">
        <v>2648</v>
      </c>
      <c r="I289" s="1332"/>
      <c r="J289" s="1332"/>
      <c r="K289" s="1332"/>
      <c r="L289" s="1332"/>
      <c r="M289" s="1332"/>
      <c r="N289" s="1332"/>
      <c r="O289" s="1332"/>
      <c r="P289" s="1332"/>
      <c r="Q289" s="1332"/>
      <c r="R289" s="1332"/>
      <c r="T289" s="3" t="s">
        <v>75</v>
      </c>
      <c r="V289" s="3"/>
      <c r="W289" s="3"/>
      <c r="X289" s="3"/>
      <c r="Y289" s="3"/>
      <c r="AA289" s="1332" t="s">
        <v>2651</v>
      </c>
      <c r="AB289" s="1332"/>
      <c r="AC289" s="1332"/>
      <c r="AD289" s="1332"/>
      <c r="AE289" s="1332"/>
      <c r="AF289" s="1332"/>
      <c r="AG289" s="1332"/>
      <c r="AH289" s="1332"/>
      <c r="AI289" s="1332"/>
      <c r="AJ289" s="1332"/>
      <c r="AK289" s="1332"/>
    </row>
    <row r="290" spans="2:37" ht="12.95" customHeight="1">
      <c r="B290" s="3" t="s">
        <v>87</v>
      </c>
      <c r="C290" s="3"/>
      <c r="D290" s="3"/>
      <c r="E290" s="3"/>
      <c r="F290" s="3"/>
      <c r="H290" s="1332" t="s">
        <v>2624</v>
      </c>
      <c r="I290" s="1332"/>
      <c r="J290" s="1332"/>
      <c r="K290" s="1332"/>
      <c r="L290" s="1332"/>
      <c r="M290" s="1332"/>
      <c r="N290" s="1332"/>
      <c r="O290" s="1332"/>
      <c r="P290" s="1332"/>
      <c r="Q290" s="1332"/>
      <c r="R290" s="1332"/>
      <c r="T290" s="3" t="s">
        <v>87</v>
      </c>
      <c r="V290" s="3"/>
      <c r="W290" s="3"/>
      <c r="X290" s="3"/>
      <c r="Y290" s="3"/>
      <c r="AA290" s="1332" t="s">
        <v>2652</v>
      </c>
      <c r="AB290" s="1332"/>
      <c r="AC290" s="1332"/>
      <c r="AD290" s="1332"/>
      <c r="AE290" s="1332"/>
      <c r="AF290" s="1332"/>
      <c r="AG290" s="1332"/>
      <c r="AH290" s="1332"/>
      <c r="AI290" s="1332"/>
      <c r="AJ290" s="1332"/>
      <c r="AK290" s="1332"/>
    </row>
    <row r="291" spans="2:37" ht="12.95" customHeight="1">
      <c r="B291" s="3" t="s">
        <v>88</v>
      </c>
      <c r="C291" s="3"/>
      <c r="D291" s="3"/>
      <c r="E291" s="3"/>
      <c r="F291" s="3"/>
      <c r="G291" s="3"/>
      <c r="H291" s="1532" t="s">
        <v>2625</v>
      </c>
      <c r="I291" s="1532"/>
      <c r="J291" s="1532"/>
      <c r="K291" s="1532"/>
      <c r="L291" s="1532"/>
      <c r="M291" s="1532"/>
      <c r="N291" s="4" t="s">
        <v>206</v>
      </c>
      <c r="O291" s="4"/>
      <c r="P291" s="1525"/>
      <c r="Q291" s="1525"/>
      <c r="R291" s="1525"/>
      <c r="S291" s="3"/>
      <c r="T291" s="3" t="s">
        <v>88</v>
      </c>
      <c r="V291" s="3"/>
      <c r="W291" s="3"/>
      <c r="X291" s="3"/>
      <c r="Y291" s="3"/>
      <c r="AA291" s="1532" t="s">
        <v>2653</v>
      </c>
      <c r="AB291" s="1532"/>
      <c r="AC291" s="1532"/>
      <c r="AD291" s="1532"/>
      <c r="AE291" s="1532"/>
      <c r="AF291" s="1532"/>
      <c r="AG291" s="4" t="s">
        <v>206</v>
      </c>
      <c r="AH291" s="4"/>
      <c r="AI291" s="1525"/>
      <c r="AJ291" s="1525"/>
      <c r="AK291" s="1525"/>
    </row>
    <row r="292" spans="2:37" ht="12.95" customHeight="1">
      <c r="B292" s="3" t="s">
        <v>89</v>
      </c>
      <c r="C292" s="3"/>
      <c r="D292" s="3"/>
      <c r="E292" s="3"/>
      <c r="F292" s="3"/>
      <c r="G292" s="3"/>
      <c r="H292" s="1494" t="s">
        <v>592</v>
      </c>
      <c r="I292" s="1494"/>
      <c r="J292" s="1494"/>
      <c r="K292" s="1494"/>
      <c r="L292" s="1494"/>
      <c r="M292" s="1494"/>
      <c r="N292" s="4"/>
      <c r="O292" s="4"/>
      <c r="P292" s="35"/>
      <c r="Q292" s="35"/>
      <c r="R292" s="35"/>
      <c r="S292" s="3"/>
      <c r="T292" s="3" t="s">
        <v>89</v>
      </c>
      <c r="V292" s="3"/>
      <c r="W292" s="3"/>
      <c r="X292" s="3"/>
      <c r="Y292" s="3"/>
      <c r="AA292" s="1494" t="s">
        <v>592</v>
      </c>
      <c r="AB292" s="1494"/>
      <c r="AC292" s="1494"/>
      <c r="AD292" s="1494"/>
      <c r="AE292" s="1494"/>
      <c r="AF292" s="1494"/>
      <c r="AG292" s="4"/>
      <c r="AH292" s="4"/>
      <c r="AI292" s="35"/>
      <c r="AJ292" s="35"/>
      <c r="AK292" s="35"/>
    </row>
    <row r="293" spans="2:37" ht="12.95" customHeight="1">
      <c r="B293" s="3" t="s">
        <v>76</v>
      </c>
      <c r="C293" s="3"/>
      <c r="D293" s="3"/>
      <c r="E293" s="3"/>
      <c r="F293" s="3"/>
      <c r="G293" s="3"/>
      <c r="H293" s="1332" t="s">
        <v>2626</v>
      </c>
      <c r="I293" s="1332"/>
      <c r="J293" s="1332"/>
      <c r="K293" s="1332"/>
      <c r="L293" s="1332"/>
      <c r="M293" s="1332"/>
      <c r="N293" s="1333"/>
      <c r="O293" s="1333"/>
      <c r="P293" s="1333"/>
      <c r="Q293" s="1333"/>
      <c r="R293" s="1333"/>
      <c r="S293" s="3"/>
      <c r="T293" s="3" t="s">
        <v>76</v>
      </c>
      <c r="V293" s="3"/>
      <c r="W293" s="3"/>
      <c r="X293" s="3"/>
      <c r="Y293" s="3"/>
      <c r="AA293" s="1332" t="s">
        <v>2654</v>
      </c>
      <c r="AB293" s="1332"/>
      <c r="AC293" s="1332"/>
      <c r="AD293" s="1332"/>
      <c r="AE293" s="1332"/>
      <c r="AF293" s="1332"/>
      <c r="AG293" s="1333"/>
      <c r="AH293" s="1333"/>
      <c r="AI293" s="1333"/>
      <c r="AJ293" s="1333"/>
      <c r="AK293" s="1333"/>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33" t="s">
        <v>2655</v>
      </c>
      <c r="I295" s="1333"/>
      <c r="J295" s="1333"/>
      <c r="K295" s="1333"/>
      <c r="L295" s="1333"/>
      <c r="M295" s="1333"/>
      <c r="N295" s="1333"/>
      <c r="O295" s="1333"/>
      <c r="P295" s="1333"/>
      <c r="Q295" s="1333"/>
      <c r="R295" s="1333"/>
      <c r="T295" s="3" t="s">
        <v>364</v>
      </c>
      <c r="V295" s="3"/>
      <c r="W295" s="3"/>
      <c r="X295" s="3"/>
      <c r="Y295" s="3"/>
      <c r="AA295" s="1333" t="s">
        <v>2660</v>
      </c>
      <c r="AB295" s="1333"/>
      <c r="AC295" s="1333"/>
      <c r="AD295" s="1333"/>
      <c r="AE295" s="1333"/>
      <c r="AF295" s="1333"/>
      <c r="AG295" s="1333"/>
      <c r="AH295" s="1333"/>
      <c r="AI295" s="1333"/>
      <c r="AJ295" s="1333"/>
      <c r="AK295" s="1333"/>
    </row>
    <row r="296" spans="2:37" ht="12.95" customHeight="1">
      <c r="B296" s="3" t="s">
        <v>472</v>
      </c>
      <c r="C296" s="3"/>
      <c r="D296" s="3"/>
      <c r="E296" s="3"/>
      <c r="F296" s="3"/>
      <c r="H296" s="1332" t="s">
        <v>2656</v>
      </c>
      <c r="I296" s="1332"/>
      <c r="J296" s="1332"/>
      <c r="K296" s="1332"/>
      <c r="L296" s="1332"/>
      <c r="M296" s="1332"/>
      <c r="N296" s="1332"/>
      <c r="O296" s="1332"/>
      <c r="P296" s="1332"/>
      <c r="Q296" s="1332"/>
      <c r="R296" s="1332"/>
      <c r="T296" s="3" t="s">
        <v>472</v>
      </c>
      <c r="V296" s="3"/>
      <c r="W296" s="3"/>
      <c r="X296" s="3"/>
      <c r="Y296" s="3"/>
      <c r="AA296" s="1332" t="s">
        <v>2661</v>
      </c>
      <c r="AB296" s="1332"/>
      <c r="AC296" s="1332"/>
      <c r="AD296" s="1332"/>
      <c r="AE296" s="1332"/>
      <c r="AF296" s="1332"/>
      <c r="AG296" s="1332"/>
      <c r="AH296" s="1332"/>
      <c r="AI296" s="1332"/>
      <c r="AJ296" s="1332"/>
      <c r="AK296" s="1332"/>
    </row>
    <row r="297" spans="2:37" ht="12.95" customHeight="1">
      <c r="B297" s="3" t="s">
        <v>473</v>
      </c>
      <c r="C297" s="3"/>
      <c r="D297" s="3"/>
      <c r="E297" s="3"/>
      <c r="F297" s="3"/>
      <c r="H297" s="1332" t="s">
        <v>2657</v>
      </c>
      <c r="I297" s="1332"/>
      <c r="J297" s="1332"/>
      <c r="K297" s="1332"/>
      <c r="L297" s="1332"/>
      <c r="M297" s="1332"/>
      <c r="N297" s="1332"/>
      <c r="O297" s="1332"/>
      <c r="P297" s="1332"/>
      <c r="Q297" s="1332"/>
      <c r="R297" s="1332"/>
      <c r="T297" s="3" t="s">
        <v>75</v>
      </c>
      <c r="V297" s="3"/>
      <c r="W297" s="3"/>
      <c r="X297" s="3"/>
      <c r="Y297" s="3"/>
      <c r="AA297" s="1332" t="s">
        <v>2662</v>
      </c>
      <c r="AB297" s="1332"/>
      <c r="AC297" s="1332"/>
      <c r="AD297" s="1332"/>
      <c r="AE297" s="1332"/>
      <c r="AF297" s="1332"/>
      <c r="AG297" s="1332"/>
      <c r="AH297" s="1332"/>
      <c r="AI297" s="1332"/>
      <c r="AJ297" s="1332"/>
      <c r="AK297" s="1332"/>
    </row>
    <row r="298" spans="2:37" ht="12.95" customHeight="1">
      <c r="B298" s="3" t="s">
        <v>87</v>
      </c>
      <c r="C298" s="3"/>
      <c r="D298" s="3"/>
      <c r="E298" s="3"/>
      <c r="F298" s="3"/>
      <c r="H298" s="1332" t="s">
        <v>2750</v>
      </c>
      <c r="I298" s="1332"/>
      <c r="J298" s="1332"/>
      <c r="K298" s="1332"/>
      <c r="L298" s="1332"/>
      <c r="M298" s="1332"/>
      <c r="N298" s="1332"/>
      <c r="O298" s="1332"/>
      <c r="P298" s="1332"/>
      <c r="Q298" s="1332"/>
      <c r="R298" s="1332"/>
      <c r="T298" s="3" t="s">
        <v>87</v>
      </c>
      <c r="V298" s="3"/>
      <c r="W298" s="3"/>
      <c r="X298" s="3"/>
      <c r="Y298" s="3"/>
      <c r="AA298" s="1332" t="s">
        <v>2663</v>
      </c>
      <c r="AB298" s="1332"/>
      <c r="AC298" s="1332"/>
      <c r="AD298" s="1332"/>
      <c r="AE298" s="1332"/>
      <c r="AF298" s="1332"/>
      <c r="AG298" s="1332"/>
      <c r="AH298" s="1332"/>
      <c r="AI298" s="1332"/>
      <c r="AJ298" s="1332"/>
      <c r="AK298" s="1332"/>
    </row>
    <row r="299" spans="2:37" ht="12.95" customHeight="1">
      <c r="B299" s="3" t="s">
        <v>88</v>
      </c>
      <c r="C299" s="3"/>
      <c r="D299" s="3"/>
      <c r="E299" s="3"/>
      <c r="F299" s="3"/>
      <c r="G299" s="3"/>
      <c r="H299" s="1532" t="s">
        <v>2658</v>
      </c>
      <c r="I299" s="1532"/>
      <c r="J299" s="1532"/>
      <c r="K299" s="1532"/>
      <c r="L299" s="1532"/>
      <c r="M299" s="1532"/>
      <c r="N299" s="4" t="s">
        <v>206</v>
      </c>
      <c r="O299" s="4"/>
      <c r="P299" s="1525"/>
      <c r="Q299" s="1525"/>
      <c r="R299" s="1525"/>
      <c r="S299" s="3"/>
      <c r="T299" s="3" t="s">
        <v>88</v>
      </c>
      <c r="V299" s="3"/>
      <c r="W299" s="3"/>
      <c r="X299" s="3"/>
      <c r="Y299" s="3"/>
      <c r="AA299" s="1532" t="s">
        <v>2664</v>
      </c>
      <c r="AB299" s="1532"/>
      <c r="AC299" s="1532"/>
      <c r="AD299" s="1532"/>
      <c r="AE299" s="1532"/>
      <c r="AF299" s="1532"/>
      <c r="AG299" s="4" t="s">
        <v>206</v>
      </c>
      <c r="AH299" s="4"/>
      <c r="AI299" s="1525"/>
      <c r="AJ299" s="1525"/>
      <c r="AK299" s="1525"/>
    </row>
    <row r="300" spans="2:37" ht="12.95" customHeight="1">
      <c r="B300" s="3" t="s">
        <v>89</v>
      </c>
      <c r="C300" s="3"/>
      <c r="D300" s="3"/>
      <c r="E300" s="3"/>
      <c r="F300" s="3"/>
      <c r="G300" s="3"/>
      <c r="H300" s="1494" t="s">
        <v>592</v>
      </c>
      <c r="I300" s="1494"/>
      <c r="J300" s="1494"/>
      <c r="K300" s="1494"/>
      <c r="L300" s="1494"/>
      <c r="M300" s="1494"/>
      <c r="N300" s="4"/>
      <c r="O300" s="4"/>
      <c r="P300" s="35"/>
      <c r="Q300" s="35"/>
      <c r="R300" s="35"/>
      <c r="S300" s="3"/>
      <c r="T300" s="3" t="s">
        <v>89</v>
      </c>
      <c r="V300" s="3"/>
      <c r="W300" s="3"/>
      <c r="X300" s="3"/>
      <c r="Y300" s="3"/>
      <c r="AA300" s="1494" t="s">
        <v>592</v>
      </c>
      <c r="AB300" s="1494"/>
      <c r="AC300" s="1494"/>
      <c r="AD300" s="1494"/>
      <c r="AE300" s="1494"/>
      <c r="AF300" s="1494"/>
      <c r="AG300" s="4"/>
      <c r="AH300" s="4"/>
      <c r="AI300" s="35"/>
      <c r="AJ300" s="35"/>
      <c r="AK300" s="35"/>
    </row>
    <row r="301" spans="2:37" ht="12.95" customHeight="1">
      <c r="B301" s="3" t="s">
        <v>76</v>
      </c>
      <c r="C301" s="3"/>
      <c r="D301" s="3"/>
      <c r="E301" s="3"/>
      <c r="F301" s="3"/>
      <c r="G301" s="3"/>
      <c r="H301" s="1332" t="s">
        <v>2659</v>
      </c>
      <c r="I301" s="1332"/>
      <c r="J301" s="1332"/>
      <c r="K301" s="1332"/>
      <c r="L301" s="1332"/>
      <c r="M301" s="1332"/>
      <c r="N301" s="1333"/>
      <c r="O301" s="1333"/>
      <c r="P301" s="1333"/>
      <c r="Q301" s="1333"/>
      <c r="R301" s="1333"/>
      <c r="S301" s="3"/>
      <c r="T301" s="3" t="s">
        <v>76</v>
      </c>
      <c r="V301" s="3"/>
      <c r="W301" s="3"/>
      <c r="X301" s="3"/>
      <c r="Y301" s="3"/>
      <c r="AA301" s="1332" t="s">
        <v>2665</v>
      </c>
      <c r="AB301" s="1332"/>
      <c r="AC301" s="1332"/>
      <c r="AD301" s="1332"/>
      <c r="AE301" s="1332"/>
      <c r="AF301" s="1332"/>
      <c r="AG301" s="1333"/>
      <c r="AH301" s="1333"/>
      <c r="AI301" s="1333"/>
      <c r="AJ301" s="1333"/>
      <c r="AK301" s="1333"/>
    </row>
    <row r="302" spans="2:37" ht="12.95" customHeight="1"/>
    <row r="303" spans="2:37" ht="12.95" customHeight="1">
      <c r="B303" s="3" t="s">
        <v>77</v>
      </c>
      <c r="C303" s="3"/>
      <c r="D303" s="3"/>
      <c r="E303" s="3"/>
      <c r="F303" s="3"/>
      <c r="H303" s="1333" t="s">
        <v>2666</v>
      </c>
      <c r="I303" s="1333"/>
      <c r="J303" s="1333"/>
      <c r="K303" s="1333"/>
      <c r="L303" s="1333"/>
      <c r="M303" s="1333"/>
      <c r="N303" s="1333"/>
      <c r="O303" s="1333"/>
      <c r="P303" s="1333"/>
      <c r="Q303" s="1333"/>
      <c r="R303" s="1333"/>
      <c r="T303" s="4" t="s">
        <v>879</v>
      </c>
      <c r="V303" s="3"/>
      <c r="W303" s="3"/>
      <c r="X303" s="3"/>
      <c r="Y303" s="3"/>
      <c r="AA303" s="1333" t="s">
        <v>2672</v>
      </c>
      <c r="AB303" s="1333"/>
      <c r="AC303" s="1333"/>
      <c r="AD303" s="1333"/>
      <c r="AE303" s="1333"/>
      <c r="AF303" s="1333"/>
      <c r="AG303" s="1333"/>
      <c r="AH303" s="1333"/>
      <c r="AI303" s="1333"/>
      <c r="AJ303" s="1333"/>
      <c r="AK303" s="1333"/>
    </row>
    <row r="304" spans="2:37" ht="12.95" customHeight="1">
      <c r="B304" s="3" t="s">
        <v>472</v>
      </c>
      <c r="C304" s="3"/>
      <c r="D304" s="3"/>
      <c r="E304" s="3"/>
      <c r="F304" s="3"/>
      <c r="H304" s="1332" t="s">
        <v>2667</v>
      </c>
      <c r="I304" s="1332"/>
      <c r="J304" s="1332"/>
      <c r="K304" s="1332"/>
      <c r="L304" s="1332"/>
      <c r="M304" s="1332"/>
      <c r="N304" s="1332"/>
      <c r="O304" s="1332"/>
      <c r="P304" s="1332"/>
      <c r="Q304" s="1332"/>
      <c r="R304" s="1332"/>
      <c r="T304" s="3" t="s">
        <v>472</v>
      </c>
      <c r="V304" s="3"/>
      <c r="W304" s="3"/>
      <c r="X304" s="3"/>
      <c r="Y304" s="3"/>
      <c r="AA304" s="1332" t="s">
        <v>2673</v>
      </c>
      <c r="AB304" s="1332"/>
      <c r="AC304" s="1332"/>
      <c r="AD304" s="1332"/>
      <c r="AE304" s="1332"/>
      <c r="AF304" s="1332"/>
      <c r="AG304" s="1332"/>
      <c r="AH304" s="1332"/>
      <c r="AI304" s="1332"/>
      <c r="AJ304" s="1332"/>
      <c r="AK304" s="1332"/>
    </row>
    <row r="305" spans="2:37" ht="12.95" customHeight="1">
      <c r="B305" s="3" t="s">
        <v>473</v>
      </c>
      <c r="C305" s="3"/>
      <c r="D305" s="3"/>
      <c r="E305" s="3"/>
      <c r="F305" s="3"/>
      <c r="H305" s="1332" t="s">
        <v>2668</v>
      </c>
      <c r="I305" s="1332"/>
      <c r="J305" s="1332"/>
      <c r="K305" s="1332"/>
      <c r="L305" s="1332"/>
      <c r="M305" s="1332"/>
      <c r="N305" s="1332"/>
      <c r="O305" s="1332"/>
      <c r="P305" s="1332"/>
      <c r="Q305" s="1332"/>
      <c r="R305" s="1332"/>
      <c r="T305" s="3" t="s">
        <v>75</v>
      </c>
      <c r="V305" s="3"/>
      <c r="W305" s="3"/>
      <c r="X305" s="3"/>
      <c r="Y305" s="3"/>
      <c r="AA305" s="1332" t="s">
        <v>2674</v>
      </c>
      <c r="AB305" s="1332"/>
      <c r="AC305" s="1332"/>
      <c r="AD305" s="1332"/>
      <c r="AE305" s="1332"/>
      <c r="AF305" s="1332"/>
      <c r="AG305" s="1332"/>
      <c r="AH305" s="1332"/>
      <c r="AI305" s="1332"/>
      <c r="AJ305" s="1332"/>
      <c r="AK305" s="1332"/>
    </row>
    <row r="306" spans="2:37" ht="12.95" customHeight="1">
      <c r="B306" s="3" t="s">
        <v>87</v>
      </c>
      <c r="C306" s="3"/>
      <c r="D306" s="3"/>
      <c r="E306" s="3"/>
      <c r="F306" s="3"/>
      <c r="H306" s="1332" t="s">
        <v>2669</v>
      </c>
      <c r="I306" s="1332"/>
      <c r="J306" s="1332"/>
      <c r="K306" s="1332"/>
      <c r="L306" s="1332"/>
      <c r="M306" s="1332"/>
      <c r="N306" s="1332"/>
      <c r="O306" s="1332"/>
      <c r="P306" s="1332"/>
      <c r="Q306" s="1332"/>
      <c r="R306" s="1332"/>
      <c r="T306" s="3" t="s">
        <v>87</v>
      </c>
      <c r="V306" s="3"/>
      <c r="W306" s="3"/>
      <c r="X306" s="3"/>
      <c r="Y306" s="3"/>
      <c r="AA306" s="1332" t="s">
        <v>2675</v>
      </c>
      <c r="AB306" s="1332"/>
      <c r="AC306" s="1332"/>
      <c r="AD306" s="1332"/>
      <c r="AE306" s="1332"/>
      <c r="AF306" s="1332"/>
      <c r="AG306" s="1332"/>
      <c r="AH306" s="1332"/>
      <c r="AI306" s="1332"/>
      <c r="AJ306" s="1332"/>
      <c r="AK306" s="1332"/>
    </row>
    <row r="307" spans="2:37" ht="12.95" customHeight="1">
      <c r="B307" s="3" t="s">
        <v>88</v>
      </c>
      <c r="C307" s="3"/>
      <c r="D307" s="3"/>
      <c r="E307" s="3"/>
      <c r="F307" s="3"/>
      <c r="G307" s="3"/>
      <c r="H307" s="1532" t="s">
        <v>2670</v>
      </c>
      <c r="I307" s="1532"/>
      <c r="J307" s="1532"/>
      <c r="K307" s="1532"/>
      <c r="L307" s="1532"/>
      <c r="M307" s="1532"/>
      <c r="N307" s="4" t="s">
        <v>206</v>
      </c>
      <c r="O307" s="4"/>
      <c r="P307" s="1525"/>
      <c r="Q307" s="1525"/>
      <c r="R307" s="1525"/>
      <c r="S307" s="3"/>
      <c r="T307" s="3" t="s">
        <v>88</v>
      </c>
      <c r="V307" s="3"/>
      <c r="W307" s="3"/>
      <c r="X307" s="3"/>
      <c r="Y307" s="3"/>
      <c r="AA307" s="1532" t="s">
        <v>2676</v>
      </c>
      <c r="AB307" s="1532"/>
      <c r="AC307" s="1532"/>
      <c r="AD307" s="1532"/>
      <c r="AE307" s="1532"/>
      <c r="AF307" s="1532"/>
      <c r="AG307" s="4" t="s">
        <v>206</v>
      </c>
      <c r="AH307" s="4"/>
      <c r="AI307" s="1525"/>
      <c r="AJ307" s="1525"/>
      <c r="AK307" s="1525"/>
    </row>
    <row r="308" spans="2:37" ht="12.95" customHeight="1">
      <c r="B308" s="3" t="s">
        <v>89</v>
      </c>
      <c r="C308" s="3"/>
      <c r="D308" s="3"/>
      <c r="E308" s="3"/>
      <c r="F308" s="3"/>
      <c r="G308" s="3"/>
      <c r="H308" s="1494" t="s">
        <v>592</v>
      </c>
      <c r="I308" s="1494"/>
      <c r="J308" s="1494"/>
      <c r="K308" s="1494"/>
      <c r="L308" s="1494"/>
      <c r="M308" s="1494"/>
      <c r="N308" s="4"/>
      <c r="O308" s="4"/>
      <c r="P308" s="35"/>
      <c r="Q308" s="35"/>
      <c r="R308" s="35"/>
      <c r="S308" s="3"/>
      <c r="T308" s="3" t="s">
        <v>89</v>
      </c>
      <c r="V308" s="3"/>
      <c r="W308" s="3"/>
      <c r="X308" s="3"/>
      <c r="Y308" s="3"/>
      <c r="AA308" s="1494" t="s">
        <v>592</v>
      </c>
      <c r="AB308" s="1494"/>
      <c r="AC308" s="1494"/>
      <c r="AD308" s="1494"/>
      <c r="AE308" s="1494"/>
      <c r="AF308" s="1494"/>
      <c r="AG308" s="4"/>
      <c r="AH308" s="4"/>
      <c r="AI308" s="35"/>
      <c r="AJ308" s="35"/>
      <c r="AK308" s="35"/>
    </row>
    <row r="309" spans="2:37" ht="12.95" customHeight="1">
      <c r="B309" s="3" t="s">
        <v>76</v>
      </c>
      <c r="C309" s="3"/>
      <c r="D309" s="3"/>
      <c r="E309" s="3"/>
      <c r="F309" s="3"/>
      <c r="G309" s="3"/>
      <c r="H309" s="1332" t="s">
        <v>2671</v>
      </c>
      <c r="I309" s="1332"/>
      <c r="J309" s="1332"/>
      <c r="K309" s="1332"/>
      <c r="L309" s="1332"/>
      <c r="M309" s="1332"/>
      <c r="N309" s="1333"/>
      <c r="O309" s="1333"/>
      <c r="P309" s="1333"/>
      <c r="Q309" s="1333"/>
      <c r="R309" s="1333"/>
      <c r="S309" s="3"/>
      <c r="T309" s="3" t="s">
        <v>76</v>
      </c>
      <c r="V309" s="3"/>
      <c r="W309" s="3"/>
      <c r="X309" s="3"/>
      <c r="Y309" s="3"/>
      <c r="AA309" s="1332" t="s">
        <v>2677</v>
      </c>
      <c r="AB309" s="1332"/>
      <c r="AC309" s="1332"/>
      <c r="AD309" s="1332"/>
      <c r="AE309" s="1332"/>
      <c r="AF309" s="1332"/>
      <c r="AG309" s="1333"/>
      <c r="AH309" s="1333"/>
      <c r="AI309" s="1333"/>
      <c r="AJ309" s="1333"/>
      <c r="AK309" s="1333"/>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33" t="s">
        <v>2666</v>
      </c>
      <c r="I311" s="1333"/>
      <c r="J311" s="1333"/>
      <c r="K311" s="1333"/>
      <c r="L311" s="1333"/>
      <c r="M311" s="1333"/>
      <c r="N311" s="1333"/>
      <c r="O311" s="1333"/>
      <c r="P311" s="1333"/>
      <c r="Q311" s="1333"/>
      <c r="R311" s="1333"/>
      <c r="S311" s="3"/>
      <c r="T311" s="3" t="s">
        <v>365</v>
      </c>
      <c r="V311" s="3"/>
      <c r="W311" s="3"/>
      <c r="X311" s="3"/>
      <c r="Y311" s="3"/>
      <c r="AA311" s="1333" t="s">
        <v>2678</v>
      </c>
      <c r="AB311" s="1333"/>
      <c r="AC311" s="1333"/>
      <c r="AD311" s="1333"/>
      <c r="AE311" s="1333"/>
      <c r="AF311" s="1333"/>
      <c r="AG311" s="1333"/>
      <c r="AH311" s="1333"/>
      <c r="AI311" s="1333"/>
      <c r="AJ311" s="1333"/>
      <c r="AK311" s="1333"/>
    </row>
    <row r="312" spans="2:37" ht="12.95" customHeight="1">
      <c r="B312" s="3" t="s">
        <v>472</v>
      </c>
      <c r="C312" s="3"/>
      <c r="D312" s="3"/>
      <c r="E312" s="3"/>
      <c r="F312" s="3"/>
      <c r="H312" s="1332" t="s">
        <v>2667</v>
      </c>
      <c r="I312" s="1332"/>
      <c r="J312" s="1332"/>
      <c r="K312" s="1332"/>
      <c r="L312" s="1332"/>
      <c r="M312" s="1332"/>
      <c r="N312" s="1332"/>
      <c r="O312" s="1332"/>
      <c r="P312" s="1332"/>
      <c r="Q312" s="1332"/>
      <c r="R312" s="1332"/>
      <c r="S312" s="3"/>
      <c r="T312" s="3" t="s">
        <v>472</v>
      </c>
      <c r="V312" s="3"/>
      <c r="W312" s="3"/>
      <c r="X312" s="3"/>
      <c r="Y312" s="3"/>
      <c r="AA312" s="1332" t="s">
        <v>2679</v>
      </c>
      <c r="AB312" s="1332"/>
      <c r="AC312" s="1332"/>
      <c r="AD312" s="1332"/>
      <c r="AE312" s="1332"/>
      <c r="AF312" s="1332"/>
      <c r="AG312" s="1332"/>
      <c r="AH312" s="1332"/>
      <c r="AI312" s="1332"/>
      <c r="AJ312" s="1332"/>
      <c r="AK312" s="1332"/>
    </row>
    <row r="313" spans="2:37" ht="12.95" customHeight="1">
      <c r="B313" s="3" t="s">
        <v>473</v>
      </c>
      <c r="C313" s="3"/>
      <c r="D313" s="3"/>
      <c r="E313" s="3"/>
      <c r="F313" s="3"/>
      <c r="H313" s="1332" t="s">
        <v>2668</v>
      </c>
      <c r="I313" s="1332"/>
      <c r="J313" s="1332"/>
      <c r="K313" s="1332"/>
      <c r="L313" s="1332"/>
      <c r="M313" s="1332"/>
      <c r="N313" s="1332"/>
      <c r="O313" s="1332"/>
      <c r="P313" s="1332"/>
      <c r="Q313" s="1332"/>
      <c r="R313" s="1332"/>
      <c r="S313" s="3"/>
      <c r="T313" s="3" t="s">
        <v>75</v>
      </c>
      <c r="V313" s="3"/>
      <c r="W313" s="3"/>
      <c r="X313" s="3"/>
      <c r="Y313" s="3"/>
      <c r="AA313" s="1332" t="s">
        <v>2680</v>
      </c>
      <c r="AB313" s="1332"/>
      <c r="AC313" s="1332"/>
      <c r="AD313" s="1332"/>
      <c r="AE313" s="1332"/>
      <c r="AF313" s="1332"/>
      <c r="AG313" s="1332"/>
      <c r="AH313" s="1332"/>
      <c r="AI313" s="1332"/>
      <c r="AJ313" s="1332"/>
      <c r="AK313" s="1332"/>
    </row>
    <row r="314" spans="2:37" ht="12.95" customHeight="1">
      <c r="B314" s="3" t="s">
        <v>87</v>
      </c>
      <c r="C314" s="3"/>
      <c r="D314" s="3"/>
      <c r="E314" s="3"/>
      <c r="F314" s="3"/>
      <c r="H314" s="1332" t="s">
        <v>2669</v>
      </c>
      <c r="I314" s="1332"/>
      <c r="J314" s="1332"/>
      <c r="K314" s="1332"/>
      <c r="L314" s="1332"/>
      <c r="M314" s="1332"/>
      <c r="N314" s="1332"/>
      <c r="O314" s="1332"/>
      <c r="P314" s="1332"/>
      <c r="Q314" s="1332"/>
      <c r="R314" s="1332"/>
      <c r="S314" s="3"/>
      <c r="T314" s="3" t="s">
        <v>87</v>
      </c>
      <c r="V314" s="3"/>
      <c r="W314" s="3"/>
      <c r="X314" s="3"/>
      <c r="Y314" s="3"/>
      <c r="AA314" s="1332" t="s">
        <v>2681</v>
      </c>
      <c r="AB314" s="1332"/>
      <c r="AC314" s="1332"/>
      <c r="AD314" s="1332"/>
      <c r="AE314" s="1332"/>
      <c r="AF314" s="1332"/>
      <c r="AG314" s="1332"/>
      <c r="AH314" s="1332"/>
      <c r="AI314" s="1332"/>
      <c r="AJ314" s="1332"/>
      <c r="AK314" s="1332"/>
    </row>
    <row r="315" spans="2:37" ht="12.95" customHeight="1">
      <c r="B315" s="3" t="s">
        <v>88</v>
      </c>
      <c r="C315" s="3"/>
      <c r="D315" s="3"/>
      <c r="E315" s="3"/>
      <c r="F315" s="3"/>
      <c r="G315" s="3"/>
      <c r="H315" s="1532" t="s">
        <v>2670</v>
      </c>
      <c r="I315" s="1532"/>
      <c r="J315" s="1532"/>
      <c r="K315" s="1532"/>
      <c r="L315" s="1532"/>
      <c r="M315" s="1532"/>
      <c r="N315" s="4" t="s">
        <v>206</v>
      </c>
      <c r="O315" s="4"/>
      <c r="P315" s="1525"/>
      <c r="Q315" s="1525"/>
      <c r="R315" s="1525"/>
      <c r="S315" s="3"/>
      <c r="T315" s="3" t="s">
        <v>88</v>
      </c>
      <c r="V315" s="3"/>
      <c r="W315" s="3"/>
      <c r="X315" s="3"/>
      <c r="Y315" s="3"/>
      <c r="AA315" s="1532" t="s">
        <v>2682</v>
      </c>
      <c r="AB315" s="1532"/>
      <c r="AC315" s="1532"/>
      <c r="AD315" s="1532"/>
      <c r="AE315" s="1532"/>
      <c r="AF315" s="1532"/>
      <c r="AG315" s="4" t="s">
        <v>206</v>
      </c>
      <c r="AH315" s="4"/>
      <c r="AI315" s="1525"/>
      <c r="AJ315" s="1525"/>
      <c r="AK315" s="1525"/>
    </row>
    <row r="316" spans="2:37" ht="12.95" customHeight="1">
      <c r="B316" s="3" t="s">
        <v>89</v>
      </c>
      <c r="C316" s="3"/>
      <c r="D316" s="3"/>
      <c r="E316" s="3"/>
      <c r="F316" s="3"/>
      <c r="G316" s="3"/>
      <c r="H316" s="1494" t="s">
        <v>592</v>
      </c>
      <c r="I316" s="1494"/>
      <c r="J316" s="1494"/>
      <c r="K316" s="1494"/>
      <c r="L316" s="1494"/>
      <c r="M316" s="1494"/>
      <c r="N316" s="4"/>
      <c r="O316" s="4"/>
      <c r="P316" s="35"/>
      <c r="Q316" s="35"/>
      <c r="R316" s="35"/>
      <c r="S316" s="3"/>
      <c r="T316" s="3" t="s">
        <v>89</v>
      </c>
      <c r="V316" s="3"/>
      <c r="W316" s="3"/>
      <c r="X316" s="3"/>
      <c r="Y316" s="3"/>
      <c r="AA316" s="1494" t="s">
        <v>592</v>
      </c>
      <c r="AB316" s="1494"/>
      <c r="AC316" s="1494"/>
      <c r="AD316" s="1494"/>
      <c r="AE316" s="1494"/>
      <c r="AF316" s="1494"/>
      <c r="AG316" s="4"/>
      <c r="AH316" s="4"/>
      <c r="AI316" s="35"/>
      <c r="AJ316" s="35"/>
      <c r="AK316" s="35"/>
    </row>
    <row r="317" spans="2:37" ht="12.95" customHeight="1">
      <c r="B317" s="3" t="s">
        <v>76</v>
      </c>
      <c r="C317" s="3"/>
      <c r="D317" s="3"/>
      <c r="E317" s="3"/>
      <c r="F317" s="3"/>
      <c r="G317" s="3"/>
      <c r="H317" s="1332" t="s">
        <v>2671</v>
      </c>
      <c r="I317" s="1332"/>
      <c r="J317" s="1332"/>
      <c r="K317" s="1332"/>
      <c r="L317" s="1332"/>
      <c r="M317" s="1332"/>
      <c r="N317" s="1333"/>
      <c r="O317" s="1333"/>
      <c r="P317" s="1333"/>
      <c r="Q317" s="1333"/>
      <c r="R317" s="1333"/>
      <c r="S317" s="3"/>
      <c r="T317" s="3" t="s">
        <v>76</v>
      </c>
      <c r="V317" s="3"/>
      <c r="W317" s="3"/>
      <c r="X317" s="3"/>
      <c r="Y317" s="3"/>
      <c r="AA317" s="1332" t="s">
        <v>2683</v>
      </c>
      <c r="AB317" s="1332"/>
      <c r="AC317" s="1332"/>
      <c r="AD317" s="1332"/>
      <c r="AE317" s="1332"/>
      <c r="AF317" s="1332"/>
      <c r="AG317" s="1333"/>
      <c r="AH317" s="1333"/>
      <c r="AI317" s="1333"/>
      <c r="AJ317" s="1333"/>
      <c r="AK317" s="1333"/>
    </row>
    <row r="318" spans="2:37" ht="12.95" customHeight="1"/>
    <row r="319" spans="2:37" ht="12.95" customHeight="1">
      <c r="B319" s="4" t="s">
        <v>909</v>
      </c>
      <c r="C319" s="3"/>
      <c r="D319" s="3"/>
      <c r="E319" s="3"/>
      <c r="F319" s="3"/>
      <c r="H319" s="1333" t="s">
        <v>2777</v>
      </c>
      <c r="I319" s="1333"/>
      <c r="J319" s="1333"/>
      <c r="K319" s="1333"/>
      <c r="L319" s="1333"/>
      <c r="M319" s="1333"/>
      <c r="N319" s="1333"/>
      <c r="O319" s="1333"/>
      <c r="P319" s="1333"/>
      <c r="Q319" s="1333"/>
      <c r="R319" s="1333"/>
      <c r="T319" s="3" t="s">
        <v>366</v>
      </c>
      <c r="V319" s="3"/>
      <c r="W319" s="3"/>
      <c r="X319" s="3"/>
      <c r="Y319" s="3"/>
      <c r="AA319" s="1333" t="s">
        <v>2684</v>
      </c>
      <c r="AB319" s="1333"/>
      <c r="AC319" s="1333"/>
      <c r="AD319" s="1333"/>
      <c r="AE319" s="1333"/>
      <c r="AF319" s="1333"/>
      <c r="AG319" s="1333"/>
      <c r="AH319" s="1333"/>
      <c r="AI319" s="1333"/>
      <c r="AJ319" s="1333"/>
      <c r="AK319" s="1333"/>
    </row>
    <row r="320" spans="2:37" ht="12.95" customHeight="1">
      <c r="B320" s="3" t="s">
        <v>472</v>
      </c>
      <c r="C320" s="3"/>
      <c r="D320" s="3"/>
      <c r="E320" s="3"/>
      <c r="F320" s="3"/>
      <c r="H320" s="1332" t="s">
        <v>2778</v>
      </c>
      <c r="I320" s="1332"/>
      <c r="J320" s="1332"/>
      <c r="K320" s="1332"/>
      <c r="L320" s="1332"/>
      <c r="M320" s="1332"/>
      <c r="N320" s="1332"/>
      <c r="O320" s="1332"/>
      <c r="P320" s="1332"/>
      <c r="Q320" s="1332"/>
      <c r="R320" s="1332"/>
      <c r="T320" s="3" t="s">
        <v>472</v>
      </c>
      <c r="V320" s="3"/>
      <c r="W320" s="3"/>
      <c r="X320" s="3"/>
      <c r="Y320" s="3"/>
      <c r="AA320" s="1332" t="s">
        <v>2685</v>
      </c>
      <c r="AB320" s="1332"/>
      <c r="AC320" s="1332"/>
      <c r="AD320" s="1332"/>
      <c r="AE320" s="1332"/>
      <c r="AF320" s="1332"/>
      <c r="AG320" s="1332"/>
      <c r="AH320" s="1332"/>
      <c r="AI320" s="1332"/>
      <c r="AJ320" s="1332"/>
      <c r="AK320" s="1332"/>
    </row>
    <row r="321" spans="2:37" ht="12.95" customHeight="1">
      <c r="B321" s="3" t="s">
        <v>473</v>
      </c>
      <c r="C321" s="3"/>
      <c r="D321" s="3"/>
      <c r="E321" s="3"/>
      <c r="F321" s="3"/>
      <c r="H321" s="1332" t="s">
        <v>2779</v>
      </c>
      <c r="I321" s="1332"/>
      <c r="J321" s="1332"/>
      <c r="K321" s="1332"/>
      <c r="L321" s="1332"/>
      <c r="M321" s="1332"/>
      <c r="N321" s="1332"/>
      <c r="O321" s="1332"/>
      <c r="P321" s="1332"/>
      <c r="Q321" s="1332"/>
      <c r="R321" s="1332"/>
      <c r="T321" s="3" t="s">
        <v>75</v>
      </c>
      <c r="V321" s="3"/>
      <c r="W321" s="3"/>
      <c r="X321" s="3"/>
      <c r="Y321" s="3"/>
      <c r="AA321" s="1332" t="s">
        <v>2686</v>
      </c>
      <c r="AB321" s="1332"/>
      <c r="AC321" s="1332"/>
      <c r="AD321" s="1332"/>
      <c r="AE321" s="1332"/>
      <c r="AF321" s="1332"/>
      <c r="AG321" s="1332"/>
      <c r="AH321" s="1332"/>
      <c r="AI321" s="1332"/>
      <c r="AJ321" s="1332"/>
      <c r="AK321" s="1332"/>
    </row>
    <row r="322" spans="2:37" ht="12.95" customHeight="1">
      <c r="B322" s="3" t="s">
        <v>87</v>
      </c>
      <c r="C322" s="3"/>
      <c r="D322" s="3"/>
      <c r="E322" s="3"/>
      <c r="F322" s="3"/>
      <c r="H322" s="1332" t="s">
        <v>2780</v>
      </c>
      <c r="I322" s="1332"/>
      <c r="J322" s="1332"/>
      <c r="K322" s="1332"/>
      <c r="L322" s="1332"/>
      <c r="M322" s="1332"/>
      <c r="N322" s="1332"/>
      <c r="O322" s="1332"/>
      <c r="P322" s="1332"/>
      <c r="Q322" s="1332"/>
      <c r="R322" s="1332"/>
      <c r="T322" s="3" t="s">
        <v>87</v>
      </c>
      <c r="V322" s="3"/>
      <c r="W322" s="3"/>
      <c r="X322" s="3"/>
      <c r="Y322" s="3"/>
      <c r="AA322" s="1332" t="s">
        <v>2687</v>
      </c>
      <c r="AB322" s="1332"/>
      <c r="AC322" s="1332"/>
      <c r="AD322" s="1332"/>
      <c r="AE322" s="1332"/>
      <c r="AF322" s="1332"/>
      <c r="AG322" s="1332"/>
      <c r="AH322" s="1332"/>
      <c r="AI322" s="1332"/>
      <c r="AJ322" s="1332"/>
      <c r="AK322" s="1332"/>
    </row>
    <row r="323" spans="2:37" ht="12.95" customHeight="1">
      <c r="B323" s="3" t="s">
        <v>88</v>
      </c>
      <c r="C323" s="3"/>
      <c r="D323" s="3"/>
      <c r="E323" s="3"/>
      <c r="F323" s="3"/>
      <c r="G323" s="3"/>
      <c r="H323" s="1532" t="s">
        <v>2781</v>
      </c>
      <c r="I323" s="1532"/>
      <c r="J323" s="1532"/>
      <c r="K323" s="1532"/>
      <c r="L323" s="1532"/>
      <c r="M323" s="1532"/>
      <c r="N323" s="4" t="s">
        <v>206</v>
      </c>
      <c r="O323" s="4"/>
      <c r="P323" s="1525"/>
      <c r="Q323" s="1525"/>
      <c r="R323" s="1525"/>
      <c r="S323" s="3"/>
      <c r="T323" s="3" t="s">
        <v>88</v>
      </c>
      <c r="V323" s="3"/>
      <c r="W323" s="3"/>
      <c r="X323" s="3"/>
      <c r="Y323" s="3"/>
      <c r="AA323" s="1532" t="s">
        <v>2688</v>
      </c>
      <c r="AB323" s="1532"/>
      <c r="AC323" s="1532"/>
      <c r="AD323" s="1532"/>
      <c r="AE323" s="1532"/>
      <c r="AF323" s="1532"/>
      <c r="AG323" s="4" t="s">
        <v>206</v>
      </c>
      <c r="AH323" s="4"/>
      <c r="AI323" s="1525"/>
      <c r="AJ323" s="1525"/>
      <c r="AK323" s="1525"/>
    </row>
    <row r="324" spans="2:37" ht="12.95" customHeight="1">
      <c r="B324" s="3" t="s">
        <v>89</v>
      </c>
      <c r="C324" s="3"/>
      <c r="D324" s="3"/>
      <c r="E324" s="3"/>
      <c r="F324" s="3"/>
      <c r="G324" s="3"/>
      <c r="H324" s="1494" t="s">
        <v>592</v>
      </c>
      <c r="I324" s="1494"/>
      <c r="J324" s="1494"/>
      <c r="K324" s="1494"/>
      <c r="L324" s="1494"/>
      <c r="M324" s="1494"/>
      <c r="N324" s="4"/>
      <c r="O324" s="4"/>
      <c r="P324" s="35"/>
      <c r="Q324" s="35"/>
      <c r="R324" s="35"/>
      <c r="S324" s="3"/>
      <c r="T324" s="3" t="s">
        <v>89</v>
      </c>
      <c r="V324" s="3"/>
      <c r="W324" s="3"/>
      <c r="X324" s="3"/>
      <c r="Y324" s="3"/>
      <c r="AA324" s="1494" t="s">
        <v>592</v>
      </c>
      <c r="AB324" s="1494"/>
      <c r="AC324" s="1494"/>
      <c r="AD324" s="1494"/>
      <c r="AE324" s="1494"/>
      <c r="AF324" s="1494"/>
      <c r="AG324" s="4"/>
      <c r="AH324" s="4"/>
      <c r="AI324" s="35"/>
      <c r="AJ324" s="35"/>
      <c r="AK324" s="35"/>
    </row>
    <row r="325" spans="2:37" ht="12.95" customHeight="1">
      <c r="B325" s="3" t="s">
        <v>76</v>
      </c>
      <c r="C325" s="3"/>
      <c r="D325" s="3"/>
      <c r="E325" s="3"/>
      <c r="F325" s="3"/>
      <c r="G325" s="3"/>
      <c r="H325" s="1332" t="s">
        <v>2782</v>
      </c>
      <c r="I325" s="1332"/>
      <c r="J325" s="1332"/>
      <c r="K325" s="1332"/>
      <c r="L325" s="1332"/>
      <c r="M325" s="1332"/>
      <c r="N325" s="1333"/>
      <c r="O325" s="1333"/>
      <c r="P325" s="1333"/>
      <c r="Q325" s="1333"/>
      <c r="R325" s="1333"/>
      <c r="S325" s="3"/>
      <c r="T325" s="3" t="s">
        <v>76</v>
      </c>
      <c r="V325" s="3"/>
      <c r="W325" s="3"/>
      <c r="X325" s="3"/>
      <c r="Y325" s="3"/>
      <c r="AA325" s="1332" t="s">
        <v>2689</v>
      </c>
      <c r="AB325" s="1332"/>
      <c r="AC325" s="1332"/>
      <c r="AD325" s="1332"/>
      <c r="AE325" s="1332"/>
      <c r="AF325" s="1332"/>
      <c r="AG325" s="1333"/>
      <c r="AH325" s="1333"/>
      <c r="AI325" s="1333"/>
      <c r="AJ325" s="1333"/>
      <c r="AK325" s="1333"/>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33" t="s">
        <v>2690</v>
      </c>
      <c r="I327" s="1333"/>
      <c r="J327" s="1333"/>
      <c r="K327" s="1333"/>
      <c r="L327" s="1333"/>
      <c r="M327" s="1333"/>
      <c r="N327" s="1333"/>
      <c r="O327" s="1333"/>
      <c r="P327" s="1333"/>
      <c r="Q327" s="1333"/>
      <c r="R327" s="1333"/>
      <c r="T327" s="3" t="s">
        <v>368</v>
      </c>
      <c r="V327" s="3"/>
      <c r="W327" s="3"/>
      <c r="X327" s="3"/>
      <c r="Y327" s="3"/>
      <c r="AA327" s="1333" t="s">
        <v>2690</v>
      </c>
      <c r="AB327" s="1333"/>
      <c r="AC327" s="1333"/>
      <c r="AD327" s="1333"/>
      <c r="AE327" s="1333"/>
      <c r="AF327" s="1333"/>
      <c r="AG327" s="1333"/>
      <c r="AH327" s="1333"/>
      <c r="AI327" s="1333"/>
      <c r="AJ327" s="1333"/>
      <c r="AK327" s="1333"/>
    </row>
    <row r="328" spans="2:37" ht="12.95" customHeight="1">
      <c r="B328" s="3" t="s">
        <v>472</v>
      </c>
      <c r="C328" s="3"/>
      <c r="D328" s="3"/>
      <c r="E328" s="3"/>
      <c r="F328" s="3"/>
      <c r="H328" s="1332" t="s">
        <v>2691</v>
      </c>
      <c r="I328" s="1332"/>
      <c r="J328" s="1332"/>
      <c r="K328" s="1332"/>
      <c r="L328" s="1332"/>
      <c r="M328" s="1332"/>
      <c r="N328" s="1332"/>
      <c r="O328" s="1332"/>
      <c r="P328" s="1332"/>
      <c r="Q328" s="1332"/>
      <c r="R328" s="1332"/>
      <c r="T328" s="3" t="s">
        <v>472</v>
      </c>
      <c r="V328" s="3"/>
      <c r="W328" s="3"/>
      <c r="X328" s="3"/>
      <c r="Y328" s="3"/>
      <c r="AA328" s="1332" t="s">
        <v>2697</v>
      </c>
      <c r="AB328" s="1332"/>
      <c r="AC328" s="1332"/>
      <c r="AD328" s="1332"/>
      <c r="AE328" s="1332"/>
      <c r="AF328" s="1332"/>
      <c r="AG328" s="1332"/>
      <c r="AH328" s="1332"/>
      <c r="AI328" s="1332"/>
      <c r="AJ328" s="1332"/>
      <c r="AK328" s="1332"/>
    </row>
    <row r="329" spans="2:37" ht="12.95" customHeight="1">
      <c r="B329" s="3" t="s">
        <v>473</v>
      </c>
      <c r="C329" s="3"/>
      <c r="D329" s="3"/>
      <c r="E329" s="3"/>
      <c r="F329" s="3"/>
      <c r="H329" s="1332" t="s">
        <v>2692</v>
      </c>
      <c r="I329" s="1332"/>
      <c r="J329" s="1332"/>
      <c r="K329" s="1332"/>
      <c r="L329" s="1332"/>
      <c r="M329" s="1332"/>
      <c r="N329" s="1332"/>
      <c r="O329" s="1332"/>
      <c r="P329" s="1332"/>
      <c r="Q329" s="1332"/>
      <c r="R329" s="1332"/>
      <c r="T329" s="3" t="s">
        <v>75</v>
      </c>
      <c r="V329" s="3"/>
      <c r="W329" s="3"/>
      <c r="X329" s="3"/>
      <c r="Y329" s="3"/>
      <c r="AA329" s="1332" t="s">
        <v>2692</v>
      </c>
      <c r="AB329" s="1332"/>
      <c r="AC329" s="1332"/>
      <c r="AD329" s="1332"/>
      <c r="AE329" s="1332"/>
      <c r="AF329" s="1332"/>
      <c r="AG329" s="1332"/>
      <c r="AH329" s="1332"/>
      <c r="AI329" s="1332"/>
      <c r="AJ329" s="1332"/>
      <c r="AK329" s="1332"/>
    </row>
    <row r="330" spans="2:37" ht="12.95" customHeight="1">
      <c r="B330" s="3" t="s">
        <v>87</v>
      </c>
      <c r="C330" s="3"/>
      <c r="D330" s="3"/>
      <c r="E330" s="3"/>
      <c r="F330" s="3"/>
      <c r="H330" s="1332" t="s">
        <v>2693</v>
      </c>
      <c r="I330" s="1332"/>
      <c r="J330" s="1332"/>
      <c r="K330" s="1332"/>
      <c r="L330" s="1332"/>
      <c r="M330" s="1332"/>
      <c r="N330" s="1332"/>
      <c r="O330" s="1332"/>
      <c r="P330" s="1332"/>
      <c r="Q330" s="1332"/>
      <c r="R330" s="1332"/>
      <c r="T330" s="3" t="s">
        <v>87</v>
      </c>
      <c r="V330" s="3"/>
      <c r="W330" s="3"/>
      <c r="X330" s="3"/>
      <c r="Y330" s="3"/>
      <c r="AA330" s="1332" t="s">
        <v>2698</v>
      </c>
      <c r="AB330" s="1332"/>
      <c r="AC330" s="1332"/>
      <c r="AD330" s="1332"/>
      <c r="AE330" s="1332"/>
      <c r="AF330" s="1332"/>
      <c r="AG330" s="1332"/>
      <c r="AH330" s="1332"/>
      <c r="AI330" s="1332"/>
      <c r="AJ330" s="1332"/>
      <c r="AK330" s="1332"/>
    </row>
    <row r="331" spans="2:37" ht="12.95" customHeight="1">
      <c r="B331" s="3" t="s">
        <v>88</v>
      </c>
      <c r="C331" s="3"/>
      <c r="D331" s="3"/>
      <c r="E331" s="3"/>
      <c r="F331" s="3"/>
      <c r="G331" s="3"/>
      <c r="H331" s="1532" t="s">
        <v>2694</v>
      </c>
      <c r="I331" s="1532"/>
      <c r="J331" s="1532"/>
      <c r="K331" s="1532"/>
      <c r="L331" s="1532"/>
      <c r="M331" s="1532"/>
      <c r="N331" s="4" t="s">
        <v>206</v>
      </c>
      <c r="O331" s="4"/>
      <c r="P331" s="1525"/>
      <c r="Q331" s="1525"/>
      <c r="R331" s="1525"/>
      <c r="S331" s="3"/>
      <c r="T331" s="3" t="s">
        <v>88</v>
      </c>
      <c r="V331" s="3"/>
      <c r="W331" s="3"/>
      <c r="X331" s="3"/>
      <c r="Y331" s="3"/>
      <c r="AA331" s="1334" t="s">
        <v>2694</v>
      </c>
      <c r="AB331" s="1532"/>
      <c r="AC331" s="1532"/>
      <c r="AD331" s="1532"/>
      <c r="AE331" s="1532"/>
      <c r="AF331" s="1532"/>
      <c r="AG331" s="4" t="s">
        <v>206</v>
      </c>
      <c r="AH331" s="4"/>
      <c r="AI331" s="1525"/>
      <c r="AJ331" s="1525"/>
      <c r="AK331" s="1525"/>
    </row>
    <row r="332" spans="2:37" ht="12.95" customHeight="1">
      <c r="B332" s="3" t="s">
        <v>89</v>
      </c>
      <c r="C332" s="3"/>
      <c r="D332" s="3"/>
      <c r="E332" s="3"/>
      <c r="F332" s="3"/>
      <c r="G332" s="3"/>
      <c r="H332" s="1494" t="s">
        <v>592</v>
      </c>
      <c r="I332" s="1494"/>
      <c r="J332" s="1494"/>
      <c r="K332" s="1494"/>
      <c r="L332" s="1494"/>
      <c r="M332" s="1494"/>
      <c r="N332" s="4"/>
      <c r="O332" s="4"/>
      <c r="P332" s="35"/>
      <c r="Q332" s="35"/>
      <c r="R332" s="35"/>
      <c r="S332" s="3"/>
      <c r="T332" s="3" t="s">
        <v>89</v>
      </c>
      <c r="V332" s="3"/>
      <c r="W332" s="3"/>
      <c r="X332" s="3"/>
      <c r="Y332" s="3"/>
      <c r="AA332" s="1494" t="s">
        <v>592</v>
      </c>
      <c r="AB332" s="1494"/>
      <c r="AC332" s="1494"/>
      <c r="AD332" s="1494"/>
      <c r="AE332" s="1494"/>
      <c r="AF332" s="1494"/>
      <c r="AG332" s="4"/>
      <c r="AH332" s="4"/>
      <c r="AI332" s="35"/>
      <c r="AJ332" s="35"/>
      <c r="AK332" s="35"/>
    </row>
    <row r="333" spans="2:37" ht="12.95" customHeight="1">
      <c r="B333" s="3" t="s">
        <v>76</v>
      </c>
      <c r="C333" s="3"/>
      <c r="D333" s="3"/>
      <c r="E333" s="3"/>
      <c r="F333" s="3"/>
      <c r="G333" s="3"/>
      <c r="H333" s="1332" t="s">
        <v>2695</v>
      </c>
      <c r="I333" s="1332"/>
      <c r="J333" s="1332"/>
      <c r="K333" s="1332"/>
      <c r="L333" s="1332"/>
      <c r="M333" s="1332"/>
      <c r="N333" s="1333"/>
      <c r="O333" s="1333"/>
      <c r="P333" s="1333"/>
      <c r="Q333" s="1333"/>
      <c r="R333" s="1333"/>
      <c r="S333" s="3"/>
      <c r="T333" s="3" t="s">
        <v>76</v>
      </c>
      <c r="V333" s="3"/>
      <c r="W333" s="3"/>
      <c r="X333" s="3"/>
      <c r="Y333" s="3"/>
      <c r="AA333" s="1332" t="s">
        <v>2699</v>
      </c>
      <c r="AB333" s="1332"/>
      <c r="AC333" s="1332"/>
      <c r="AD333" s="1332"/>
      <c r="AE333" s="1332"/>
      <c r="AF333" s="1332"/>
      <c r="AG333" s="1333"/>
      <c r="AH333" s="1333"/>
      <c r="AI333" s="1333"/>
      <c r="AJ333" s="1333"/>
      <c r="AK333" s="1333"/>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33" t="s">
        <v>2783</v>
      </c>
      <c r="I335" s="1333"/>
      <c r="J335" s="1333"/>
      <c r="K335" s="1333"/>
      <c r="L335" s="1333"/>
      <c r="M335" s="1333"/>
      <c r="N335" s="1333"/>
      <c r="O335" s="1333"/>
      <c r="P335" s="1333"/>
      <c r="Q335" s="1333"/>
      <c r="R335" s="1333"/>
      <c r="T335" s="204" t="s">
        <v>887</v>
      </c>
      <c r="V335" s="3"/>
      <c r="W335" s="3"/>
      <c r="X335" s="3"/>
      <c r="Y335" s="3"/>
      <c r="AA335" s="1333" t="s">
        <v>2696</v>
      </c>
      <c r="AB335" s="1333"/>
      <c r="AC335" s="1333"/>
      <c r="AD335" s="1333"/>
      <c r="AE335" s="1333"/>
      <c r="AF335" s="1333"/>
      <c r="AG335" s="1333"/>
      <c r="AH335" s="1333"/>
      <c r="AI335" s="1333"/>
      <c r="AJ335" s="1333"/>
      <c r="AK335" s="1333"/>
    </row>
    <row r="336" spans="2:37" ht="12.95" customHeight="1">
      <c r="B336" s="3" t="s">
        <v>472</v>
      </c>
      <c r="C336" s="3"/>
      <c r="D336" s="3"/>
      <c r="E336" s="3"/>
      <c r="F336" s="3"/>
      <c r="H336" s="1332" t="s">
        <v>2784</v>
      </c>
      <c r="I336" s="1332"/>
      <c r="J336" s="1332"/>
      <c r="K336" s="1332"/>
      <c r="L336" s="1332"/>
      <c r="M336" s="1332"/>
      <c r="N336" s="1332"/>
      <c r="O336" s="1332"/>
      <c r="P336" s="1332"/>
      <c r="Q336" s="1332"/>
      <c r="R336" s="1332"/>
      <c r="T336" s="3" t="s">
        <v>472</v>
      </c>
      <c r="V336" s="3"/>
      <c r="W336" s="3"/>
      <c r="X336" s="3"/>
      <c r="Y336" s="3"/>
      <c r="AA336" s="1332" t="s">
        <v>2622</v>
      </c>
      <c r="AB336" s="1332"/>
      <c r="AC336" s="1332"/>
      <c r="AD336" s="1332"/>
      <c r="AE336" s="1332"/>
      <c r="AF336" s="1332"/>
      <c r="AG336" s="1332"/>
      <c r="AH336" s="1332"/>
      <c r="AI336" s="1332"/>
      <c r="AJ336" s="1332"/>
      <c r="AK336" s="1332"/>
    </row>
    <row r="337" spans="1:66" ht="12.95" customHeight="1">
      <c r="B337" s="3" t="s">
        <v>75</v>
      </c>
      <c r="C337" s="3"/>
      <c r="D337" s="3"/>
      <c r="E337" s="3"/>
      <c r="F337" s="3"/>
      <c r="H337" s="1332" t="s">
        <v>2785</v>
      </c>
      <c r="I337" s="1332"/>
      <c r="J337" s="1332"/>
      <c r="K337" s="1332"/>
      <c r="L337" s="1332"/>
      <c r="M337" s="1332"/>
      <c r="N337" s="1332"/>
      <c r="O337" s="1332"/>
      <c r="P337" s="1332"/>
      <c r="Q337" s="1332"/>
      <c r="R337" s="1332"/>
      <c r="T337" s="3" t="s">
        <v>75</v>
      </c>
      <c r="V337" s="3"/>
      <c r="W337" s="3"/>
      <c r="X337" s="3"/>
      <c r="Y337" s="3"/>
      <c r="AA337" s="1332" t="s">
        <v>2648</v>
      </c>
      <c r="AB337" s="1332"/>
      <c r="AC337" s="1332"/>
      <c r="AD337" s="1332"/>
      <c r="AE337" s="1332"/>
      <c r="AF337" s="1332"/>
      <c r="AG337" s="1332"/>
      <c r="AH337" s="1332"/>
      <c r="AI337" s="1332"/>
      <c r="AJ337" s="1332"/>
      <c r="AK337" s="1332"/>
    </row>
    <row r="338" spans="1:66" ht="12.95" customHeight="1">
      <c r="B338" s="3" t="s">
        <v>87</v>
      </c>
      <c r="C338" s="3"/>
      <c r="D338" s="3"/>
      <c r="E338" s="3"/>
      <c r="F338" s="3"/>
      <c r="G338" s="3"/>
      <c r="H338" s="1332" t="s">
        <v>2786</v>
      </c>
      <c r="I338" s="1332"/>
      <c r="J338" s="1332"/>
      <c r="K338" s="1332"/>
      <c r="L338" s="1332"/>
      <c r="M338" s="1332"/>
      <c r="N338" s="1332"/>
      <c r="O338" s="1332"/>
      <c r="P338" s="1332"/>
      <c r="Q338" s="1332"/>
      <c r="R338" s="1332"/>
      <c r="T338" s="3" t="s">
        <v>87</v>
      </c>
      <c r="V338" s="3"/>
      <c r="W338" s="3"/>
      <c r="X338" s="3"/>
      <c r="Y338" s="3"/>
      <c r="AA338" s="1332" t="s">
        <v>2624</v>
      </c>
      <c r="AB338" s="1332"/>
      <c r="AC338" s="1332"/>
      <c r="AD338" s="1332"/>
      <c r="AE338" s="1332"/>
      <c r="AF338" s="1332"/>
      <c r="AG338" s="1332"/>
      <c r="AH338" s="1332"/>
      <c r="AI338" s="1332"/>
      <c r="AJ338" s="1332"/>
      <c r="AK338" s="1332"/>
    </row>
    <row r="339" spans="1:66" ht="12.95" customHeight="1">
      <c r="B339" s="3" t="s">
        <v>88</v>
      </c>
      <c r="C339" s="3"/>
      <c r="D339" s="3"/>
      <c r="E339" s="3"/>
      <c r="F339" s="3"/>
      <c r="G339" s="3"/>
      <c r="H339" s="1334" t="s">
        <v>2787</v>
      </c>
      <c r="I339" s="1334"/>
      <c r="J339" s="1334"/>
      <c r="K339" s="1334"/>
      <c r="L339" s="1334"/>
      <c r="M339" s="1334"/>
      <c r="N339" s="4" t="s">
        <v>206</v>
      </c>
      <c r="O339" s="4"/>
      <c r="P339" s="1525"/>
      <c r="Q339" s="1525"/>
      <c r="R339" s="1525"/>
      <c r="S339" s="3"/>
      <c r="T339" s="3" t="s">
        <v>88</v>
      </c>
      <c r="V339" s="3"/>
      <c r="W339" s="3"/>
      <c r="X339" s="3"/>
      <c r="Y339" s="3"/>
      <c r="AA339" s="1334" t="s">
        <v>2625</v>
      </c>
      <c r="AB339" s="1532"/>
      <c r="AC339" s="1532"/>
      <c r="AD339" s="1532"/>
      <c r="AE339" s="1532"/>
      <c r="AF339" s="1532"/>
      <c r="AG339" s="4" t="s">
        <v>206</v>
      </c>
      <c r="AH339" s="4"/>
      <c r="AI339" s="1525"/>
      <c r="AJ339" s="1525"/>
      <c r="AK339" s="1525"/>
    </row>
    <row r="340" spans="1:66" ht="12.95" customHeight="1">
      <c r="B340" s="3" t="s">
        <v>89</v>
      </c>
      <c r="C340" s="3"/>
      <c r="D340" s="3"/>
      <c r="E340" s="3"/>
      <c r="F340" s="3"/>
      <c r="G340" s="3"/>
      <c r="H340" s="1531" t="s">
        <v>592</v>
      </c>
      <c r="I340" s="1494"/>
      <c r="J340" s="1494"/>
      <c r="K340" s="1494"/>
      <c r="L340" s="1494"/>
      <c r="M340" s="1494"/>
      <c r="N340" s="4"/>
      <c r="O340" s="4"/>
      <c r="P340" s="35"/>
      <c r="Q340" s="35"/>
      <c r="R340" s="35"/>
      <c r="S340" s="3"/>
      <c r="T340" s="3" t="s">
        <v>89</v>
      </c>
      <c r="V340" s="3"/>
      <c r="W340" s="3"/>
      <c r="X340" s="3"/>
      <c r="Y340" s="3"/>
      <c r="AA340" s="1531" t="s">
        <v>592</v>
      </c>
      <c r="AB340" s="1494"/>
      <c r="AC340" s="1494"/>
      <c r="AD340" s="1494"/>
      <c r="AE340" s="1494"/>
      <c r="AF340" s="1494"/>
      <c r="AG340" s="4"/>
      <c r="AH340" s="4"/>
      <c r="AI340" s="35"/>
      <c r="AJ340" s="35"/>
      <c r="AK340" s="35"/>
    </row>
    <row r="341" spans="1:66" ht="12.95" customHeight="1">
      <c r="B341" s="3" t="s">
        <v>76</v>
      </c>
      <c r="C341" s="3"/>
      <c r="D341" s="3"/>
      <c r="E341" s="3"/>
      <c r="F341" s="3"/>
      <c r="G341" s="3"/>
      <c r="H341" s="1332" t="s">
        <v>2788</v>
      </c>
      <c r="I341" s="1332"/>
      <c r="J341" s="1332"/>
      <c r="K341" s="1332"/>
      <c r="L341" s="1332"/>
      <c r="M341" s="1332"/>
      <c r="N341" s="1333"/>
      <c r="O341" s="1333"/>
      <c r="P341" s="1333"/>
      <c r="Q341" s="1333"/>
      <c r="R341" s="1333"/>
      <c r="S341" s="3"/>
      <c r="T341" s="3" t="s">
        <v>76</v>
      </c>
      <c r="V341" s="3"/>
      <c r="W341" s="3"/>
      <c r="X341" s="3"/>
      <c r="Y341" s="3"/>
      <c r="AA341" s="1332" t="s">
        <v>2626</v>
      </c>
      <c r="AB341" s="1332"/>
      <c r="AC341" s="1332"/>
      <c r="AD341" s="1332"/>
      <c r="AE341" s="1332"/>
      <c r="AF341" s="1332"/>
      <c r="AG341" s="1333"/>
      <c r="AH341" s="1333"/>
      <c r="AI341" s="1333"/>
      <c r="AJ341" s="1333"/>
      <c r="AK341" s="1333"/>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33" t="s">
        <v>592</v>
      </c>
      <c r="Q343" s="1333"/>
      <c r="R343" s="1333"/>
      <c r="S343" s="1333"/>
      <c r="T343" s="1333"/>
      <c r="U343" s="1333"/>
      <c r="V343" s="1333"/>
      <c r="W343" s="1333"/>
      <c r="X343" s="1333"/>
      <c r="Y343" s="1333"/>
      <c r="Z343" s="1333"/>
      <c r="AA343" s="1333"/>
      <c r="AB343" s="1333"/>
      <c r="AC343" s="1333"/>
      <c r="AD343" s="1333"/>
      <c r="AE343" s="1333"/>
      <c r="BN343" t="s">
        <v>670</v>
      </c>
    </row>
    <row r="344" spans="1:66" ht="12.95" customHeight="1">
      <c r="B344" s="4"/>
      <c r="C344" s="4"/>
      <c r="D344" s="4"/>
      <c r="E344" s="4"/>
      <c r="F344" s="4"/>
      <c r="I344" s="4" t="s">
        <v>472</v>
      </c>
      <c r="P344" s="1332"/>
      <c r="Q344" s="1332"/>
      <c r="R344" s="1332"/>
      <c r="S344" s="1332"/>
      <c r="T344" s="1332"/>
      <c r="U344" s="1332"/>
      <c r="V344" s="1332"/>
      <c r="W344" s="1332"/>
      <c r="X344" s="1332"/>
      <c r="Y344" s="1332"/>
      <c r="Z344" s="1332"/>
      <c r="AA344" s="1332"/>
      <c r="AB344" s="1332"/>
      <c r="AC344" s="1332"/>
      <c r="AD344" s="1332"/>
      <c r="AE344" s="1332"/>
      <c r="BN344" t="s">
        <v>546</v>
      </c>
    </row>
    <row r="345" spans="1:66" ht="12.95" customHeight="1">
      <c r="B345" s="4"/>
      <c r="C345" s="4"/>
      <c r="D345" s="4"/>
      <c r="E345" s="4"/>
      <c r="F345" s="4"/>
      <c r="I345" s="4" t="s">
        <v>75</v>
      </c>
      <c r="P345" s="1332"/>
      <c r="Q345" s="1332"/>
      <c r="R345" s="1332"/>
      <c r="S345" s="1332"/>
      <c r="T345" s="1332"/>
      <c r="U345" s="1332"/>
      <c r="V345" s="1332"/>
      <c r="W345" s="1332"/>
      <c r="X345" s="1332"/>
      <c r="Y345" s="1332"/>
      <c r="Z345" s="1332"/>
      <c r="AA345" s="1332"/>
      <c r="AB345" s="1332"/>
      <c r="AC345" s="1332"/>
      <c r="AD345" s="1332"/>
      <c r="AE345" s="1332"/>
    </row>
    <row r="346" spans="1:66" ht="12.95" customHeight="1">
      <c r="B346" s="4"/>
      <c r="C346" s="4"/>
      <c r="D346" s="4"/>
      <c r="E346" s="4"/>
      <c r="F346" s="4"/>
      <c r="G346" s="4"/>
      <c r="I346" s="4" t="s">
        <v>87</v>
      </c>
      <c r="P346" s="1332"/>
      <c r="Q346" s="1332"/>
      <c r="R346" s="1332"/>
      <c r="S346" s="1332"/>
      <c r="T346" s="1332"/>
      <c r="U346" s="1332"/>
      <c r="V346" s="1332"/>
      <c r="W346" s="1332"/>
      <c r="X346" s="1332"/>
      <c r="Y346" s="1332"/>
      <c r="Z346" s="1332"/>
      <c r="AA346" s="1332"/>
      <c r="AB346" s="1332"/>
      <c r="AC346" s="1332"/>
      <c r="AD346" s="1332"/>
      <c r="AE346" s="1332"/>
    </row>
    <row r="347" spans="1:66" ht="12.95" customHeight="1">
      <c r="B347" s="4"/>
      <c r="C347" s="4"/>
      <c r="D347" s="4"/>
      <c r="E347" s="4"/>
      <c r="F347" s="4"/>
      <c r="G347" s="4"/>
      <c r="H347" s="302"/>
      <c r="I347" s="4" t="s">
        <v>88</v>
      </c>
      <c r="P347" s="1494"/>
      <c r="Q347" s="1494"/>
      <c r="R347" s="1494"/>
      <c r="S347" s="1494"/>
      <c r="T347" s="1494"/>
      <c r="U347" s="1494"/>
      <c r="V347" s="1494"/>
      <c r="W347" s="1494"/>
      <c r="X347" s="1494"/>
      <c r="Y347" s="1494"/>
      <c r="Z347" s="1494"/>
      <c r="AA347" s="4" t="s">
        <v>206</v>
      </c>
      <c r="AB347" s="4"/>
      <c r="AC347" s="1464"/>
      <c r="AD347" s="1464"/>
      <c r="AE347" s="1464"/>
      <c r="AF347" s="302"/>
      <c r="AG347" s="4"/>
      <c r="AH347" s="4"/>
      <c r="AI347" s="4"/>
      <c r="AJ347" s="4"/>
      <c r="AK347" s="4"/>
    </row>
    <row r="348" spans="1:66" ht="12.95" customHeight="1">
      <c r="B348" s="4"/>
      <c r="C348" s="4"/>
      <c r="D348" s="4"/>
      <c r="E348" s="4"/>
      <c r="F348" s="4"/>
      <c r="G348" s="4"/>
      <c r="H348" s="302"/>
      <c r="I348" s="4" t="s">
        <v>89</v>
      </c>
      <c r="P348" s="1494"/>
      <c r="Q348" s="1494"/>
      <c r="R348" s="1494"/>
      <c r="S348" s="1494"/>
      <c r="T348" s="1494"/>
      <c r="U348" s="1494"/>
      <c r="V348" s="1494"/>
      <c r="W348" s="1494"/>
      <c r="X348" s="1494"/>
      <c r="Y348" s="1494"/>
      <c r="Z348" s="1494"/>
      <c r="AF348" s="302"/>
      <c r="AG348" s="4"/>
      <c r="AH348" s="4"/>
      <c r="AI348" s="35"/>
      <c r="AJ348" s="35"/>
      <c r="AK348" s="35"/>
    </row>
    <row r="349" spans="1:66" ht="12.95" customHeight="1">
      <c r="B349" s="4"/>
      <c r="C349" s="4"/>
      <c r="D349" s="4"/>
      <c r="E349" s="4"/>
      <c r="F349" s="4"/>
      <c r="G349" s="4"/>
      <c r="I349" s="4" t="s">
        <v>76</v>
      </c>
      <c r="P349" s="1333"/>
      <c r="Q349" s="1333"/>
      <c r="R349" s="1333"/>
      <c r="S349" s="1333"/>
      <c r="T349" s="1333"/>
      <c r="U349" s="1333"/>
      <c r="V349" s="1333"/>
      <c r="W349" s="1333"/>
      <c r="X349" s="1333"/>
      <c r="Y349" s="1333"/>
      <c r="Z349" s="1333"/>
      <c r="AA349" s="1333"/>
      <c r="AB349" s="1333"/>
      <c r="AC349" s="1333"/>
      <c r="AD349" s="1333"/>
      <c r="AE349" s="1333"/>
    </row>
    <row r="350" spans="1:66" ht="12.95" customHeight="1">
      <c r="T350" s="8"/>
      <c r="U350" s="8"/>
      <c r="V350" s="8"/>
      <c r="W350" s="8"/>
      <c r="X350" s="8"/>
      <c r="Y350" s="8"/>
      <c r="Z350" s="8"/>
      <c r="AU350" s="95"/>
      <c r="AV350" s="95"/>
      <c r="AW350" s="95"/>
      <c r="AX350" s="95"/>
      <c r="AY350" s="95"/>
    </row>
    <row r="351" spans="1:66" ht="12.95" customHeight="1">
      <c r="A351" s="1536" t="s">
        <v>543</v>
      </c>
      <c r="B351" s="1536"/>
      <c r="C351" s="1536"/>
      <c r="D351" s="1536"/>
      <c r="E351" s="1536"/>
      <c r="F351" s="1536"/>
      <c r="G351" s="1536"/>
      <c r="H351" s="1536"/>
      <c r="I351" s="1536"/>
      <c r="J351" s="1536"/>
      <c r="K351" s="1536"/>
      <c r="L351" s="1536"/>
      <c r="M351" s="1536"/>
      <c r="N351" s="1536"/>
      <c r="O351" s="1536"/>
      <c r="P351" s="1536"/>
      <c r="Q351" s="1536"/>
      <c r="R351" s="1536"/>
      <c r="S351" s="1536"/>
      <c r="T351" s="1536"/>
      <c r="U351" s="1536"/>
      <c r="V351" s="1536"/>
      <c r="W351" s="1536"/>
      <c r="X351" s="1536"/>
      <c r="Y351" s="1536"/>
      <c r="Z351" s="1536"/>
      <c r="AA351" s="1536"/>
      <c r="AB351" s="1536"/>
      <c r="AC351" s="1536"/>
      <c r="AD351" s="1536"/>
      <c r="AE351" s="1536"/>
      <c r="AF351" s="1536"/>
      <c r="AG351" s="1536"/>
      <c r="AH351" s="1536"/>
      <c r="AI351" s="1536"/>
      <c r="AJ351" s="1536"/>
      <c r="AK351" s="1536"/>
      <c r="AL351" s="1536"/>
      <c r="AM351" s="1536"/>
      <c r="AN351" s="1536"/>
      <c r="AO351" s="1536"/>
      <c r="AP351" s="1536"/>
      <c r="AQ351" s="1536"/>
      <c r="AR351" s="1536"/>
      <c r="AS351" s="1536"/>
      <c r="AT351" s="1536"/>
      <c r="AU351" s="95"/>
      <c r="AV351" s="95"/>
      <c r="AW351" s="95"/>
      <c r="AX351" s="95"/>
      <c r="AY351" s="95"/>
    </row>
    <row r="352" spans="1:66" ht="12.95" customHeight="1">
      <c r="A352" s="1536"/>
      <c r="B352" s="1536"/>
      <c r="C352" s="1536"/>
      <c r="D352" s="1536"/>
      <c r="E352" s="1536"/>
      <c r="F352" s="1536"/>
      <c r="G352" s="1536"/>
      <c r="H352" s="1536"/>
      <c r="I352" s="1536"/>
      <c r="J352" s="1536"/>
      <c r="K352" s="1536"/>
      <c r="L352" s="1536"/>
      <c r="M352" s="1536"/>
      <c r="N352" s="1536"/>
      <c r="O352" s="1536"/>
      <c r="P352" s="1536"/>
      <c r="Q352" s="1536"/>
      <c r="R352" s="1536"/>
      <c r="S352" s="1536"/>
      <c r="T352" s="1536"/>
      <c r="U352" s="1536"/>
      <c r="V352" s="1536"/>
      <c r="W352" s="1536"/>
      <c r="X352" s="1536"/>
      <c r="Y352" s="1536"/>
      <c r="Z352" s="1536"/>
      <c r="AA352" s="1536"/>
      <c r="AB352" s="1536"/>
      <c r="AC352" s="1536"/>
      <c r="AD352" s="1536"/>
      <c r="AE352" s="1536"/>
      <c r="AF352" s="1536"/>
      <c r="AG352" s="1536"/>
      <c r="AH352" s="1536"/>
      <c r="AI352" s="1536"/>
      <c r="AJ352" s="1536"/>
      <c r="AK352" s="1536"/>
      <c r="AL352" s="1536"/>
      <c r="AM352" s="1536"/>
      <c r="AN352" s="1536"/>
      <c r="AO352" s="1536"/>
      <c r="AP352" s="1536"/>
      <c r="AQ352" s="1536"/>
      <c r="AR352" s="1536"/>
      <c r="AS352" s="1536"/>
      <c r="AT352" s="153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2099</v>
      </c>
      <c r="M355" s="1433" t="s">
        <v>546</v>
      </c>
      <c r="N355" s="1433"/>
      <c r="P355" t="s">
        <v>1651</v>
      </c>
      <c r="AJ355" s="1433" t="s">
        <v>546</v>
      </c>
      <c r="AK355" s="1433"/>
    </row>
    <row r="356" spans="1:46" ht="12.95" customHeight="1">
      <c r="D356" s="3" t="s">
        <v>1640</v>
      </c>
      <c r="M356" s="1433" t="s">
        <v>592</v>
      </c>
      <c r="N356" s="1433"/>
      <c r="P356" s="3" t="s">
        <v>1720</v>
      </c>
      <c r="AJ356" s="1396">
        <v>8</v>
      </c>
      <c r="AK356" s="1396"/>
    </row>
    <row r="357" spans="1:46" ht="12.95" customHeight="1">
      <c r="D357" s="3" t="s">
        <v>705</v>
      </c>
      <c r="M357" s="1433" t="s">
        <v>592</v>
      </c>
      <c r="N357" s="1433"/>
      <c r="P357" t="s">
        <v>1650</v>
      </c>
      <c r="AJ357" s="1433" t="s">
        <v>546</v>
      </c>
      <c r="AK357" s="1433"/>
    </row>
    <row r="358" spans="1:46" ht="12.95" customHeight="1">
      <c r="D358" s="3" t="s">
        <v>706</v>
      </c>
      <c r="M358" s="1433" t="s">
        <v>546</v>
      </c>
      <c r="N358" s="1433"/>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33" t="s">
        <v>546</v>
      </c>
      <c r="O363" s="1433"/>
      <c r="P363" s="40"/>
      <c r="Q363" s="40"/>
      <c r="R363" s="40"/>
      <c r="S363" s="40"/>
      <c r="T363" s="40"/>
      <c r="U363" s="40"/>
      <c r="V363" s="40"/>
      <c r="W363" s="40"/>
      <c r="X363" s="40"/>
      <c r="Y363" s="40"/>
      <c r="Z363" s="40"/>
      <c r="AC363" s="40"/>
      <c r="AD363" s="40"/>
      <c r="AE363" s="40"/>
    </row>
    <row r="364" spans="1:46" ht="12.95" customHeight="1">
      <c r="E364" t="s">
        <v>370</v>
      </c>
      <c r="Y364" s="1433" t="s">
        <v>592</v>
      </c>
      <c r="Z364" s="1433"/>
    </row>
    <row r="365" spans="1:46" ht="12.95" customHeight="1">
      <c r="D365" s="4" t="s">
        <v>979</v>
      </c>
      <c r="Q365" s="1333" t="s">
        <v>2700</v>
      </c>
      <c r="R365" s="1333"/>
      <c r="S365" s="1333"/>
      <c r="T365" s="1333"/>
      <c r="U365" s="1333"/>
      <c r="V365" s="1333"/>
      <c r="W365" s="1333"/>
      <c r="X365" s="1333"/>
      <c r="Y365" s="1333"/>
      <c r="Z365" s="1333"/>
      <c r="AA365" s="1333"/>
      <c r="AB365" s="1333"/>
      <c r="AC365" s="1333"/>
      <c r="AD365" s="1333"/>
      <c r="AE365" s="1333"/>
      <c r="AF365" s="1333"/>
      <c r="AG365" s="1333"/>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33" t="s">
        <v>546</v>
      </c>
      <c r="K367" s="1433"/>
      <c r="L367" s="40"/>
      <c r="M367" s="40"/>
      <c r="N367" s="40"/>
      <c r="O367" s="40"/>
      <c r="P367" s="40"/>
      <c r="Q367" s="40"/>
      <c r="R367" s="40"/>
      <c r="S367" s="40"/>
      <c r="T367" s="40"/>
      <c r="U367" s="40"/>
      <c r="V367" s="40"/>
      <c r="W367" s="40"/>
      <c r="X367" s="40"/>
      <c r="Y367" s="40"/>
      <c r="Z367" s="40"/>
      <c r="AC367" s="40"/>
      <c r="AD367" s="40"/>
      <c r="AE367" s="40"/>
    </row>
    <row r="368" spans="1:46" ht="12.95" customHeight="1">
      <c r="E368" s="1546" t="s">
        <v>707</v>
      </c>
      <c r="F368" s="1546"/>
      <c r="G368" s="1546"/>
      <c r="H368" s="1546"/>
      <c r="I368" s="1546"/>
      <c r="J368" s="1546"/>
      <c r="K368" s="1546"/>
      <c r="L368" s="1546"/>
      <c r="M368" s="1546"/>
      <c r="N368" s="1546"/>
      <c r="O368" s="1546"/>
      <c r="P368" s="1546"/>
      <c r="Q368" s="1546"/>
      <c r="R368" s="1546"/>
      <c r="S368" s="1546"/>
      <c r="T368" s="1546"/>
      <c r="U368" s="1546"/>
      <c r="V368" s="1546"/>
      <c r="W368" s="1546"/>
      <c r="X368" s="1546"/>
      <c r="Y368" s="1546"/>
      <c r="Z368" s="1546"/>
      <c r="AA368" s="1546"/>
      <c r="AB368" s="1546"/>
      <c r="AC368" s="1546"/>
      <c r="AD368" s="1546"/>
      <c r="AE368" s="1546"/>
      <c r="AF368" s="1546"/>
      <c r="AG368" s="1546"/>
      <c r="AH368" s="1546"/>
    </row>
    <row r="369" spans="1:34" ht="12.95" customHeight="1">
      <c r="E369" s="1546"/>
      <c r="F369" s="1546"/>
      <c r="G369" s="1546"/>
      <c r="H369" s="1546"/>
      <c r="I369" s="1546"/>
      <c r="J369" s="1546"/>
      <c r="K369" s="1546"/>
      <c r="L369" s="1546"/>
      <c r="M369" s="1546"/>
      <c r="N369" s="1546"/>
      <c r="O369" s="1546"/>
      <c r="P369" s="1546"/>
      <c r="Q369" s="1546"/>
      <c r="R369" s="1546"/>
      <c r="S369" s="1546"/>
      <c r="T369" s="1546"/>
      <c r="U369" s="1546"/>
      <c r="V369" s="1546"/>
      <c r="W369" s="1546"/>
      <c r="X369" s="1546"/>
      <c r="Y369" s="1546"/>
      <c r="Z369" s="1546"/>
      <c r="AA369" s="1546"/>
      <c r="AB369" s="1546"/>
      <c r="AC369" s="1546"/>
      <c r="AD369" s="1546"/>
      <c r="AE369" s="1546"/>
      <c r="AF369" s="1546"/>
      <c r="AG369" s="1546"/>
      <c r="AH369" s="1546"/>
    </row>
    <row r="370" spans="1:34" ht="12.95" customHeight="1">
      <c r="E370" s="4" t="s">
        <v>449</v>
      </c>
      <c r="F370" s="4"/>
      <c r="G370" s="4"/>
      <c r="H370" s="4"/>
      <c r="I370" s="4"/>
      <c r="J370" s="4"/>
      <c r="K370" s="4"/>
      <c r="L370" s="4"/>
      <c r="N370" s="1579" t="s">
        <v>2751</v>
      </c>
      <c r="O370" s="1403"/>
      <c r="P370" s="1403"/>
      <c r="Q370" s="1403"/>
      <c r="R370" s="4"/>
      <c r="U370" s="4" t="s">
        <v>450</v>
      </c>
      <c r="V370" s="4"/>
      <c r="W370" s="4"/>
      <c r="X370" s="4"/>
      <c r="Y370" s="4"/>
      <c r="Z370" s="4"/>
      <c r="AA370" s="4"/>
      <c r="AB370" s="4"/>
      <c r="AC370" s="1403">
        <v>41</v>
      </c>
      <c r="AD370" s="1403"/>
      <c r="AE370" s="1403"/>
      <c r="AF370" s="1403"/>
    </row>
    <row r="371" spans="1:34" ht="12.95" customHeight="1">
      <c r="E371" s="4" t="s">
        <v>451</v>
      </c>
      <c r="F371" s="4"/>
      <c r="G371" s="4"/>
      <c r="H371" s="4"/>
      <c r="I371" s="4"/>
      <c r="J371" s="4"/>
      <c r="K371" s="4"/>
      <c r="L371" s="4"/>
      <c r="N371" s="1403">
        <v>37</v>
      </c>
      <c r="O371" s="1403"/>
      <c r="P371" s="1403"/>
      <c r="Q371" s="1403"/>
      <c r="R371" s="4"/>
      <c r="U371" s="4" t="s">
        <v>0</v>
      </c>
      <c r="V371" s="4"/>
      <c r="W371" s="4"/>
      <c r="X371" s="4"/>
      <c r="Y371" s="4"/>
      <c r="Z371" s="4"/>
      <c r="AA371" s="4"/>
      <c r="AB371" s="4"/>
      <c r="AC371" s="1403">
        <v>106</v>
      </c>
      <c r="AD371" s="1403"/>
      <c r="AE371" s="1403"/>
      <c r="AF371" s="1403"/>
    </row>
    <row r="372" spans="1:34" ht="12.95" customHeight="1">
      <c r="E372" s="4" t="s">
        <v>1</v>
      </c>
      <c r="F372" s="4"/>
      <c r="G372" s="4"/>
      <c r="H372" s="4"/>
      <c r="I372" s="4"/>
      <c r="J372" s="4"/>
      <c r="K372" s="4"/>
      <c r="L372" s="4"/>
      <c r="N372" s="1441">
        <v>2</v>
      </c>
      <c r="O372" s="1403"/>
      <c r="P372" s="1403"/>
      <c r="Q372" s="1403"/>
      <c r="R372" s="4"/>
      <c r="V372" s="4"/>
      <c r="W372" s="4"/>
      <c r="X372" s="4"/>
      <c r="Y372" s="4"/>
      <c r="Z372" s="4"/>
      <c r="AA372" s="4"/>
      <c r="AB372" s="4"/>
    </row>
    <row r="373" spans="1:34" ht="12.95" customHeight="1">
      <c r="E373" s="4" t="s">
        <v>2</v>
      </c>
      <c r="F373" s="4"/>
      <c r="G373" s="4"/>
      <c r="H373" s="4"/>
      <c r="I373" s="4"/>
      <c r="J373" s="4"/>
      <c r="K373" s="4"/>
      <c r="L373" s="4"/>
      <c r="N373" s="1526" t="s">
        <v>2791</v>
      </c>
      <c r="O373" s="1527"/>
      <c r="P373" s="1527"/>
      <c r="Q373" s="1527"/>
      <c r="R373" s="1527"/>
      <c r="S373" s="1527"/>
      <c r="T373" s="1527"/>
      <c r="U373" s="1527"/>
      <c r="V373" s="1527"/>
      <c r="W373" s="1527"/>
      <c r="X373" s="1527"/>
      <c r="Y373" s="1527"/>
      <c r="Z373" s="1527"/>
      <c r="AA373" s="1527"/>
      <c r="AB373" s="1527"/>
      <c r="AC373" s="1527"/>
      <c r="AD373" s="1527"/>
      <c r="AE373" s="1527"/>
      <c r="AF373" s="1527"/>
    </row>
    <row r="374" spans="1:34" ht="12.95" customHeight="1">
      <c r="E374" s="4"/>
      <c r="F374" s="4"/>
      <c r="G374" s="4"/>
      <c r="H374" s="4"/>
      <c r="I374" s="4"/>
      <c r="J374" s="4"/>
      <c r="K374" s="4"/>
      <c r="L374" s="4"/>
      <c r="N374" s="1528"/>
      <c r="O374" s="1528"/>
      <c r="P374" s="1528"/>
      <c r="Q374" s="1528"/>
      <c r="R374" s="1528"/>
      <c r="S374" s="1528"/>
      <c r="T374" s="1528"/>
      <c r="U374" s="1528"/>
      <c r="V374" s="1528"/>
      <c r="W374" s="1528"/>
      <c r="X374" s="1528"/>
      <c r="Y374" s="1528"/>
      <c r="Z374" s="1528"/>
      <c r="AA374" s="1528"/>
      <c r="AB374" s="1528"/>
      <c r="AC374" s="1528"/>
      <c r="AD374" s="1528"/>
      <c r="AE374" s="1528"/>
      <c r="AF374" s="1528"/>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434"/>
      <c r="T377" s="1434"/>
      <c r="U377" s="1" t="s">
        <v>306</v>
      </c>
      <c r="V377" s="1434"/>
      <c r="W377" s="1434"/>
      <c r="Y377" t="s">
        <v>2080</v>
      </c>
      <c r="AC377" s="27" t="s">
        <v>305</v>
      </c>
      <c r="AD377" s="1434"/>
      <c r="AE377" s="1434"/>
      <c r="AF377" s="1" t="s">
        <v>306</v>
      </c>
      <c r="AG377" s="1434"/>
      <c r="AH377" s="1434"/>
    </row>
    <row r="378" spans="1:34" ht="12.95" customHeight="1">
      <c r="E378" s="4" t="s">
        <v>988</v>
      </c>
      <c r="F378" s="4"/>
      <c r="G378" s="4"/>
      <c r="H378" s="4"/>
      <c r="I378" s="4"/>
      <c r="J378" s="4"/>
      <c r="K378" s="4"/>
      <c r="L378" s="4"/>
      <c r="N378" s="1434"/>
      <c r="O378" s="1434"/>
      <c r="P378" s="1434"/>
    </row>
    <row r="379" spans="1:34" ht="12.95" customHeight="1">
      <c r="E379" s="204" t="s">
        <v>2086</v>
      </c>
      <c r="F379" s="4"/>
      <c r="G379" s="4"/>
      <c r="H379" s="4"/>
      <c r="I379" s="4"/>
      <c r="J379" s="4"/>
      <c r="K379" s="4"/>
      <c r="L379" s="4"/>
      <c r="AG379" s="1437" t="s">
        <v>592</v>
      </c>
      <c r="AH379" s="1437"/>
    </row>
    <row r="380" spans="1:34" ht="12.95" customHeight="1">
      <c r="E380" s="4"/>
      <c r="F380" s="4"/>
      <c r="G380" s="4" t="s">
        <v>2087</v>
      </c>
      <c r="H380" s="4"/>
      <c r="I380" s="4"/>
      <c r="J380" s="4"/>
      <c r="K380" s="4"/>
      <c r="L380" s="4"/>
      <c r="AG380" s="1437" t="s">
        <v>592</v>
      </c>
      <c r="AH380" s="1437"/>
    </row>
    <row r="381" spans="1:34" ht="12.95" customHeight="1">
      <c r="E381" s="4"/>
      <c r="F381" s="4"/>
      <c r="G381" s="320" t="s">
        <v>989</v>
      </c>
      <c r="H381" s="4"/>
      <c r="I381" s="4"/>
      <c r="J381" s="4"/>
      <c r="K381" s="4"/>
      <c r="L381" s="4"/>
      <c r="V381" s="1433" t="s">
        <v>592</v>
      </c>
      <c r="W381" s="1433"/>
      <c r="Y381" s="22" t="s">
        <v>981</v>
      </c>
    </row>
    <row r="382" spans="1:34" ht="12.95" customHeight="1">
      <c r="E382" s="4" t="s">
        <v>982</v>
      </c>
      <c r="F382" s="4"/>
      <c r="G382" s="4"/>
      <c r="H382" s="4"/>
      <c r="I382" s="4"/>
      <c r="J382" s="4"/>
      <c r="K382" s="4"/>
      <c r="L382" s="4"/>
      <c r="V382" s="1433" t="s">
        <v>592</v>
      </c>
      <c r="W382" s="1433"/>
      <c r="Y382" s="4" t="s">
        <v>983</v>
      </c>
    </row>
    <row r="383" spans="1:34" ht="12.95" customHeight="1"/>
    <row r="384" spans="1:34" ht="12.95" customHeight="1">
      <c r="A384" s="2" t="s">
        <v>78</v>
      </c>
      <c r="B384" s="2"/>
    </row>
    <row r="385" spans="4:36" ht="12.95" customHeight="1">
      <c r="D385" t="s">
        <v>428</v>
      </c>
      <c r="J385" s="1333" t="s">
        <v>2696</v>
      </c>
      <c r="K385" s="1333"/>
      <c r="L385" s="1333"/>
      <c r="M385" s="1333"/>
      <c r="N385" s="1333"/>
      <c r="O385" s="1333"/>
      <c r="P385" s="1333"/>
      <c r="Q385" s="1333"/>
      <c r="R385" s="1333"/>
      <c r="S385" s="1333"/>
      <c r="T385" s="1333"/>
      <c r="U385" s="1333"/>
      <c r="V385" s="8" t="s">
        <v>83</v>
      </c>
      <c r="W385" s="8"/>
      <c r="X385" s="8"/>
      <c r="Y385" s="8"/>
      <c r="Z385" s="8"/>
      <c r="AA385" s="8"/>
      <c r="AB385" s="8"/>
      <c r="AC385" s="1333" t="s">
        <v>2624</v>
      </c>
      <c r="AD385" s="1333"/>
      <c r="AE385" s="1333"/>
      <c r="AF385" s="1333"/>
      <c r="AG385" s="1333"/>
      <c r="AH385" s="1333"/>
      <c r="AI385" s="1333"/>
      <c r="AJ385" s="1333"/>
    </row>
    <row r="386" spans="4:36" ht="12.95" customHeight="1">
      <c r="D386" s="3" t="s">
        <v>1183</v>
      </c>
      <c r="J386" s="1332" t="s">
        <v>2624</v>
      </c>
      <c r="K386" s="1332"/>
      <c r="L386" s="1332"/>
      <c r="M386" s="1332"/>
      <c r="N386" s="1332"/>
      <c r="O386" s="1332"/>
      <c r="P386" s="1332"/>
      <c r="Q386" s="1332"/>
      <c r="R386" s="1332"/>
      <c r="S386" s="1332"/>
      <c r="T386" s="1332"/>
      <c r="U386" s="1332"/>
      <c r="V386" s="3" t="s">
        <v>1183</v>
      </c>
      <c r="W386" s="8"/>
      <c r="X386" s="8"/>
      <c r="Y386" s="8"/>
      <c r="Z386" s="8"/>
      <c r="AA386" s="8"/>
      <c r="AB386" s="8"/>
      <c r="AC386" s="1333" t="s">
        <v>2624</v>
      </c>
      <c r="AD386" s="1333"/>
      <c r="AE386" s="1333"/>
      <c r="AF386" s="1333"/>
      <c r="AG386" s="1333"/>
      <c r="AH386" s="1333"/>
      <c r="AI386" s="1333"/>
      <c r="AJ386" s="1333"/>
    </row>
    <row r="387" spans="4:36" ht="12.95" customHeight="1">
      <c r="D387" s="3" t="s">
        <v>442</v>
      </c>
      <c r="J387" s="1332" t="s">
        <v>2701</v>
      </c>
      <c r="K387" s="1332"/>
      <c r="L387" s="1332"/>
      <c r="M387" s="1332"/>
      <c r="N387" s="1332"/>
      <c r="O387" s="1332"/>
      <c r="P387" s="1332"/>
      <c r="Q387" s="1332"/>
      <c r="R387" s="1332"/>
      <c r="S387" s="1332"/>
      <c r="T387" s="1332"/>
      <c r="U387" s="1332"/>
      <c r="V387" s="3" t="s">
        <v>442</v>
      </c>
      <c r="W387" s="8"/>
      <c r="X387" s="8"/>
      <c r="Y387" s="8"/>
      <c r="Z387" s="8"/>
      <c r="AA387" s="8"/>
      <c r="AB387" s="8"/>
      <c r="AC387" s="1333" t="s">
        <v>2701</v>
      </c>
      <c r="AD387" s="1333"/>
      <c r="AE387" s="1333"/>
      <c r="AF387" s="1333"/>
      <c r="AG387" s="1333"/>
      <c r="AH387" s="1333"/>
      <c r="AI387" s="1333"/>
      <c r="AJ387" s="1333"/>
    </row>
    <row r="388" spans="4:36" ht="12.95" customHeight="1">
      <c r="D388" t="s">
        <v>1179</v>
      </c>
      <c r="J388" s="1413" t="s">
        <v>2702</v>
      </c>
      <c r="K388" s="1413"/>
      <c r="L388" s="1413"/>
      <c r="M388" s="1413"/>
      <c r="N388" s="1413"/>
      <c r="O388" s="1413"/>
      <c r="P388" s="1413"/>
      <c r="Q388" s="1413"/>
      <c r="R388" s="1413"/>
      <c r="S388" s="1413"/>
      <c r="T388" s="1413"/>
      <c r="U388" s="1413"/>
      <c r="V388" s="1333"/>
      <c r="W388" s="1333"/>
      <c r="X388" s="1333"/>
      <c r="Y388" s="1333"/>
      <c r="Z388" s="1333"/>
      <c r="AA388" s="1333"/>
      <c r="AB388" s="1333"/>
      <c r="AC388" s="1333"/>
      <c r="AD388" s="1333"/>
      <c r="AE388" s="1333"/>
      <c r="AF388" s="1333"/>
      <c r="AG388" s="1333"/>
      <c r="AH388" s="1333"/>
      <c r="AI388" s="1333"/>
      <c r="AJ388" s="1333"/>
    </row>
    <row r="389" spans="4:36" ht="12.95" customHeight="1">
      <c r="D389" t="s">
        <v>4</v>
      </c>
      <c r="Q389" s="1590" t="s">
        <v>2752</v>
      </c>
      <c r="R389" s="1591"/>
      <c r="S389" s="1591"/>
      <c r="T389" s="1591"/>
      <c r="U389" s="1591"/>
      <c r="V389" t="s">
        <v>309</v>
      </c>
      <c r="AI389" s="1433" t="s">
        <v>546</v>
      </c>
      <c r="AJ389" s="1433"/>
    </row>
    <row r="390" spans="4:36" ht="12.95" customHeight="1">
      <c r="D390" t="s">
        <v>5</v>
      </c>
      <c r="Q390" s="1519" t="s">
        <v>2753</v>
      </c>
      <c r="R390" s="1520"/>
      <c r="S390" s="1520"/>
      <c r="T390" s="1520"/>
      <c r="U390" s="1520"/>
      <c r="W390" s="21" t="s">
        <v>74</v>
      </c>
      <c r="AG390" s="1439" t="s">
        <v>592</v>
      </c>
      <c r="AH390" s="1439"/>
      <c r="AI390" s="1439"/>
      <c r="AJ390" s="1439"/>
    </row>
    <row r="391" spans="4:36" ht="12.95" customHeight="1">
      <c r="D391" t="s">
        <v>427</v>
      </c>
      <c r="Q391" s="1440" t="s">
        <v>592</v>
      </c>
      <c r="R391" s="1440"/>
      <c r="S391" s="1440"/>
      <c r="T391" s="1440"/>
      <c r="U391" s="1440"/>
      <c r="V391" s="3" t="s">
        <v>1182</v>
      </c>
      <c r="AG391" s="1516">
        <v>46143</v>
      </c>
      <c r="AH391" s="1516"/>
      <c r="AI391" s="1516"/>
      <c r="AJ391" s="1516"/>
    </row>
    <row r="392" spans="4:36" ht="12.95" customHeight="1">
      <c r="D392" t="s">
        <v>88</v>
      </c>
      <c r="I392" s="1334" t="s">
        <v>2625</v>
      </c>
      <c r="J392" s="1532"/>
      <c r="K392" s="1532"/>
      <c r="L392" s="1532"/>
      <c r="M392" s="1532"/>
      <c r="N392" s="1532"/>
      <c r="Q392" s="4" t="s">
        <v>206</v>
      </c>
      <c r="S392" s="1438"/>
      <c r="T392" s="1438"/>
      <c r="U392" s="1438"/>
      <c r="V392" t="s">
        <v>73</v>
      </c>
      <c r="AI392" s="1433" t="s">
        <v>670</v>
      </c>
      <c r="AJ392" s="1433"/>
    </row>
    <row r="393" spans="4:36" ht="12.95" customHeight="1">
      <c r="D393" t="s">
        <v>310</v>
      </c>
      <c r="Q393" s="1524">
        <v>0</v>
      </c>
      <c r="R393" s="1524"/>
      <c r="S393" s="1524"/>
      <c r="T393" s="1524"/>
      <c r="U393" s="1524"/>
      <c r="V393" t="s">
        <v>311</v>
      </c>
      <c r="AG393" s="1439">
        <v>0</v>
      </c>
      <c r="AH393" s="1439"/>
      <c r="AI393" s="1439"/>
      <c r="AJ393" s="1439"/>
    </row>
    <row r="394" spans="4:36" ht="12.95" customHeight="1">
      <c r="D394" t="s">
        <v>312</v>
      </c>
      <c r="Q394" s="1580">
        <v>0</v>
      </c>
      <c r="R394" s="1580"/>
      <c r="S394" s="1580"/>
      <c r="T394" s="1580"/>
      <c r="U394" s="1580"/>
      <c r="V394" t="s">
        <v>1164</v>
      </c>
      <c r="AG394" s="1439">
        <v>0</v>
      </c>
      <c r="AH394" s="1439"/>
      <c r="AI394" s="1439"/>
      <c r="AJ394" s="1439"/>
    </row>
    <row r="395" spans="4:36" ht="12.95" customHeight="1">
      <c r="D395" t="s">
        <v>1163</v>
      </c>
      <c r="AG395" s="1439">
        <v>0</v>
      </c>
      <c r="AH395" s="1439"/>
      <c r="AI395" s="1439"/>
      <c r="AJ395" s="1439"/>
    </row>
    <row r="396" spans="4:36" ht="12.95" customHeight="1">
      <c r="AG396" s="456"/>
      <c r="AH396" s="456"/>
      <c r="AI396" s="456"/>
      <c r="AJ396" s="456"/>
    </row>
    <row r="397" spans="4:36" ht="12.95" customHeight="1">
      <c r="D397" s="3" t="s">
        <v>2143</v>
      </c>
      <c r="AG397" s="456"/>
      <c r="AH397" s="456"/>
      <c r="AI397" s="1433" t="s">
        <v>546</v>
      </c>
      <c r="AJ397" s="1433"/>
    </row>
    <row r="398" spans="4:36" ht="12.95" customHeight="1">
      <c r="D398" s="3" t="s">
        <v>1668</v>
      </c>
      <c r="T398" s="1459" t="s">
        <v>592</v>
      </c>
      <c r="U398" s="1459"/>
      <c r="V398" s="1459"/>
      <c r="W398" s="1459"/>
      <c r="X398" s="1459"/>
      <c r="Y398" s="1459"/>
      <c r="Z398" s="1459"/>
      <c r="AA398" s="1459"/>
      <c r="AB398" s="1459"/>
      <c r="AC398" s="1459"/>
      <c r="AD398" s="1459"/>
      <c r="AE398" s="1459"/>
      <c r="AF398" s="1459"/>
      <c r="AG398" s="1459"/>
      <c r="AH398" s="1459"/>
      <c r="AI398" s="1459"/>
      <c r="AJ398" s="1459"/>
    </row>
    <row r="399" spans="4:36" ht="12.95" customHeight="1">
      <c r="D399" s="3" t="s">
        <v>1667</v>
      </c>
      <c r="T399" s="1459" t="s">
        <v>592</v>
      </c>
      <c r="U399" s="1459"/>
      <c r="V399" s="1459"/>
      <c r="W399" s="1459"/>
      <c r="X399" s="1459"/>
      <c r="Y399" s="1459"/>
      <c r="Z399" s="1459"/>
      <c r="AA399" s="1459"/>
      <c r="AB399" s="1459"/>
      <c r="AC399" s="1459"/>
      <c r="AD399" s="1459"/>
      <c r="AE399" s="1459"/>
      <c r="AF399" s="1459"/>
      <c r="AG399" s="1459"/>
      <c r="AH399" s="1459"/>
      <c r="AI399" s="1459"/>
      <c r="AJ399" s="1459"/>
    </row>
    <row r="400" spans="4:36" ht="12.95" customHeight="1">
      <c r="AG400" s="456"/>
      <c r="AH400" s="456"/>
      <c r="AI400" s="456"/>
      <c r="AJ400" s="456"/>
    </row>
    <row r="401" spans="1:36" ht="12.95" customHeight="1">
      <c r="D401" s="3" t="s">
        <v>1661</v>
      </c>
      <c r="S401" s="1459" t="s">
        <v>546</v>
      </c>
      <c r="T401" s="1459"/>
      <c r="U401" s="1459"/>
      <c r="V401" t="s">
        <v>1662</v>
      </c>
      <c r="AG401" s="1522">
        <v>99</v>
      </c>
      <c r="AH401" s="1522"/>
      <c r="AI401" s="1522"/>
      <c r="AJ401" s="1522"/>
    </row>
    <row r="402" spans="1:36" ht="12.95" customHeight="1">
      <c r="D402" s="3" t="s">
        <v>1659</v>
      </c>
      <c r="S402" s="1459" t="s">
        <v>546</v>
      </c>
      <c r="T402" s="1459"/>
      <c r="U402" s="1459"/>
      <c r="V402" t="s">
        <v>1664</v>
      </c>
      <c r="AE402" s="1455" t="s">
        <v>2745</v>
      </c>
      <c r="AF402" s="1455"/>
      <c r="AG402" s="1455"/>
      <c r="AH402" s="1455"/>
      <c r="AI402" s="1455"/>
      <c r="AJ402" s="1455"/>
    </row>
    <row r="403" spans="1:36" ht="12.95" customHeight="1">
      <c r="D403" s="3" t="s">
        <v>1660</v>
      </c>
      <c r="K403" s="1517" t="s">
        <v>592</v>
      </c>
      <c r="L403" s="1517"/>
      <c r="M403" s="1517"/>
      <c r="N403" s="1517"/>
      <c r="O403" s="1517"/>
      <c r="P403" s="1517"/>
      <c r="Q403" s="1517"/>
      <c r="R403" s="1517"/>
      <c r="S403" s="1517"/>
      <c r="T403" s="1517"/>
      <c r="U403" s="1517"/>
      <c r="V403" s="1517"/>
      <c r="W403" s="1517"/>
      <c r="X403" s="1517"/>
      <c r="Y403" s="1517"/>
      <c r="Z403" s="1517"/>
      <c r="AA403" s="1517"/>
      <c r="AB403" s="1517"/>
      <c r="AC403" s="1517"/>
      <c r="AD403" s="1517"/>
      <c r="AE403" s="1517"/>
      <c r="AF403" s="1517"/>
      <c r="AG403" s="1517"/>
      <c r="AH403" s="1517"/>
      <c r="AI403" s="1517"/>
      <c r="AJ403" s="1517"/>
    </row>
    <row r="404" spans="1:36" ht="12.95" customHeight="1">
      <c r="D404" s="3" t="s">
        <v>1663</v>
      </c>
      <c r="K404" s="1517" t="s">
        <v>2746</v>
      </c>
      <c r="L404" s="1517"/>
      <c r="M404" s="1517"/>
      <c r="N404" s="1517"/>
      <c r="O404" s="1517"/>
      <c r="P404" s="1517"/>
      <c r="Q404" s="1517"/>
      <c r="R404" s="1517"/>
      <c r="S404" s="1517"/>
      <c r="T404" s="1517"/>
      <c r="U404" s="1517"/>
      <c r="V404" s="1517"/>
      <c r="W404" s="1517"/>
      <c r="X404" s="1517"/>
      <c r="Y404" s="1517"/>
      <c r="Z404" s="1517"/>
      <c r="AA404" s="1517"/>
      <c r="AB404" s="1517"/>
      <c r="AC404" s="1517"/>
      <c r="AD404" s="1517"/>
      <c r="AE404" s="1517"/>
      <c r="AF404" s="1517"/>
      <c r="AG404" s="1517"/>
      <c r="AH404" s="1517"/>
      <c r="AI404" s="1517"/>
      <c r="AJ404" s="1517"/>
    </row>
    <row r="405" spans="1:36" ht="12.95" customHeight="1">
      <c r="D405" s="3" t="s">
        <v>1666</v>
      </c>
      <c r="E405" s="477"/>
      <c r="F405" s="477"/>
      <c r="G405" s="477"/>
      <c r="H405" s="477"/>
      <c r="I405" s="477"/>
      <c r="J405" s="477"/>
      <c r="K405" s="477"/>
      <c r="L405" s="477"/>
      <c r="M405" s="477"/>
      <c r="N405" s="477"/>
      <c r="O405" s="477"/>
      <c r="P405" s="477"/>
      <c r="Q405" s="477"/>
      <c r="R405" s="477"/>
      <c r="S405" s="1436" t="s">
        <v>2747</v>
      </c>
      <c r="T405" s="1436"/>
      <c r="U405" s="1436"/>
      <c r="V405" s="1436"/>
      <c r="W405" s="1436"/>
      <c r="X405" s="1436"/>
      <c r="Y405" s="1436"/>
      <c r="Z405" s="1436"/>
      <c r="AA405" s="1436"/>
      <c r="AB405" s="1436"/>
      <c r="AC405" s="1436"/>
      <c r="AD405" s="1436"/>
      <c r="AE405" s="1436"/>
      <c r="AF405" s="1436"/>
      <c r="AG405" s="1436"/>
      <c r="AH405" s="1436"/>
      <c r="AI405" s="1436"/>
      <c r="AJ405" s="1436"/>
    </row>
    <row r="406" spans="1:36" ht="12.95"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521" t="s">
        <v>2754</v>
      </c>
      <c r="J410" s="1521"/>
      <c r="K410" s="1521"/>
      <c r="L410" s="1521"/>
      <c r="M410" s="1521"/>
      <c r="N410" s="1521"/>
      <c r="O410" s="1521"/>
      <c r="P410" s="1521"/>
      <c r="Q410" s="1521"/>
      <c r="R410" s="1521"/>
      <c r="S410" s="1521"/>
      <c r="T410" s="1521"/>
      <c r="U410" s="1521"/>
      <c r="V410" s="1521"/>
      <c r="W410" s="1521"/>
      <c r="X410" s="1521"/>
      <c r="Y410" s="1521"/>
      <c r="Z410" s="1521"/>
      <c r="AA410" s="1521"/>
      <c r="AB410" s="1521"/>
      <c r="AC410" s="1521"/>
      <c r="AD410" s="1521"/>
      <c r="AE410" s="1521"/>
    </row>
    <row r="411" spans="1:36" ht="12.95" customHeight="1">
      <c r="E411" t="s">
        <v>106</v>
      </c>
      <c r="R411" s="1433" t="s">
        <v>592</v>
      </c>
      <c r="S411" s="1433"/>
      <c r="AC411" s="27" t="s">
        <v>571</v>
      </c>
      <c r="AD411" s="1403">
        <v>0</v>
      </c>
      <c r="AE411" s="1403"/>
    </row>
    <row r="412" spans="1:36" ht="12.95" customHeight="1">
      <c r="E412" t="s">
        <v>107</v>
      </c>
      <c r="R412" s="1433" t="s">
        <v>592</v>
      </c>
      <c r="S412" s="1433"/>
      <c r="AC412" s="27" t="s">
        <v>571</v>
      </c>
      <c r="AD412" s="1403">
        <v>2</v>
      </c>
      <c r="AE412" s="1403"/>
    </row>
    <row r="413" spans="1:36" ht="12.95" customHeight="1">
      <c r="E413" t="s">
        <v>108</v>
      </c>
      <c r="S413" s="1433" t="s">
        <v>592</v>
      </c>
      <c r="T413" s="1433"/>
    </row>
    <row r="414" spans="1:36" ht="12.95" customHeight="1">
      <c r="E414" t="s">
        <v>170</v>
      </c>
      <c r="H414" s="1581" t="s">
        <v>2755</v>
      </c>
      <c r="I414" s="1581"/>
      <c r="J414" s="1581"/>
      <c r="K414" s="1581"/>
      <c r="L414" s="1581"/>
      <c r="M414" s="1581"/>
      <c r="N414" s="1581"/>
      <c r="O414" s="1581"/>
      <c r="P414" s="1581"/>
      <c r="Q414" s="1581"/>
      <c r="R414" s="1581"/>
      <c r="S414" s="1581"/>
      <c r="T414" s="1581"/>
      <c r="U414" s="1581"/>
      <c r="V414" s="1581"/>
      <c r="W414" s="1581"/>
      <c r="X414" s="1581"/>
      <c r="Y414" s="1581"/>
      <c r="Z414" s="1581"/>
      <c r="AA414" s="1581"/>
      <c r="AB414" s="1581"/>
      <c r="AC414" s="1581"/>
      <c r="AD414" s="1581"/>
      <c r="AE414" s="1581"/>
    </row>
    <row r="415" spans="1:36" ht="12.95" customHeight="1">
      <c r="H415" s="1582"/>
      <c r="I415" s="1582"/>
      <c r="J415" s="1582"/>
      <c r="K415" s="1582"/>
      <c r="L415" s="1582"/>
      <c r="M415" s="1582"/>
      <c r="N415" s="1582"/>
      <c r="O415" s="1582"/>
      <c r="P415" s="1582"/>
      <c r="Q415" s="1582"/>
      <c r="R415" s="1582"/>
      <c r="S415" s="1582"/>
      <c r="T415" s="1582"/>
      <c r="U415" s="1582"/>
      <c r="V415" s="1582"/>
      <c r="W415" s="1582"/>
      <c r="X415" s="1582"/>
      <c r="Y415" s="1582"/>
      <c r="Z415" s="1582"/>
      <c r="AA415" s="1582"/>
      <c r="AB415" s="1582"/>
      <c r="AC415" s="1582"/>
      <c r="AD415" s="1582"/>
      <c r="AE415" s="1582"/>
    </row>
    <row r="416" spans="1:36" ht="12.95" customHeight="1"/>
    <row r="417" spans="1:39" ht="12.95" customHeight="1">
      <c r="A417" s="2" t="s">
        <v>591</v>
      </c>
      <c r="B417" s="2"/>
      <c r="C417" s="2"/>
      <c r="D417" s="2" t="s">
        <v>114</v>
      </c>
      <c r="AF417" s="2" t="s">
        <v>958</v>
      </c>
    </row>
    <row r="418" spans="1:39" ht="12.95" customHeight="1">
      <c r="E418" s="1434"/>
      <c r="F418" s="1434"/>
      <c r="G418" s="1434"/>
      <c r="H418" s="13" t="s">
        <v>115</v>
      </c>
      <c r="I418" s="1434"/>
      <c r="J418" s="1434"/>
      <c r="K418" s="1434"/>
      <c r="L418" t="s">
        <v>116</v>
      </c>
      <c r="N418" s="27" t="s">
        <v>576</v>
      </c>
      <c r="P418" s="1671">
        <f>6.2+1.19</f>
        <v>7.3900000000000006</v>
      </c>
      <c r="Q418" s="1671"/>
      <c r="R418" s="1671"/>
      <c r="S418" t="s">
        <v>117</v>
      </c>
      <c r="W418" s="1435">
        <f>IF(E418&gt;0,(E418*I418),(P418*43560))</f>
        <v>321908.40000000002</v>
      </c>
      <c r="X418" s="1435"/>
      <c r="Y418" s="1435"/>
      <c r="Z418" t="s">
        <v>118</v>
      </c>
      <c r="AF418" s="1583">
        <f>IFERROR(IF(P418&gt;0,(AG437/P418),(AG437/(W418/43560))),0)</f>
        <v>19.215155615696887</v>
      </c>
      <c r="AG418" s="1583"/>
      <c r="AH418" s="1583"/>
      <c r="AM418" s="3"/>
    </row>
    <row r="419" spans="1:39" ht="12.95" customHeight="1">
      <c r="E419" t="s">
        <v>51</v>
      </c>
    </row>
    <row r="420" spans="1:39" ht="12.95" customHeight="1">
      <c r="E420" s="1511"/>
      <c r="F420" s="1511"/>
      <c r="G420" s="1511"/>
      <c r="H420" s="1511"/>
      <c r="I420" s="1511"/>
      <c r="J420" s="1511"/>
      <c r="K420" s="1511"/>
      <c r="L420" s="1511"/>
      <c r="M420" s="1511"/>
      <c r="N420" s="1511"/>
      <c r="O420" s="1511"/>
      <c r="P420" s="1511"/>
      <c r="Q420" s="1511"/>
      <c r="R420" s="1511"/>
      <c r="S420" s="1511"/>
      <c r="T420" s="1511"/>
      <c r="U420" s="1511"/>
      <c r="V420" s="1511"/>
      <c r="W420" s="1511"/>
      <c r="X420" s="1511"/>
      <c r="Y420" s="1511"/>
      <c r="Z420" s="1511"/>
      <c r="AA420" s="1511"/>
      <c r="AB420" s="1511"/>
      <c r="AC420" s="1511"/>
      <c r="AD420" s="1511"/>
      <c r="AE420" s="1511"/>
      <c r="AF420" s="1511"/>
      <c r="AG420" s="1511"/>
      <c r="AH420" s="1511"/>
      <c r="AI420" s="1511"/>
      <c r="AJ420" s="1511"/>
    </row>
    <row r="421" spans="1:39" ht="12.95" customHeight="1">
      <c r="E421" s="118" t="s">
        <v>1737</v>
      </c>
      <c r="F421" s="1013"/>
      <c r="G421" s="1013"/>
      <c r="H421" s="1013"/>
      <c r="I421" s="1518">
        <v>7.74</v>
      </c>
      <c r="J421" s="1518"/>
      <c r="K421" s="1518"/>
      <c r="L421" s="1013"/>
      <c r="M421" s="118"/>
      <c r="N421" s="1013"/>
      <c r="O421" s="1013"/>
      <c r="P421" s="1836">
        <f>(DU755+DU778+DU800)/I421</f>
        <v>39.276485788113696</v>
      </c>
      <c r="Q421" s="1836"/>
      <c r="R421" s="1836"/>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433">
        <v>38</v>
      </c>
      <c r="Q424" s="1433"/>
      <c r="S424" t="s">
        <v>189</v>
      </c>
      <c r="AE424" s="1433">
        <v>38</v>
      </c>
      <c r="AF424" s="1433"/>
    </row>
    <row r="425" spans="1:39" ht="12.95" customHeight="1">
      <c r="E425" t="s">
        <v>190</v>
      </c>
      <c r="P425" s="1433">
        <v>0</v>
      </c>
      <c r="Q425" s="1433"/>
      <c r="S425" t="s">
        <v>131</v>
      </c>
      <c r="AE425" s="1433" t="s">
        <v>592</v>
      </c>
      <c r="AF425" s="1433"/>
    </row>
    <row r="426" spans="1:39" ht="12.95" customHeight="1">
      <c r="F426" s="28" t="s">
        <v>132</v>
      </c>
    </row>
    <row r="427" spans="1:39" ht="12.95" customHeight="1">
      <c r="F427" s="1529"/>
      <c r="G427" s="1529"/>
      <c r="H427" s="1529"/>
      <c r="I427" s="1529"/>
      <c r="J427" s="1529"/>
      <c r="K427" s="1529"/>
      <c r="L427" s="1529"/>
      <c r="M427" s="1529"/>
      <c r="N427" s="1529"/>
      <c r="O427" s="1529"/>
      <c r="P427" s="1529"/>
      <c r="Q427" s="1529"/>
      <c r="R427" s="1529"/>
      <c r="S427" s="1529"/>
      <c r="T427" s="1529"/>
      <c r="U427" s="1529"/>
      <c r="V427" s="1529"/>
      <c r="W427" s="1529"/>
      <c r="X427" s="1529"/>
      <c r="Y427" s="1529"/>
      <c r="Z427" s="1529"/>
      <c r="AA427" s="1529"/>
      <c r="AB427" s="1529"/>
      <c r="AC427" s="1529"/>
      <c r="AD427" s="1529"/>
      <c r="AE427" s="1529"/>
      <c r="AF427" s="1529"/>
      <c r="AG427" s="1529"/>
      <c r="AH427" s="1529"/>
    </row>
    <row r="428" spans="1:39" ht="12.95" customHeight="1">
      <c r="F428" s="1530"/>
      <c r="G428" s="1530"/>
      <c r="H428" s="1530"/>
      <c r="I428" s="1530"/>
      <c r="J428" s="1530"/>
      <c r="K428" s="1530"/>
      <c r="L428" s="1530"/>
      <c r="M428" s="1530"/>
      <c r="N428" s="1530"/>
      <c r="O428" s="1530"/>
      <c r="P428" s="1530"/>
      <c r="Q428" s="1530"/>
      <c r="R428" s="1530"/>
      <c r="S428" s="1530"/>
      <c r="T428" s="1530"/>
      <c r="U428" s="1530"/>
      <c r="V428" s="1530"/>
      <c r="W428" s="1530"/>
      <c r="X428" s="1530"/>
      <c r="Y428" s="1530"/>
      <c r="Z428" s="1530"/>
      <c r="AA428" s="1530"/>
      <c r="AB428" s="1530"/>
      <c r="AC428" s="1530"/>
      <c r="AD428" s="1530"/>
      <c r="AE428" s="1530"/>
      <c r="AF428" s="1530"/>
      <c r="AG428" s="1530"/>
      <c r="AH428" s="1530"/>
    </row>
    <row r="429" spans="1:39" ht="12.95" customHeight="1">
      <c r="E429" t="s">
        <v>609</v>
      </c>
      <c r="P429" s="1"/>
      <c r="Q429" s="1433" t="s">
        <v>546</v>
      </c>
      <c r="R429" s="1433"/>
    </row>
    <row r="430" spans="1:39" ht="12.95" customHeight="1">
      <c r="F430" t="s">
        <v>610</v>
      </c>
      <c r="P430" s="1"/>
      <c r="Q430" s="1"/>
      <c r="AF430" s="1433" t="s">
        <v>592</v>
      </c>
      <c r="AG430" s="1515"/>
    </row>
    <row r="431" spans="1:39" ht="12.95" customHeight="1"/>
    <row r="432" spans="1:39" ht="12.95" customHeight="1">
      <c r="A432" s="2"/>
      <c r="B432" s="2"/>
      <c r="C432" s="2"/>
      <c r="E432" s="4" t="s">
        <v>308</v>
      </c>
      <c r="Z432" s="1433" t="s">
        <v>546</v>
      </c>
      <c r="AA432" s="1433"/>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33" t="s">
        <v>670</v>
      </c>
      <c r="AA434" s="1433"/>
    </row>
    <row r="435" spans="1:55" ht="12.95" customHeight="1"/>
    <row r="436" spans="1:55" ht="12.95" customHeight="1">
      <c r="A436" s="2" t="s">
        <v>468</v>
      </c>
      <c r="B436" s="2"/>
      <c r="C436" s="2"/>
      <c r="D436" s="2" t="s">
        <v>765</v>
      </c>
      <c r="AF436" s="48"/>
    </row>
    <row r="437" spans="1:55" ht="12.95" customHeight="1">
      <c r="D437" s="1512" t="s">
        <v>43</v>
      </c>
      <c r="E437" s="1513"/>
      <c r="F437" s="1513"/>
      <c r="G437" s="1513"/>
      <c r="H437" s="1513"/>
      <c r="I437" s="1513"/>
      <c r="J437" s="1513"/>
      <c r="K437" s="1513"/>
      <c r="L437" s="1513"/>
      <c r="M437" s="1513"/>
      <c r="N437" s="1513"/>
      <c r="O437" s="1513"/>
      <c r="P437" s="1513"/>
      <c r="Q437" s="1513"/>
      <c r="R437" s="1513"/>
      <c r="S437" s="1513"/>
      <c r="T437" s="1513"/>
      <c r="U437" s="1513"/>
      <c r="V437" s="1513"/>
      <c r="W437" s="1513"/>
      <c r="X437" s="1513"/>
      <c r="Y437" s="1513"/>
      <c r="Z437" s="1513"/>
      <c r="AA437" s="1513"/>
      <c r="AB437" s="1513"/>
      <c r="AC437" s="1513"/>
      <c r="AD437" s="1513"/>
      <c r="AE437" s="1513"/>
      <c r="AF437" s="1514"/>
      <c r="AG437" s="1398">
        <v>142</v>
      </c>
      <c r="AH437" s="1398"/>
      <c r="AI437" s="1398"/>
      <c r="AJ437" s="1398"/>
    </row>
    <row r="438" spans="1:55" ht="12.95" customHeight="1">
      <c r="D438" s="1423" t="s">
        <v>1223</v>
      </c>
      <c r="E438" s="1424"/>
      <c r="F438" s="1424"/>
      <c r="G438" s="1424"/>
      <c r="H438" s="1424"/>
      <c r="I438" s="1424"/>
      <c r="J438" s="1424"/>
      <c r="K438" s="1424"/>
      <c r="L438" s="1424"/>
      <c r="M438" s="1424"/>
      <c r="N438" s="1424"/>
      <c r="O438" s="1424"/>
      <c r="P438" s="1424"/>
      <c r="Q438" s="1424"/>
      <c r="R438" s="1424"/>
      <c r="S438" s="1424"/>
      <c r="T438" s="1424"/>
      <c r="U438" s="1424"/>
      <c r="V438" s="1424"/>
      <c r="W438" s="1424"/>
      <c r="X438" s="1424"/>
      <c r="Y438" s="1424"/>
      <c r="Z438" s="1424"/>
      <c r="AA438" s="1424"/>
      <c r="AB438" s="1424"/>
      <c r="AC438" s="1424"/>
      <c r="AD438" s="1424"/>
      <c r="AE438" s="1424"/>
      <c r="AF438" s="1425"/>
      <c r="AG438" s="1584">
        <v>0</v>
      </c>
      <c r="AH438" s="1585"/>
      <c r="AI438" s="1585"/>
      <c r="AJ438" s="1585"/>
    </row>
    <row r="439" spans="1:55" ht="12.95" customHeight="1">
      <c r="D439" s="1423" t="s">
        <v>1032</v>
      </c>
      <c r="E439" s="1424"/>
      <c r="F439" s="1424"/>
      <c r="G439" s="1424"/>
      <c r="H439" s="1424"/>
      <c r="I439" s="1424"/>
      <c r="J439" s="1424"/>
      <c r="K439" s="1424"/>
      <c r="L439" s="1424"/>
      <c r="M439" s="1424"/>
      <c r="N439" s="1424"/>
      <c r="O439" s="1424"/>
      <c r="P439" s="1424"/>
      <c r="Q439" s="1424"/>
      <c r="R439" s="1424"/>
      <c r="S439" s="1424"/>
      <c r="T439" s="1424"/>
      <c r="U439" s="1424"/>
      <c r="V439" s="1424"/>
      <c r="W439" s="1424"/>
      <c r="X439" s="1424"/>
      <c r="Y439" s="1424"/>
      <c r="Z439" s="1424"/>
      <c r="AA439" s="1424"/>
      <c r="AB439" s="1424"/>
      <c r="AC439" s="1424"/>
      <c r="AD439" s="1424"/>
      <c r="AE439" s="1424"/>
      <c r="AF439" s="1425"/>
      <c r="AG439" s="1398">
        <v>141</v>
      </c>
      <c r="AH439" s="1398"/>
      <c r="AI439" s="1398"/>
      <c r="AJ439" s="1398"/>
    </row>
    <row r="440" spans="1:55" ht="12.95" customHeight="1">
      <c r="D440" s="1423" t="s">
        <v>1033</v>
      </c>
      <c r="E440" s="1424"/>
      <c r="F440" s="1424"/>
      <c r="G440" s="1424"/>
      <c r="H440" s="1424"/>
      <c r="I440" s="1424"/>
      <c r="J440" s="1424"/>
      <c r="K440" s="1424"/>
      <c r="L440" s="1424"/>
      <c r="M440" s="1424"/>
      <c r="N440" s="1424"/>
      <c r="O440" s="1424"/>
      <c r="P440" s="1424"/>
      <c r="Q440" s="1424"/>
      <c r="R440" s="1424"/>
      <c r="S440" s="1424"/>
      <c r="T440" s="1424"/>
      <c r="U440" s="1424"/>
      <c r="V440" s="1424"/>
      <c r="W440" s="1424"/>
      <c r="X440" s="1424"/>
      <c r="Y440" s="1424"/>
      <c r="Z440" s="1424"/>
      <c r="AA440" s="1424"/>
      <c r="AB440" s="1424"/>
      <c r="AC440" s="1424"/>
      <c r="AD440" s="1424"/>
      <c r="AE440" s="1424"/>
      <c r="AF440" s="1425"/>
      <c r="AG440" s="1398">
        <v>141</v>
      </c>
      <c r="AH440" s="1398"/>
      <c r="AI440" s="1398"/>
      <c r="AJ440" s="1398"/>
    </row>
    <row r="441" spans="1:55" ht="12.95" customHeight="1">
      <c r="D441" s="1423" t="s">
        <v>1035</v>
      </c>
      <c r="E441" s="1424"/>
      <c r="F441" s="1424"/>
      <c r="G441" s="1424"/>
      <c r="H441" s="1424"/>
      <c r="I441" s="1424"/>
      <c r="J441" s="1424"/>
      <c r="K441" s="1424"/>
      <c r="L441" s="1424"/>
      <c r="M441" s="1424"/>
      <c r="N441" s="1424"/>
      <c r="O441" s="1424"/>
      <c r="P441" s="1424"/>
      <c r="Q441" s="1424"/>
      <c r="R441" s="1424"/>
      <c r="S441" s="1424"/>
      <c r="T441" s="1424"/>
      <c r="U441" s="1424"/>
      <c r="V441" s="1424"/>
      <c r="W441" s="1424"/>
      <c r="X441" s="1424"/>
      <c r="Y441" s="1424"/>
      <c r="Z441" s="1424"/>
      <c r="AA441" s="1424"/>
      <c r="AB441" s="1424"/>
      <c r="AC441" s="1424"/>
      <c r="AD441" s="1424"/>
      <c r="AE441" s="1424"/>
      <c r="AF441" s="1425"/>
      <c r="AG441" s="1422">
        <f>IF(ISERROR(AG440/AG439),0,AG440/AG439)</f>
        <v>1</v>
      </c>
      <c r="AH441" s="1422"/>
      <c r="AI441" s="1422"/>
      <c r="AJ441" s="1422"/>
    </row>
    <row r="442" spans="1:55" ht="12.95" customHeight="1">
      <c r="D442" s="1423" t="s">
        <v>1034</v>
      </c>
      <c r="E442" s="1424"/>
      <c r="F442" s="1424"/>
      <c r="G442" s="1424"/>
      <c r="H442" s="1424"/>
      <c r="I442" s="1424"/>
      <c r="J442" s="1424"/>
      <c r="K442" s="1424"/>
      <c r="L442" s="1424"/>
      <c r="M442" s="1424"/>
      <c r="N442" s="1424"/>
      <c r="O442" s="1424"/>
      <c r="P442" s="1424"/>
      <c r="Q442" s="1424"/>
      <c r="R442" s="1424"/>
      <c r="S442" s="1424"/>
      <c r="T442" s="1424"/>
      <c r="U442" s="1424"/>
      <c r="V442" s="1424"/>
      <c r="W442" s="1424"/>
      <c r="X442" s="1424"/>
      <c r="Y442" s="1424"/>
      <c r="Z442" s="1424"/>
      <c r="AA442" s="1424"/>
      <c r="AB442" s="1424"/>
      <c r="AC442" s="1424"/>
      <c r="AD442" s="1424"/>
      <c r="AE442" s="1424"/>
      <c r="AF442" s="1425"/>
      <c r="AG442" s="1421">
        <v>123489</v>
      </c>
      <c r="AH442" s="1421"/>
      <c r="AI442" s="1421"/>
      <c r="AJ442" s="1421"/>
    </row>
    <row r="443" spans="1:55" ht="12.95" customHeight="1">
      <c r="D443" s="1423" t="s">
        <v>1036</v>
      </c>
      <c r="E443" s="1424"/>
      <c r="F443" s="1424"/>
      <c r="G443" s="1424"/>
      <c r="H443" s="1424"/>
      <c r="I443" s="1424"/>
      <c r="J443" s="1424"/>
      <c r="K443" s="1424"/>
      <c r="L443" s="1424"/>
      <c r="M443" s="1424"/>
      <c r="N443" s="1424"/>
      <c r="O443" s="1424"/>
      <c r="P443" s="1424"/>
      <c r="Q443" s="1424"/>
      <c r="R443" s="1424"/>
      <c r="S443" s="1424"/>
      <c r="T443" s="1424"/>
      <c r="U443" s="1424"/>
      <c r="V443" s="1424"/>
      <c r="W443" s="1424"/>
      <c r="X443" s="1424"/>
      <c r="Y443" s="1424"/>
      <c r="Z443" s="1424"/>
      <c r="AA443" s="1424"/>
      <c r="AB443" s="1424"/>
      <c r="AC443" s="1424"/>
      <c r="AD443" s="1424"/>
      <c r="AE443" s="1424"/>
      <c r="AF443" s="1425"/>
      <c r="AG443" s="1421">
        <v>123489</v>
      </c>
      <c r="AH443" s="1421"/>
      <c r="AI443" s="1421"/>
      <c r="AJ443" s="1421"/>
    </row>
    <row r="444" spans="1:55" ht="12.95" customHeight="1">
      <c r="D444" s="1423" t="s">
        <v>1037</v>
      </c>
      <c r="E444" s="1424"/>
      <c r="F444" s="1424"/>
      <c r="G444" s="1424"/>
      <c r="H444" s="1424"/>
      <c r="I444" s="1424"/>
      <c r="J444" s="1424"/>
      <c r="K444" s="1424"/>
      <c r="L444" s="1424"/>
      <c r="M444" s="1424"/>
      <c r="N444" s="1424"/>
      <c r="O444" s="1424"/>
      <c r="P444" s="1424"/>
      <c r="Q444" s="1424"/>
      <c r="R444" s="1424"/>
      <c r="S444" s="1424"/>
      <c r="T444" s="1424"/>
      <c r="U444" s="1424"/>
      <c r="V444" s="1424"/>
      <c r="W444" s="1424"/>
      <c r="X444" s="1424"/>
      <c r="Y444" s="1424"/>
      <c r="Z444" s="1424"/>
      <c r="AA444" s="1424"/>
      <c r="AB444" s="1424"/>
      <c r="AC444" s="1424"/>
      <c r="AD444" s="1424"/>
      <c r="AE444" s="1424"/>
      <c r="AF444" s="1425"/>
      <c r="AG444" s="1422">
        <f>IF(ISERROR(AG443/AG442),0,AG443/AG442)</f>
        <v>1</v>
      </c>
      <c r="AH444" s="1422"/>
      <c r="AI444" s="1422"/>
      <c r="AJ444" s="1422"/>
    </row>
    <row r="445" spans="1:55" ht="12.95" customHeight="1">
      <c r="D445" s="1423" t="s">
        <v>1038</v>
      </c>
      <c r="E445" s="1424"/>
      <c r="F445" s="1424"/>
      <c r="G445" s="1424"/>
      <c r="H445" s="1424"/>
      <c r="I445" s="1424"/>
      <c r="J445" s="1424"/>
      <c r="K445" s="1424"/>
      <c r="L445" s="1424"/>
      <c r="M445" s="1424"/>
      <c r="N445" s="1424"/>
      <c r="O445" s="1424"/>
      <c r="P445" s="1424"/>
      <c r="Q445" s="1424"/>
      <c r="R445" s="1424"/>
      <c r="S445" s="1424"/>
      <c r="T445" s="1424"/>
      <c r="U445" s="1424"/>
      <c r="V445" s="1424"/>
      <c r="W445" s="1424"/>
      <c r="X445" s="1424"/>
      <c r="Y445" s="1424"/>
      <c r="Z445" s="1424"/>
      <c r="AA445" s="1424"/>
      <c r="AB445" s="1424"/>
      <c r="AC445" s="1424"/>
      <c r="AD445" s="1424"/>
      <c r="AE445" s="1424"/>
      <c r="AF445" s="1425"/>
      <c r="AG445" s="1422">
        <f>MIN(IF(AG441&gt;AG444,AG444,AG441),1)</f>
        <v>1</v>
      </c>
      <c r="AH445" s="1422"/>
      <c r="AI445" s="1422"/>
      <c r="AJ445" s="1422"/>
    </row>
    <row r="446" spans="1:55" ht="12.95" customHeight="1">
      <c r="D446" s="1423" t="s">
        <v>2088</v>
      </c>
      <c r="E446" s="1513"/>
      <c r="F446" s="1513"/>
      <c r="G446" s="1513"/>
      <c r="H446" s="1513"/>
      <c r="I446" s="1513"/>
      <c r="J446" s="1513"/>
      <c r="K446" s="1513"/>
      <c r="L446" s="1513"/>
      <c r="M446" s="1513"/>
      <c r="N446" s="1513"/>
      <c r="O446" s="1513"/>
      <c r="P446" s="1513"/>
      <c r="Q446" s="1513"/>
      <c r="R446" s="1513"/>
      <c r="S446" s="1513"/>
      <c r="T446" s="1513"/>
      <c r="U446" s="1513"/>
      <c r="V446" s="1513"/>
      <c r="W446" s="1513"/>
      <c r="X446" s="1513"/>
      <c r="Y446" s="1513"/>
      <c r="Z446" s="1513"/>
      <c r="AA446" s="1513"/>
      <c r="AB446" s="1513"/>
      <c r="AC446" s="1513"/>
      <c r="AD446" s="1513"/>
      <c r="AE446" s="1513"/>
      <c r="AF446" s="1514"/>
      <c r="AG446" s="1421"/>
      <c r="AH446" s="1421"/>
      <c r="AI446" s="1421"/>
      <c r="AJ446" s="1421"/>
      <c r="AZ446" s="34"/>
      <c r="BA446" s="34"/>
      <c r="BB446" s="34"/>
      <c r="BC446" s="34"/>
    </row>
    <row r="447" spans="1:55" ht="12.95" customHeight="1">
      <c r="D447" s="1512" t="s">
        <v>570</v>
      </c>
      <c r="E447" s="1513"/>
      <c r="F447" s="1513"/>
      <c r="G447" s="1513"/>
      <c r="H447" s="1513"/>
      <c r="I447" s="1513"/>
      <c r="J447" s="1513"/>
      <c r="K447" s="1513"/>
      <c r="L447" s="1513"/>
      <c r="M447" s="1513"/>
      <c r="N447" s="1513"/>
      <c r="O447" s="1513"/>
      <c r="P447" s="1513"/>
      <c r="Q447" s="1513"/>
      <c r="R447" s="1513"/>
      <c r="S447" s="1513"/>
      <c r="T447" s="1513"/>
      <c r="U447" s="1513"/>
      <c r="V447" s="1513"/>
      <c r="W447" s="1513"/>
      <c r="X447" s="1513"/>
      <c r="Y447" s="1513"/>
      <c r="Z447" s="1513"/>
      <c r="AA447" s="1513"/>
      <c r="AB447" s="1513"/>
      <c r="AC447" s="1513"/>
      <c r="AD447" s="1513"/>
      <c r="AE447" s="1513"/>
      <c r="AF447" s="1514"/>
      <c r="AG447" s="1421"/>
      <c r="AH447" s="1421"/>
      <c r="AI447" s="1421"/>
      <c r="AJ447" s="1421"/>
      <c r="AZ447" s="3"/>
      <c r="BA447" s="3"/>
      <c r="BB447" s="3"/>
      <c r="BC447" s="3"/>
    </row>
    <row r="448" spans="1:55" ht="12.95" customHeight="1">
      <c r="D448" s="1423" t="s">
        <v>1206</v>
      </c>
      <c r="E448" s="1513"/>
      <c r="F448" s="1513"/>
      <c r="G448" s="1513"/>
      <c r="H448" s="1513"/>
      <c r="I448" s="1513"/>
      <c r="J448" s="1513"/>
      <c r="K448" s="1513"/>
      <c r="L448" s="1513"/>
      <c r="M448" s="1513"/>
      <c r="N448" s="1513"/>
      <c r="O448" s="1513"/>
      <c r="P448" s="1513"/>
      <c r="Q448" s="1513"/>
      <c r="R448" s="1513"/>
      <c r="S448" s="1513"/>
      <c r="T448" s="1513"/>
      <c r="U448" s="1513"/>
      <c r="V448" s="1513"/>
      <c r="W448" s="1513"/>
      <c r="X448" s="1513"/>
      <c r="Y448" s="1513"/>
      <c r="Z448" s="1513"/>
      <c r="AA448" s="1513"/>
      <c r="AB448" s="1513"/>
      <c r="AC448" s="1513"/>
      <c r="AD448" s="1513"/>
      <c r="AE448" s="1513"/>
      <c r="AF448" s="1514"/>
      <c r="AG448" s="1421"/>
      <c r="AH448" s="1421"/>
      <c r="AI448" s="1421"/>
      <c r="AJ448" s="1421"/>
      <c r="AZ448" s="3"/>
      <c r="BA448" s="3"/>
      <c r="BB448" s="3"/>
      <c r="BC448" s="3"/>
    </row>
    <row r="449" spans="1:55" ht="12.95" customHeight="1">
      <c r="D449" s="1423" t="s">
        <v>1039</v>
      </c>
      <c r="E449" s="1513"/>
      <c r="F449" s="1513"/>
      <c r="G449" s="1513"/>
      <c r="H449" s="1513"/>
      <c r="I449" s="1513"/>
      <c r="J449" s="1513"/>
      <c r="K449" s="1513"/>
      <c r="L449" s="1513"/>
      <c r="M449" s="1513"/>
      <c r="N449" s="1513"/>
      <c r="O449" s="1513"/>
      <c r="P449" s="1513"/>
      <c r="Q449" s="1513"/>
      <c r="R449" s="1513"/>
      <c r="S449" s="1513"/>
      <c r="T449" s="1513"/>
      <c r="U449" s="1513"/>
      <c r="V449" s="1513"/>
      <c r="W449" s="1513"/>
      <c r="X449" s="1513"/>
      <c r="Y449" s="1513"/>
      <c r="Z449" s="1513"/>
      <c r="AA449" s="1513"/>
      <c r="AB449" s="1513"/>
      <c r="AC449" s="1513"/>
      <c r="AD449" s="1513"/>
      <c r="AE449" s="1513"/>
      <c r="AF449" s="1514"/>
      <c r="AG449" s="1421"/>
      <c r="AH449" s="1421"/>
      <c r="AI449" s="1421"/>
      <c r="AJ449" s="1421"/>
      <c r="BB449" s="3"/>
      <c r="BC449" s="3"/>
    </row>
    <row r="450" spans="1:55" ht="12.95" customHeight="1">
      <c r="D450" s="1576" t="s">
        <v>1040</v>
      </c>
      <c r="E450" s="1577"/>
      <c r="F450" s="1577"/>
      <c r="G450" s="1577"/>
      <c r="H450" s="1577"/>
      <c r="I450" s="1577"/>
      <c r="J450" s="1577"/>
      <c r="K450" s="1577"/>
      <c r="L450" s="1577"/>
      <c r="M450" s="1577"/>
      <c r="N450" s="1577"/>
      <c r="O450" s="1577"/>
      <c r="P450" s="1577"/>
      <c r="Q450" s="1577"/>
      <c r="R450" s="1577"/>
      <c r="S450" s="1577"/>
      <c r="T450" s="1577"/>
      <c r="U450" s="1577"/>
      <c r="V450" s="1577"/>
      <c r="W450" s="1577"/>
      <c r="X450" s="1577"/>
      <c r="Y450" s="1577"/>
      <c r="Z450" s="1577"/>
      <c r="AA450" s="1577"/>
      <c r="AB450" s="1577"/>
      <c r="AC450" s="1577"/>
      <c r="AD450" s="1577"/>
      <c r="AE450" s="1577"/>
      <c r="AF450" s="1578"/>
      <c r="AG450" s="1432">
        <f>AG442+AG446+AG448+AG449</f>
        <v>123489</v>
      </c>
      <c r="AH450" s="1432"/>
      <c r="AI450" s="1432"/>
      <c r="AJ450" s="1432"/>
      <c r="AZ450" s="3"/>
      <c r="BA450" s="3"/>
      <c r="BB450" s="3"/>
      <c r="BC450" s="3"/>
    </row>
    <row r="451" spans="1:55" ht="12.95" customHeight="1">
      <c r="D451" s="1586" t="s">
        <v>1207</v>
      </c>
      <c r="E451" s="1586"/>
      <c r="F451" s="1586"/>
      <c r="G451" s="1586"/>
      <c r="H451" s="1586"/>
      <c r="I451" s="1586"/>
      <c r="J451" s="1586"/>
      <c r="K451" s="1586"/>
      <c r="L451" s="1586"/>
      <c r="M451" s="1586"/>
      <c r="N451" s="1586"/>
      <c r="O451" s="1586"/>
      <c r="P451" s="1586"/>
      <c r="Q451" s="1586"/>
      <c r="R451" s="1586"/>
      <c r="S451" s="1586"/>
      <c r="T451" s="1586"/>
      <c r="U451" s="1586"/>
      <c r="V451" s="1586"/>
      <c r="W451" s="1586"/>
      <c r="X451" s="1586"/>
      <c r="Y451" s="1586"/>
      <c r="Z451" s="1586"/>
      <c r="AA451" s="1586"/>
      <c r="AB451" s="1586"/>
      <c r="AC451" s="1586"/>
      <c r="AD451" s="1586"/>
      <c r="AE451" s="1586"/>
      <c r="AF451" s="1586"/>
      <c r="AG451" s="1586"/>
      <c r="AH451" s="1586"/>
      <c r="AI451" s="1586"/>
      <c r="AJ451" s="1586"/>
      <c r="AZ451" s="3"/>
      <c r="BA451" s="3"/>
      <c r="BB451" s="3"/>
      <c r="BC451" s="3"/>
    </row>
    <row r="452" spans="1:55" ht="12.95" customHeight="1">
      <c r="D452" s="1587"/>
      <c r="E452" s="1587"/>
      <c r="F452" s="1587"/>
      <c r="G452" s="1587"/>
      <c r="H452" s="1587"/>
      <c r="I452" s="1587"/>
      <c r="J452" s="1587"/>
      <c r="K452" s="1587"/>
      <c r="L452" s="1587"/>
      <c r="M452" s="1587"/>
      <c r="N452" s="1587"/>
      <c r="O452" s="1587"/>
      <c r="P452" s="1587"/>
      <c r="Q452" s="1587"/>
      <c r="R452" s="1587"/>
      <c r="S452" s="1587"/>
      <c r="T452" s="1587"/>
      <c r="U452" s="1587"/>
      <c r="V452" s="1587"/>
      <c r="W452" s="1587"/>
      <c r="X452" s="1587"/>
      <c r="Y452" s="1587"/>
      <c r="Z452" s="1587"/>
      <c r="AA452" s="1587"/>
      <c r="AB452" s="1587"/>
      <c r="AC452" s="1587"/>
      <c r="AD452" s="1587"/>
      <c r="AE452" s="1587"/>
      <c r="AF452" s="1587"/>
      <c r="AG452" s="1587"/>
      <c r="AH452" s="1587"/>
      <c r="AI452" s="1587"/>
      <c r="AJ452" s="1587"/>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87">
        <f>IF(AG437=0,"",'Sources and Uses Budget'!B105/Application!AG437)</f>
        <v>505493.77464788733</v>
      </c>
      <c r="AD454" s="1387"/>
      <c r="AE454" s="1387"/>
      <c r="AF454" s="1387"/>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87">
        <f>IF(AG437=0,"",'Sources and Uses Budget'!C105/Application!AG437)</f>
        <v>505493.77464788733</v>
      </c>
      <c r="AD455" s="1387"/>
      <c r="AE455" s="1387"/>
      <c r="AF455" s="1387"/>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87">
        <f>IF(AG437=0,"",('Sources and Uses Budget'!$S$107+'Sources and Uses Budget'!$T$107)/Application!AG437)</f>
        <v>482879.71830985916</v>
      </c>
      <c r="AD456" s="1387"/>
      <c r="AE456" s="1387"/>
      <c r="AF456" s="1387"/>
      <c r="AG456" s="177"/>
      <c r="AH456" s="177"/>
      <c r="AI456" s="177"/>
      <c r="AJ456" s="183"/>
      <c r="AZ456" s="3"/>
      <c r="BA456" s="3"/>
      <c r="BB456" s="3"/>
      <c r="BC456" s="3"/>
    </row>
    <row r="457" spans="1:55" ht="12.95" customHeight="1">
      <c r="D457" s="177"/>
      <c r="E457" s="177"/>
      <c r="F457" s="1388" t="str">
        <f>IFERROR(IF(AC454&gt;650000,"Please provide a justification of cost per unit in Tab 12 for all projects with per unit costs of greater than $650,000.",""),"")</f>
        <v/>
      </c>
      <c r="G457" s="1388"/>
      <c r="H457" s="1388"/>
      <c r="I457" s="1388"/>
      <c r="J457" s="1388"/>
      <c r="K457" s="1388"/>
      <c r="L457" s="1388"/>
      <c r="M457" s="1388"/>
      <c r="N457" s="1388"/>
      <c r="O457" s="1388"/>
      <c r="P457" s="1388"/>
      <c r="Q457" s="1388"/>
      <c r="R457" s="1388"/>
      <c r="S457" s="1388"/>
      <c r="T457" s="1388"/>
      <c r="U457" s="1388"/>
      <c r="V457" s="1388"/>
      <c r="W457" s="1388"/>
      <c r="X457" s="1388"/>
      <c r="Y457" s="1388"/>
      <c r="Z457" s="1388"/>
      <c r="AA457" s="1388"/>
      <c r="AB457" s="1388"/>
      <c r="AC457" s="515"/>
      <c r="AD457" s="177"/>
      <c r="AE457" s="177"/>
      <c r="AF457" s="177"/>
      <c r="AG457" s="177"/>
      <c r="AH457" s="177"/>
      <c r="AI457" s="177"/>
      <c r="AJ457" s="183"/>
      <c r="AZ457" s="3"/>
      <c r="BA457" s="3"/>
      <c r="BB457" s="3"/>
      <c r="BC457" s="3"/>
    </row>
    <row r="458" spans="1:55" ht="12.95" customHeight="1">
      <c r="A458" s="2"/>
      <c r="D458" s="2"/>
      <c r="E458" s="177"/>
      <c r="F458" s="1388"/>
      <c r="G458" s="1388"/>
      <c r="H458" s="1388"/>
      <c r="I458" s="1388"/>
      <c r="J458" s="1388"/>
      <c r="K458" s="1388"/>
      <c r="L458" s="1388"/>
      <c r="M458" s="1388"/>
      <c r="N458" s="1388"/>
      <c r="O458" s="1388"/>
      <c r="P458" s="1388"/>
      <c r="Q458" s="1388"/>
      <c r="R458" s="1388"/>
      <c r="S458" s="1388"/>
      <c r="T458" s="1388"/>
      <c r="U458" s="1388"/>
      <c r="V458" s="1388"/>
      <c r="W458" s="1388"/>
      <c r="X458" s="1388"/>
      <c r="Y458" s="1388"/>
      <c r="Z458" s="1388"/>
      <c r="AA458" s="1388"/>
      <c r="AB458" s="1388"/>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No</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62" t="s">
        <v>2100</v>
      </c>
      <c r="E465" s="1390"/>
      <c r="F465" s="1390"/>
      <c r="G465" s="1390"/>
      <c r="H465" s="1390"/>
      <c r="I465" s="1390"/>
      <c r="J465" s="1390"/>
      <c r="K465" s="1390"/>
      <c r="L465" s="1390"/>
      <c r="M465" s="1390"/>
      <c r="N465" s="1390"/>
      <c r="O465" s="1390"/>
      <c r="P465" s="1390"/>
      <c r="Q465" s="1390"/>
      <c r="R465" s="1390"/>
      <c r="S465" s="1390"/>
      <c r="T465" s="1390"/>
      <c r="U465" s="1390"/>
      <c r="V465" s="1391"/>
      <c r="W465" s="1365">
        <v>0</v>
      </c>
      <c r="X465" s="1366"/>
      <c r="Y465" s="1367"/>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89" t="s">
        <v>694</v>
      </c>
      <c r="E466" s="1390"/>
      <c r="F466" s="1390"/>
      <c r="G466" s="1390"/>
      <c r="H466" s="1390"/>
      <c r="I466" s="1390"/>
      <c r="J466" s="1390"/>
      <c r="K466" s="1390"/>
      <c r="L466" s="1390"/>
      <c r="M466" s="1390"/>
      <c r="N466" s="1390"/>
      <c r="O466" s="1390"/>
      <c r="P466" s="1390"/>
      <c r="Q466" s="1390"/>
      <c r="R466" s="1390"/>
      <c r="S466" s="1390"/>
      <c r="T466" s="1390"/>
      <c r="U466" s="1390"/>
      <c r="V466" s="1391"/>
      <c r="W466" s="1365">
        <v>0</v>
      </c>
      <c r="X466" s="1366"/>
      <c r="Y466" s="1367"/>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89" t="s">
        <v>695</v>
      </c>
      <c r="E467" s="1390"/>
      <c r="F467" s="1390"/>
      <c r="G467" s="1390"/>
      <c r="H467" s="1390"/>
      <c r="I467" s="1390"/>
      <c r="J467" s="1390"/>
      <c r="K467" s="1390"/>
      <c r="L467" s="1390"/>
      <c r="M467" s="1390"/>
      <c r="N467" s="1390"/>
      <c r="O467" s="1390"/>
      <c r="P467" s="1390"/>
      <c r="Q467" s="1390"/>
      <c r="R467" s="1390"/>
      <c r="S467" s="1390"/>
      <c r="T467" s="1390"/>
      <c r="U467" s="1390"/>
      <c r="V467" s="1391"/>
      <c r="W467" s="1365">
        <v>0</v>
      </c>
      <c r="X467" s="1366"/>
      <c r="Y467" s="1367"/>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89" t="s">
        <v>696</v>
      </c>
      <c r="E468" s="1390"/>
      <c r="F468" s="1390"/>
      <c r="G468" s="1390"/>
      <c r="H468" s="1390"/>
      <c r="I468" s="1390"/>
      <c r="J468" s="1390"/>
      <c r="K468" s="1390"/>
      <c r="L468" s="1390"/>
      <c r="M468" s="1390"/>
      <c r="N468" s="1390"/>
      <c r="O468" s="1390"/>
      <c r="P468" s="1390"/>
      <c r="Q468" s="1390"/>
      <c r="R468" s="1390"/>
      <c r="S468" s="1390"/>
      <c r="T468" s="1390"/>
      <c r="U468" s="1390"/>
      <c r="V468" s="1391"/>
      <c r="W468" s="1365">
        <v>0</v>
      </c>
      <c r="X468" s="1366"/>
      <c r="Y468" s="1367"/>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89" t="s">
        <v>882</v>
      </c>
      <c r="E469" s="1390"/>
      <c r="F469" s="1390"/>
      <c r="G469" s="1390"/>
      <c r="H469" s="1390"/>
      <c r="I469" s="1390"/>
      <c r="J469" s="1390"/>
      <c r="K469" s="1390"/>
      <c r="L469" s="1390"/>
      <c r="M469" s="1390"/>
      <c r="N469" s="1390"/>
      <c r="O469" s="1390"/>
      <c r="P469" s="1390"/>
      <c r="Q469" s="1390"/>
      <c r="R469" s="1390"/>
      <c r="S469" s="1390"/>
      <c r="T469" s="1390"/>
      <c r="U469" s="1390"/>
      <c r="V469" s="1391"/>
      <c r="W469" s="1365">
        <v>0</v>
      </c>
      <c r="X469" s="1366"/>
      <c r="Y469" s="1367"/>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89" t="s">
        <v>697</v>
      </c>
      <c r="E470" s="1390"/>
      <c r="F470" s="1390"/>
      <c r="G470" s="1390"/>
      <c r="H470" s="1390"/>
      <c r="I470" s="1390"/>
      <c r="J470" s="1390"/>
      <c r="K470" s="1390"/>
      <c r="L470" s="1390"/>
      <c r="M470" s="1390"/>
      <c r="N470" s="1390"/>
      <c r="O470" s="1390"/>
      <c r="P470" s="1390"/>
      <c r="Q470" s="1390"/>
      <c r="R470" s="1390"/>
      <c r="S470" s="1390"/>
      <c r="T470" s="1390"/>
      <c r="U470" s="1390"/>
      <c r="V470" s="1391"/>
      <c r="W470" s="1365">
        <v>0</v>
      </c>
      <c r="X470" s="1366"/>
      <c r="Y470" s="1367"/>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89" t="s">
        <v>1013</v>
      </c>
      <c r="E471" s="1390"/>
      <c r="F471" s="1390"/>
      <c r="G471" s="1390"/>
      <c r="H471" s="1390"/>
      <c r="I471" s="1390"/>
      <c r="J471" s="1390"/>
      <c r="K471" s="1390"/>
      <c r="L471" s="1390"/>
      <c r="M471" s="1390"/>
      <c r="N471" s="1390"/>
      <c r="O471" s="1390"/>
      <c r="P471" s="1390"/>
      <c r="Q471" s="1390"/>
      <c r="R471" s="1390"/>
      <c r="S471" s="1390"/>
      <c r="T471" s="1390"/>
      <c r="U471" s="1390"/>
      <c r="V471" s="1391"/>
      <c r="W471" s="1365">
        <v>0</v>
      </c>
      <c r="X471" s="1366"/>
      <c r="Y471" s="1367"/>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62" t="s">
        <v>2191</v>
      </c>
      <c r="E472" s="1363"/>
      <c r="F472" s="1363"/>
      <c r="G472" s="1363"/>
      <c r="H472" s="1363"/>
      <c r="I472" s="1363"/>
      <c r="J472" s="1363"/>
      <c r="K472" s="1363"/>
      <c r="L472" s="1363"/>
      <c r="M472" s="1363"/>
      <c r="N472" s="1363"/>
      <c r="O472" s="1363"/>
      <c r="P472" s="1363"/>
      <c r="Q472" s="1363"/>
      <c r="R472" s="1363"/>
      <c r="S472" s="1363"/>
      <c r="T472" s="1363"/>
      <c r="U472" s="1363"/>
      <c r="V472" s="1364"/>
      <c r="W472" s="1365">
        <v>0</v>
      </c>
      <c r="X472" s="1366"/>
      <c r="Y472" s="1367"/>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62" t="s">
        <v>1655</v>
      </c>
      <c r="E473" s="1390"/>
      <c r="F473" s="1390"/>
      <c r="G473" s="1390"/>
      <c r="H473" s="1390"/>
      <c r="I473" s="1390"/>
      <c r="J473" s="1390"/>
      <c r="K473" s="1390"/>
      <c r="L473" s="1390"/>
      <c r="M473" s="1390"/>
      <c r="N473" s="1390"/>
      <c r="O473" s="1390"/>
      <c r="P473" s="1390"/>
      <c r="Q473" s="1390"/>
      <c r="R473" s="1390"/>
      <c r="S473" s="1390"/>
      <c r="T473" s="1390"/>
      <c r="U473" s="1390"/>
      <c r="V473" s="1391"/>
      <c r="W473" s="1365">
        <v>15</v>
      </c>
      <c r="X473" s="1366"/>
      <c r="Y473" s="1367"/>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68" t="s">
        <v>2707</v>
      </c>
      <c r="H474" s="1669"/>
      <c r="I474" s="1669"/>
      <c r="J474" s="1669"/>
      <c r="K474" s="1669"/>
      <c r="L474" s="1669"/>
      <c r="M474" s="1669"/>
      <c r="N474" s="1669"/>
      <c r="O474" s="1669"/>
      <c r="P474" s="1669"/>
      <c r="Q474" s="1669"/>
      <c r="R474" s="1669"/>
      <c r="S474" s="1669"/>
      <c r="T474" s="1669"/>
      <c r="U474" s="1669"/>
      <c r="V474" s="1670"/>
      <c r="W474" s="1365">
        <v>6</v>
      </c>
      <c r="X474" s="1366"/>
      <c r="Y474" s="1367"/>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536" t="s">
        <v>811</v>
      </c>
      <c r="B480" s="1536"/>
      <c r="C480" s="1536"/>
      <c r="D480" s="1536"/>
      <c r="E480" s="1536"/>
      <c r="F480" s="1536"/>
      <c r="G480" s="1536"/>
      <c r="H480" s="1536"/>
      <c r="I480" s="1536"/>
      <c r="J480" s="1536"/>
      <c r="K480" s="1536"/>
      <c r="L480" s="1536"/>
      <c r="M480" s="1536"/>
      <c r="N480" s="1536"/>
      <c r="O480" s="1536"/>
      <c r="P480" s="1536"/>
      <c r="Q480" s="1536"/>
      <c r="R480" s="1536"/>
      <c r="S480" s="1536"/>
      <c r="T480" s="1536"/>
      <c r="U480" s="1536"/>
      <c r="V480" s="1536"/>
      <c r="W480" s="1536"/>
      <c r="X480" s="1536"/>
      <c r="Y480" s="1536"/>
      <c r="Z480" s="1536"/>
      <c r="AA480" s="1536"/>
      <c r="AB480" s="1536"/>
      <c r="AC480" s="1536"/>
      <c r="AD480" s="1536"/>
      <c r="AE480" s="1536"/>
      <c r="AF480" s="1536"/>
      <c r="AG480" s="1536"/>
      <c r="AH480" s="1536"/>
      <c r="AI480" s="1536"/>
      <c r="AJ480" s="1536"/>
      <c r="AK480" s="1536"/>
      <c r="AL480" s="1536"/>
      <c r="AM480" s="1536"/>
      <c r="AN480" s="1536"/>
      <c r="AO480" s="1536"/>
      <c r="AP480" s="1536"/>
      <c r="AQ480" s="1536"/>
      <c r="AR480" s="1536"/>
      <c r="AS480" s="1536"/>
      <c r="AT480" s="1536"/>
      <c r="AU480" s="95"/>
      <c r="AV480" s="95"/>
      <c r="AW480" s="95"/>
      <c r="AX480" s="95"/>
      <c r="AY480" s="95"/>
      <c r="AZ480" s="3"/>
      <c r="BB480" s="3"/>
      <c r="BC480" s="3"/>
    </row>
    <row r="481" spans="1:55" ht="12.95" customHeight="1">
      <c r="A481" s="1536"/>
      <c r="B481" s="1536"/>
      <c r="C481" s="1536"/>
      <c r="D481" s="1536"/>
      <c r="E481" s="1536"/>
      <c r="F481" s="1536"/>
      <c r="G481" s="1536"/>
      <c r="H481" s="1536"/>
      <c r="I481" s="1536"/>
      <c r="J481" s="1536"/>
      <c r="K481" s="1536"/>
      <c r="L481" s="1536"/>
      <c r="M481" s="1536"/>
      <c r="N481" s="1536"/>
      <c r="O481" s="1536"/>
      <c r="P481" s="1536"/>
      <c r="Q481" s="1536"/>
      <c r="R481" s="1536"/>
      <c r="S481" s="1536"/>
      <c r="T481" s="1536"/>
      <c r="U481" s="1536"/>
      <c r="V481" s="1536"/>
      <c r="W481" s="1536"/>
      <c r="X481" s="1536"/>
      <c r="Y481" s="1536"/>
      <c r="Z481" s="1536"/>
      <c r="AA481" s="1536"/>
      <c r="AB481" s="1536"/>
      <c r="AC481" s="1536"/>
      <c r="AD481" s="1536"/>
      <c r="AE481" s="1536"/>
      <c r="AF481" s="1536"/>
      <c r="AG481" s="1536"/>
      <c r="AH481" s="1536"/>
      <c r="AI481" s="1536"/>
      <c r="AJ481" s="1536"/>
      <c r="AK481" s="1536"/>
      <c r="AL481" s="1536"/>
      <c r="AM481" s="1536"/>
      <c r="AN481" s="1536"/>
      <c r="AO481" s="1536"/>
      <c r="AP481" s="1536"/>
      <c r="AQ481" s="1536"/>
      <c r="AR481" s="1536"/>
      <c r="AS481" s="1536"/>
      <c r="AT481" s="1536"/>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99" t="s">
        <v>393</v>
      </c>
      <c r="R485" s="1400"/>
      <c r="S485" s="1400"/>
      <c r="T485" s="1400"/>
      <c r="U485" s="1400"/>
      <c r="V485" s="1400"/>
      <c r="W485" s="1400"/>
      <c r="X485" s="1400"/>
      <c r="Y485" s="1400"/>
      <c r="Z485" s="1400"/>
      <c r="AA485" s="1400"/>
      <c r="AB485" s="1400"/>
      <c r="AC485" s="1400"/>
      <c r="AD485" s="1400"/>
      <c r="AE485" s="1400"/>
      <c r="AF485" s="1400"/>
      <c r="AG485" s="1400"/>
      <c r="AH485" s="1400"/>
      <c r="AI485" s="1400"/>
      <c r="AJ485" s="1400"/>
      <c r="AK485" s="1401"/>
      <c r="AZ485" s="3"/>
      <c r="BB485" s="3"/>
      <c r="BC485" s="3"/>
    </row>
    <row r="486" spans="1:55" ht="12.95" customHeight="1">
      <c r="B486" s="45" t="s">
        <v>394</v>
      </c>
      <c r="C486" s="5"/>
      <c r="D486" s="5"/>
      <c r="E486" s="5"/>
      <c r="F486" s="5"/>
      <c r="G486" s="5"/>
      <c r="H486" s="5"/>
      <c r="I486" s="5"/>
      <c r="J486" s="5"/>
      <c r="K486" s="5"/>
      <c r="L486" s="5"/>
      <c r="M486" s="5"/>
      <c r="N486" s="5"/>
      <c r="O486" s="5"/>
      <c r="P486" s="5"/>
      <c r="Q486" s="1385" t="s">
        <v>2708</v>
      </c>
      <c r="R486" s="1332"/>
      <c r="S486" s="1332"/>
      <c r="T486" s="1332"/>
      <c r="U486" s="1332"/>
      <c r="V486" s="1332"/>
      <c r="W486" s="1332"/>
      <c r="X486" s="1332"/>
      <c r="Y486" s="1332"/>
      <c r="Z486" s="1332"/>
      <c r="AA486" s="1332"/>
      <c r="AB486" s="1332"/>
      <c r="AC486" s="1332"/>
      <c r="AD486" s="1332"/>
      <c r="AE486" s="1332"/>
      <c r="AF486" s="1332"/>
      <c r="AG486" s="1332"/>
      <c r="AH486" s="1332"/>
      <c r="AI486" s="1332"/>
      <c r="AJ486" s="1332"/>
      <c r="AK486" s="1386"/>
      <c r="AZ486" s="3"/>
      <c r="BB486" s="3"/>
      <c r="BC486" s="3"/>
    </row>
    <row r="487" spans="1:55" ht="12.95" customHeight="1">
      <c r="B487" s="45" t="s">
        <v>395</v>
      </c>
      <c r="C487" s="5"/>
      <c r="D487" s="5"/>
      <c r="E487" s="5"/>
      <c r="F487" s="5"/>
      <c r="G487" s="5"/>
      <c r="H487" s="5"/>
      <c r="I487" s="5"/>
      <c r="J487" s="5"/>
      <c r="K487" s="5"/>
      <c r="L487" s="5"/>
      <c r="M487" s="5"/>
      <c r="N487" s="5"/>
      <c r="O487" s="5"/>
      <c r="P487" s="5"/>
      <c r="Q487" s="1385" t="str">
        <f>Q486</f>
        <v>R-2 MEDIUM DENSITY RESIDENTIAL</v>
      </c>
      <c r="R487" s="1332"/>
      <c r="S487" s="1332"/>
      <c r="T487" s="1332"/>
      <c r="U487" s="1332"/>
      <c r="V487" s="1332"/>
      <c r="W487" s="1332"/>
      <c r="X487" s="1332"/>
      <c r="Y487" s="1332"/>
      <c r="Z487" s="1332"/>
      <c r="AA487" s="1332"/>
      <c r="AB487" s="1332"/>
      <c r="AC487" s="1332"/>
      <c r="AD487" s="1332"/>
      <c r="AE487" s="1332"/>
      <c r="AF487" s="1332"/>
      <c r="AG487" s="1332"/>
      <c r="AH487" s="1332"/>
      <c r="AI487" s="1332"/>
      <c r="AJ487" s="1332"/>
      <c r="AK487" s="1386"/>
      <c r="AZ487" s="3"/>
      <c r="BB487" s="3"/>
      <c r="BC487" s="3"/>
    </row>
    <row r="488" spans="1:55" ht="12.95" customHeight="1">
      <c r="B488" s="45" t="s">
        <v>396</v>
      </c>
      <c r="C488" s="5"/>
      <c r="D488" s="5"/>
      <c r="E488" s="5"/>
      <c r="F488" s="5"/>
      <c r="G488" s="5"/>
      <c r="H488" s="5"/>
      <c r="I488" s="5"/>
      <c r="J488" s="5"/>
      <c r="K488" s="5"/>
      <c r="L488" s="5"/>
      <c r="M488" s="5"/>
      <c r="N488" s="5"/>
      <c r="O488" s="5"/>
      <c r="P488" s="5"/>
      <c r="Q488" s="1385" t="str">
        <f>Q486</f>
        <v>R-2 MEDIUM DENSITY RESIDENTIAL</v>
      </c>
      <c r="R488" s="1332"/>
      <c r="S488" s="1332"/>
      <c r="T488" s="1332"/>
      <c r="U488" s="1332"/>
      <c r="V488" s="1332"/>
      <c r="W488" s="1332"/>
      <c r="X488" s="1332"/>
      <c r="Y488" s="1332"/>
      <c r="Z488" s="1332"/>
      <c r="AA488" s="1332"/>
      <c r="AB488" s="1332"/>
      <c r="AC488" s="1332"/>
      <c r="AD488" s="1332"/>
      <c r="AE488" s="1332"/>
      <c r="AF488" s="1332"/>
      <c r="AG488" s="1332"/>
      <c r="AH488" s="1332"/>
      <c r="AI488" s="1332"/>
      <c r="AJ488" s="1332"/>
      <c r="AK488" s="1386"/>
      <c r="AZ488" s="3"/>
      <c r="BA488" s="3"/>
      <c r="BB488" s="3"/>
      <c r="BC488" s="3"/>
    </row>
    <row r="489" spans="1:55" ht="12.95" customHeight="1">
      <c r="B489" s="1445" t="s">
        <v>397</v>
      </c>
      <c r="C489" s="1446"/>
      <c r="D489" s="1446"/>
      <c r="E489" s="1446"/>
      <c r="F489" s="1446"/>
      <c r="G489" s="1446"/>
      <c r="H489" s="1446"/>
      <c r="I489" s="1446"/>
      <c r="J489" s="1446"/>
      <c r="K489" s="1446"/>
      <c r="L489" s="1446"/>
      <c r="M489" s="1446"/>
      <c r="N489" s="1446"/>
      <c r="O489" s="1446"/>
      <c r="P489" s="1447"/>
      <c r="Q489" s="1451" t="s">
        <v>670</v>
      </c>
      <c r="R489" s="1452"/>
      <c r="S489" s="1570" t="s">
        <v>166</v>
      </c>
      <c r="T489" s="1571"/>
      <c r="U489" s="1571"/>
      <c r="V489" s="1571"/>
      <c r="W489" s="1571"/>
      <c r="X489" s="1571"/>
      <c r="Y489" s="1571"/>
      <c r="Z489" s="1571"/>
      <c r="AA489" s="1571"/>
      <c r="AB489" s="1571"/>
      <c r="AC489" s="1571"/>
      <c r="AD489" s="1571"/>
      <c r="AE489" s="1571"/>
      <c r="AF489" s="1571"/>
      <c r="AG489" s="1571"/>
      <c r="AH489" s="1571"/>
      <c r="AI489" s="1571"/>
      <c r="AJ489" s="1571"/>
      <c r="AK489" s="1572"/>
      <c r="AZ489" s="3"/>
      <c r="BA489" s="3"/>
      <c r="BB489" s="3"/>
      <c r="BC489" s="3"/>
    </row>
    <row r="490" spans="1:55" ht="12.95" customHeight="1">
      <c r="B490" s="1448"/>
      <c r="C490" s="1449"/>
      <c r="D490" s="1449"/>
      <c r="E490" s="1449"/>
      <c r="F490" s="1449"/>
      <c r="G490" s="1449"/>
      <c r="H490" s="1449"/>
      <c r="I490" s="1449"/>
      <c r="J490" s="1449"/>
      <c r="K490" s="1449"/>
      <c r="L490" s="1449"/>
      <c r="M490" s="1449"/>
      <c r="N490" s="1449"/>
      <c r="O490" s="1449"/>
      <c r="P490" s="1450"/>
      <c r="Q490" s="1453"/>
      <c r="R490" s="1454"/>
      <c r="S490" s="1573"/>
      <c r="T490" s="1530"/>
      <c r="U490" s="1530"/>
      <c r="V490" s="1530"/>
      <c r="W490" s="1530"/>
      <c r="X490" s="1530"/>
      <c r="Y490" s="1530"/>
      <c r="Z490" s="1530"/>
      <c r="AA490" s="1530"/>
      <c r="AB490" s="1530"/>
      <c r="AC490" s="1530"/>
      <c r="AD490" s="1530"/>
      <c r="AE490" s="1530"/>
      <c r="AF490" s="1530"/>
      <c r="AG490" s="1530"/>
      <c r="AH490" s="1530"/>
      <c r="AI490" s="1530"/>
      <c r="AJ490" s="1530"/>
      <c r="AK490" s="1574"/>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392" t="s">
        <v>670</v>
      </c>
      <c r="R491" s="1393"/>
      <c r="S491" s="1393"/>
      <c r="T491" s="1393"/>
      <c r="U491" s="1393"/>
      <c r="V491" s="1393"/>
      <c r="W491" s="1393"/>
      <c r="X491" s="1393"/>
      <c r="Y491" s="1393"/>
      <c r="Z491" s="1393"/>
      <c r="AA491" s="1393"/>
      <c r="AB491" s="1393"/>
      <c r="AC491" s="1393"/>
      <c r="AD491" s="1393"/>
      <c r="AE491" s="1393"/>
      <c r="AF491" s="1393"/>
      <c r="AG491" s="1393"/>
      <c r="AH491" s="1393"/>
      <c r="AI491" s="1393"/>
      <c r="AJ491" s="1393"/>
      <c r="AK491" s="1394"/>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85" t="s">
        <v>2709</v>
      </c>
      <c r="R492" s="1332"/>
      <c r="S492" s="1332"/>
      <c r="T492" s="1332"/>
      <c r="U492" s="1332"/>
      <c r="V492" s="1332"/>
      <c r="W492" s="1332"/>
      <c r="X492" s="1332"/>
      <c r="Y492" s="1332"/>
      <c r="Z492" s="1332"/>
      <c r="AA492" s="1332"/>
      <c r="AB492" s="1332"/>
      <c r="AC492" s="1332"/>
      <c r="AD492" s="1332"/>
      <c r="AE492" s="1332"/>
      <c r="AF492" s="1332"/>
      <c r="AG492" s="1332"/>
      <c r="AH492" s="1332"/>
      <c r="AI492" s="1332"/>
      <c r="AJ492" s="1332"/>
      <c r="AK492" s="1386"/>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85" t="s">
        <v>2710</v>
      </c>
      <c r="R493" s="1332"/>
      <c r="S493" s="1332"/>
      <c r="T493" s="1332"/>
      <c r="U493" s="1332"/>
      <c r="V493" s="1332"/>
      <c r="W493" s="1332"/>
      <c r="X493" s="1332"/>
      <c r="Y493" s="1332"/>
      <c r="Z493" s="1332"/>
      <c r="AA493" s="1332"/>
      <c r="AB493" s="1332"/>
      <c r="AC493" s="1332"/>
      <c r="AD493" s="1332"/>
      <c r="AE493" s="1332"/>
      <c r="AF493" s="1332"/>
      <c r="AG493" s="1332"/>
      <c r="AH493" s="1332"/>
      <c r="AI493" s="1332"/>
      <c r="AJ493" s="1332"/>
      <c r="AK493" s="1386"/>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385">
        <v>161</v>
      </c>
      <c r="R494" s="1332"/>
      <c r="S494" s="1332"/>
      <c r="T494" s="1332"/>
      <c r="U494" s="1332"/>
      <c r="V494" s="1332"/>
      <c r="W494" s="1332"/>
      <c r="X494" s="1332"/>
      <c r="Y494" s="1332"/>
      <c r="Z494" s="1332"/>
      <c r="AA494" s="1332"/>
      <c r="AB494" s="1332"/>
      <c r="AC494" s="1332"/>
      <c r="AD494" s="1332"/>
      <c r="AE494" s="1332"/>
      <c r="AF494" s="1332"/>
      <c r="AG494" s="1332"/>
      <c r="AH494" s="1332"/>
      <c r="AI494" s="1332"/>
      <c r="AJ494" s="1332"/>
      <c r="AK494" s="1386"/>
      <c r="AZ494" s="3"/>
      <c r="BA494" s="3"/>
      <c r="BB494" s="3"/>
      <c r="BC494" s="3"/>
    </row>
    <row r="495" spans="1:55" ht="12.95" customHeight="1">
      <c r="B495" s="121" t="s">
        <v>1670</v>
      </c>
      <c r="C495" s="5"/>
      <c r="D495" s="5"/>
      <c r="E495" s="5"/>
      <c r="F495" s="5"/>
      <c r="G495" s="5"/>
      <c r="H495" s="5"/>
      <c r="I495" s="5"/>
      <c r="J495" s="5"/>
      <c r="K495" s="5"/>
      <c r="L495" s="5"/>
      <c r="M495" s="1395">
        <v>0</v>
      </c>
      <c r="N495" s="1396"/>
      <c r="O495" s="1396"/>
      <c r="P495" s="1397"/>
      <c r="Q495" s="121" t="s">
        <v>1671</v>
      </c>
      <c r="R495" s="5"/>
      <c r="S495" s="5"/>
      <c r="T495" s="5"/>
      <c r="U495" s="5"/>
      <c r="V495" s="5"/>
      <c r="W495" s="5"/>
      <c r="X495" s="5"/>
      <c r="Y495" s="5"/>
      <c r="Z495" s="5"/>
      <c r="AA495" s="5"/>
      <c r="AB495" s="5"/>
      <c r="AC495" s="5"/>
      <c r="AD495" s="5"/>
      <c r="AE495" s="5"/>
      <c r="AF495" s="5"/>
      <c r="AG495" s="5"/>
      <c r="AH495" s="1395">
        <v>161</v>
      </c>
      <c r="AI495" s="1396"/>
      <c r="AJ495" s="1396"/>
      <c r="AK495" s="1397"/>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99" t="s">
        <v>401</v>
      </c>
      <c r="AD499" s="1400"/>
      <c r="AE499" s="1400"/>
      <c r="AF499" s="1400"/>
      <c r="AG499" s="1400"/>
      <c r="AH499" s="1400"/>
      <c r="AI499" s="1400"/>
      <c r="AJ499" s="1400"/>
      <c r="AK499" s="1401"/>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99" t="s">
        <v>402</v>
      </c>
      <c r="AD500" s="1400"/>
      <c r="AE500" s="1400"/>
      <c r="AF500" s="1400"/>
      <c r="AG500" s="50" t="s">
        <v>403</v>
      </c>
      <c r="AH500" s="1400" t="s">
        <v>404</v>
      </c>
      <c r="AI500" s="1400"/>
      <c r="AJ500" s="1400"/>
      <c r="AK500" s="1401"/>
      <c r="AZ500" s="3"/>
      <c r="BA500" s="3"/>
      <c r="BB500" s="3"/>
      <c r="BC500" s="3"/>
      <c r="BD500" s="3"/>
      <c r="BE500" s="3"/>
      <c r="BF500" s="3"/>
      <c r="BG500" s="3"/>
      <c r="BH500" s="3"/>
      <c r="BI500" s="3"/>
      <c r="BJ500" s="3"/>
      <c r="BK500" s="3"/>
      <c r="BL500" s="3"/>
      <c r="BM500" s="3"/>
      <c r="BN500" s="3"/>
    </row>
    <row r="501" spans="1:66" ht="12.95" customHeight="1">
      <c r="B501" s="1368" t="s">
        <v>405</v>
      </c>
      <c r="C501" s="1369"/>
      <c r="D501" s="1369"/>
      <c r="E501" s="1369"/>
      <c r="F501" s="1369"/>
      <c r="G501" s="1369"/>
      <c r="H501" s="1370"/>
      <c r="I501" s="42" t="s">
        <v>406</v>
      </c>
      <c r="J501" s="42"/>
      <c r="K501" s="42"/>
      <c r="L501" s="42"/>
      <c r="M501" s="42"/>
      <c r="N501" s="42"/>
      <c r="O501" s="42"/>
      <c r="P501" s="42"/>
      <c r="Q501" s="42"/>
      <c r="R501" s="42"/>
      <c r="S501" s="42"/>
      <c r="T501" s="42"/>
      <c r="U501" s="42"/>
      <c r="V501" s="42"/>
      <c r="W501" s="42"/>
      <c r="AC501" s="1402">
        <v>6</v>
      </c>
      <c r="AD501" s="1403"/>
      <c r="AE501" s="1403"/>
      <c r="AF501" s="1403"/>
      <c r="AG501" s="13" t="s">
        <v>403</v>
      </c>
      <c r="AH501" s="1413">
        <v>2024</v>
      </c>
      <c r="AI501" s="1413"/>
      <c r="AJ501" s="1413"/>
      <c r="AK501" s="1414"/>
      <c r="AZ501" s="3"/>
      <c r="BA501" s="3"/>
      <c r="BB501" s="3"/>
      <c r="BC501" s="3"/>
      <c r="BD501" s="3"/>
      <c r="BE501" s="3"/>
      <c r="BF501" s="3"/>
      <c r="BG501" s="3"/>
      <c r="BH501" s="3"/>
      <c r="BI501" s="3"/>
      <c r="BJ501" s="3"/>
      <c r="BK501" s="3"/>
      <c r="BL501" s="3"/>
      <c r="BM501" s="3"/>
      <c r="BN501" s="3"/>
    </row>
    <row r="502" spans="1:66" ht="12.95" customHeight="1">
      <c r="B502" s="1371"/>
      <c r="C502" s="1372"/>
      <c r="D502" s="1372"/>
      <c r="E502" s="1372"/>
      <c r="F502" s="1372"/>
      <c r="G502" s="1372"/>
      <c r="H502" s="1373"/>
      <c r="I502" s="48" t="s">
        <v>407</v>
      </c>
      <c r="J502" s="48"/>
      <c r="K502" s="48"/>
      <c r="L502" s="48"/>
      <c r="M502" s="48"/>
      <c r="N502" s="48"/>
      <c r="O502" s="48"/>
      <c r="P502" s="48"/>
      <c r="Q502" s="48"/>
      <c r="R502" s="48"/>
      <c r="S502" s="48"/>
      <c r="T502" s="48"/>
      <c r="U502" s="48"/>
      <c r="V502" s="48"/>
      <c r="W502" s="48"/>
      <c r="X502" s="48"/>
      <c r="Y502" s="48"/>
      <c r="Z502" s="48"/>
      <c r="AA502" s="48"/>
      <c r="AB502" s="48"/>
      <c r="AC502" s="1402">
        <v>5</v>
      </c>
      <c r="AD502" s="1403"/>
      <c r="AE502" s="1403"/>
      <c r="AF502" s="1403"/>
      <c r="AG502" s="38" t="s">
        <v>403</v>
      </c>
      <c r="AH502" s="1413">
        <v>2026</v>
      </c>
      <c r="AI502" s="1413"/>
      <c r="AJ502" s="1413"/>
      <c r="AK502" s="1414"/>
      <c r="AZ502" s="3"/>
      <c r="BA502" s="3"/>
      <c r="BB502" s="3"/>
      <c r="BC502" s="3"/>
      <c r="BD502" s="3"/>
      <c r="BE502" s="3"/>
      <c r="BF502" s="3"/>
      <c r="BG502" s="3"/>
      <c r="BH502" s="3"/>
      <c r="BI502" s="3"/>
      <c r="BJ502" s="3"/>
      <c r="BK502" s="3"/>
      <c r="BL502" s="3"/>
      <c r="BM502" s="3"/>
      <c r="BN502" s="3"/>
    </row>
    <row r="503" spans="1:66" ht="12.95" customHeight="1">
      <c r="B503" s="1368" t="s">
        <v>408</v>
      </c>
      <c r="C503" s="1369"/>
      <c r="D503" s="1369"/>
      <c r="E503" s="1369"/>
      <c r="F503" s="1369"/>
      <c r="G503" s="1369"/>
      <c r="H503" s="1370"/>
      <c r="I503" s="42" t="s">
        <v>409</v>
      </c>
      <c r="J503" s="42"/>
      <c r="K503" s="42"/>
      <c r="L503" s="42"/>
      <c r="M503" s="42"/>
      <c r="N503" s="42"/>
      <c r="O503" s="42"/>
      <c r="P503" s="42"/>
      <c r="Q503" s="42"/>
      <c r="R503" s="42"/>
      <c r="S503" s="42"/>
      <c r="T503" s="42"/>
      <c r="U503" s="42"/>
      <c r="V503" s="42"/>
      <c r="W503" s="42"/>
      <c r="AC503" s="1402" t="s">
        <v>592</v>
      </c>
      <c r="AD503" s="1403"/>
      <c r="AE503" s="1403"/>
      <c r="AF503" s="1403"/>
      <c r="AG503" s="13" t="s">
        <v>403</v>
      </c>
      <c r="AH503" s="1413" t="s">
        <v>592</v>
      </c>
      <c r="AI503" s="1413"/>
      <c r="AJ503" s="1413"/>
      <c r="AK503" s="1414"/>
      <c r="AZ503" s="3"/>
      <c r="BA503" s="3"/>
      <c r="BB503" s="3"/>
      <c r="BC503" s="3"/>
      <c r="BD503" s="3"/>
      <c r="BE503" s="3"/>
      <c r="BF503" s="3"/>
      <c r="BG503" s="3"/>
      <c r="BH503" s="3"/>
      <c r="BI503" s="3"/>
      <c r="BJ503" s="3"/>
      <c r="BK503" s="3"/>
      <c r="BL503" s="3"/>
      <c r="BM503" s="3"/>
      <c r="BN503" s="3"/>
    </row>
    <row r="504" spans="1:66" ht="12.95" customHeight="1">
      <c r="B504" s="1371"/>
      <c r="C504" s="1372"/>
      <c r="D504" s="1372"/>
      <c r="E504" s="1372"/>
      <c r="F504" s="1372"/>
      <c r="G504" s="1372"/>
      <c r="H504" s="1373"/>
      <c r="I504" t="s">
        <v>410</v>
      </c>
      <c r="AC504" s="1402" t="s">
        <v>592</v>
      </c>
      <c r="AD504" s="1403"/>
      <c r="AE504" s="1403"/>
      <c r="AF504" s="1403"/>
      <c r="AG504" s="13" t="s">
        <v>403</v>
      </c>
      <c r="AH504" s="1413" t="s">
        <v>592</v>
      </c>
      <c r="AI504" s="1413"/>
      <c r="AJ504" s="1413"/>
      <c r="AK504" s="1414"/>
      <c r="AZ504" s="3"/>
      <c r="BA504" s="3"/>
      <c r="BB504" s="3"/>
      <c r="BC504" s="3"/>
      <c r="BD504" s="3"/>
      <c r="BE504" s="3"/>
      <c r="BF504" s="3"/>
      <c r="BG504" s="3"/>
      <c r="BH504" s="3"/>
      <c r="BI504" s="3"/>
      <c r="BJ504" s="3"/>
      <c r="BK504" s="3"/>
      <c r="BL504" s="3"/>
      <c r="BM504" s="3"/>
      <c r="BN504" s="3"/>
    </row>
    <row r="505" spans="1:66" ht="12.95" customHeight="1">
      <c r="B505" s="1371"/>
      <c r="C505" s="1372"/>
      <c r="D505" s="1372"/>
      <c r="E505" s="1372"/>
      <c r="F505" s="1372"/>
      <c r="G505" s="1372"/>
      <c r="H505" s="1373"/>
      <c r="I505" t="s">
        <v>411</v>
      </c>
      <c r="AC505" s="1402">
        <v>5</v>
      </c>
      <c r="AD505" s="1403"/>
      <c r="AE505" s="1403"/>
      <c r="AF505" s="1403"/>
      <c r="AG505" s="13" t="s">
        <v>403</v>
      </c>
      <c r="AH505" s="1413">
        <v>2024</v>
      </c>
      <c r="AI505" s="1413"/>
      <c r="AJ505" s="1413"/>
      <c r="AK505" s="1414"/>
      <c r="AZ505" s="3"/>
      <c r="BA505" s="3"/>
      <c r="BB505" s="3"/>
      <c r="BC505" s="3"/>
      <c r="BD505" s="3"/>
      <c r="BE505" s="3"/>
      <c r="BF505" s="3"/>
      <c r="BG505" s="3"/>
      <c r="BH505" s="3"/>
      <c r="BI505" s="3"/>
      <c r="BJ505" s="3"/>
      <c r="BK505" s="3"/>
      <c r="BL505" s="3"/>
      <c r="BM505" s="3"/>
      <c r="BN505" s="3"/>
    </row>
    <row r="506" spans="1:66" ht="12.95" customHeight="1">
      <c r="B506" s="1371"/>
      <c r="C506" s="1372"/>
      <c r="D506" s="1372"/>
      <c r="E506" s="1372"/>
      <c r="F506" s="1372"/>
      <c r="G506" s="1372"/>
      <c r="H506" s="1373"/>
      <c r="I506" t="s">
        <v>412</v>
      </c>
      <c r="AC506" s="1402">
        <v>4</v>
      </c>
      <c r="AD506" s="1403"/>
      <c r="AE506" s="1403"/>
      <c r="AF506" s="1403"/>
      <c r="AG506" s="13" t="s">
        <v>403</v>
      </c>
      <c r="AH506" s="1413">
        <v>2026</v>
      </c>
      <c r="AI506" s="1413"/>
      <c r="AJ506" s="1413"/>
      <c r="AK506" s="1414"/>
      <c r="AZ506" s="3"/>
      <c r="BA506" s="3"/>
      <c r="BB506" s="3"/>
      <c r="BC506" s="3"/>
      <c r="BD506" s="3"/>
      <c r="BE506" s="3"/>
      <c r="BF506" s="3"/>
      <c r="BG506" s="3"/>
      <c r="BH506" s="3"/>
      <c r="BI506" s="3"/>
      <c r="BJ506" s="3"/>
      <c r="BK506" s="3"/>
      <c r="BL506" s="3"/>
      <c r="BM506" s="3"/>
      <c r="BN506" s="3"/>
    </row>
    <row r="507" spans="1:66" ht="12.95" customHeight="1">
      <c r="B507" s="1371"/>
      <c r="C507" s="1372"/>
      <c r="D507" s="1372"/>
      <c r="E507" s="1372"/>
      <c r="F507" s="1372"/>
      <c r="G507" s="1372"/>
      <c r="H507" s="1373"/>
      <c r="I507" s="3" t="s">
        <v>413</v>
      </c>
      <c r="AC507" s="1404">
        <v>5</v>
      </c>
      <c r="AD507" s="1405"/>
      <c r="AE507" s="1405"/>
      <c r="AF507" s="1405"/>
      <c r="AG507" s="13" t="s">
        <v>403</v>
      </c>
      <c r="AH507" s="1413">
        <v>2026</v>
      </c>
      <c r="AI507" s="1413"/>
      <c r="AJ507" s="1413"/>
      <c r="AK507" s="1414"/>
      <c r="AZ507" s="3"/>
      <c r="BA507" s="3"/>
      <c r="BB507" s="3"/>
      <c r="BC507" s="3"/>
      <c r="BD507" s="3"/>
      <c r="BE507" s="3"/>
      <c r="BF507" s="3"/>
      <c r="BG507" s="3"/>
      <c r="BH507" s="3"/>
      <c r="BI507" s="3"/>
      <c r="BJ507" s="3"/>
      <c r="BK507" s="3"/>
      <c r="BL507" s="3"/>
      <c r="BM507" s="3"/>
      <c r="BN507" s="3"/>
    </row>
    <row r="508" spans="1:66" ht="12.95" customHeight="1">
      <c r="B508" s="1371"/>
      <c r="C508" s="1372"/>
      <c r="D508" s="1372"/>
      <c r="E508" s="1372"/>
      <c r="F508" s="1372"/>
      <c r="G508" s="1372"/>
      <c r="H508" s="1373"/>
      <c r="I508" s="896" t="s">
        <v>170</v>
      </c>
      <c r="J508" s="48"/>
      <c r="K508" s="48"/>
      <c r="L508" s="1458" t="s">
        <v>334</v>
      </c>
      <c r="M508" s="1459"/>
      <c r="N508" s="1459"/>
      <c r="O508" s="1459"/>
      <c r="P508" s="1459"/>
      <c r="Q508" s="1459"/>
      <c r="R508" s="1459"/>
      <c r="S508" s="1459"/>
      <c r="T508" s="1459"/>
      <c r="U508" s="1459"/>
      <c r="V508" s="1459"/>
      <c r="W508" s="1459"/>
      <c r="X508" s="1459"/>
      <c r="Y508" s="1459"/>
      <c r="Z508" s="1459"/>
      <c r="AA508" s="1459"/>
      <c r="AB508" s="1460"/>
      <c r="AC508" s="1402" t="s">
        <v>592</v>
      </c>
      <c r="AD508" s="1403"/>
      <c r="AE508" s="1403"/>
      <c r="AF508" s="1403"/>
      <c r="AG508" s="38" t="s">
        <v>403</v>
      </c>
      <c r="AH508" s="1413" t="s">
        <v>592</v>
      </c>
      <c r="AI508" s="1413"/>
      <c r="AJ508" s="1413"/>
      <c r="AK508" s="1414"/>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398" t="s">
        <v>546</v>
      </c>
      <c r="AD509" s="1398"/>
      <c r="AE509" s="1398"/>
      <c r="AF509" s="1398"/>
      <c r="AG509" s="13"/>
      <c r="AH509" s="1377"/>
      <c r="AI509" s="1377"/>
      <c r="AJ509" s="1377"/>
      <c r="AK509" s="1378"/>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404">
        <v>1</v>
      </c>
      <c r="AD510" s="1405"/>
      <c r="AE510" s="1405"/>
      <c r="AF510" s="1406"/>
      <c r="AG510" s="13"/>
      <c r="AH510" s="1377"/>
      <c r="AI510" s="1377"/>
      <c r="AJ510" s="1377"/>
      <c r="AK510" s="1378"/>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42">
        <v>1</v>
      </c>
      <c r="AD512" s="1443"/>
      <c r="AE512" s="1443"/>
      <c r="AF512" s="1444"/>
      <c r="AG512" s="38"/>
      <c r="AH512" s="1588"/>
      <c r="AI512" s="1588"/>
      <c r="AJ512" s="1588"/>
      <c r="AK512" s="1589"/>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523" t="s">
        <v>402</v>
      </c>
      <c r="AD513" s="1456"/>
      <c r="AE513" s="1456"/>
      <c r="AF513" s="1456"/>
      <c r="AG513" s="38" t="s">
        <v>403</v>
      </c>
      <c r="AH513" s="1456" t="s">
        <v>404</v>
      </c>
      <c r="AI513" s="1456"/>
      <c r="AJ513" s="1456"/>
      <c r="AK513" s="1457"/>
      <c r="AZ513" s="3"/>
      <c r="BA513" s="3"/>
      <c r="BB513" s="3"/>
      <c r="BC513" s="3"/>
      <c r="BD513" s="3"/>
      <c r="BE513" s="3"/>
      <c r="BF513" s="3"/>
      <c r="BG513" s="3"/>
      <c r="BH513" s="3"/>
      <c r="BI513" s="3"/>
      <c r="BJ513" s="3"/>
      <c r="BK513" s="3"/>
      <c r="BL513" s="3"/>
      <c r="BM513" s="3"/>
      <c r="BN513" s="3" t="s">
        <v>2105</v>
      </c>
    </row>
    <row r="514" spans="2:66" ht="12.95" customHeight="1">
      <c r="B514" s="1368" t="s">
        <v>414</v>
      </c>
      <c r="C514" s="1369"/>
      <c r="D514" s="1369"/>
      <c r="E514" s="1369"/>
      <c r="F514" s="1369"/>
      <c r="G514" s="1369"/>
      <c r="H514" s="1370"/>
      <c r="I514" s="42" t="s">
        <v>415</v>
      </c>
      <c r="J514" s="42"/>
      <c r="K514" s="42"/>
      <c r="L514" s="42"/>
      <c r="M514" s="42"/>
      <c r="N514" s="42"/>
      <c r="O514" s="42"/>
      <c r="P514" s="42"/>
      <c r="Q514" s="42"/>
      <c r="R514" s="42"/>
      <c r="S514" s="42"/>
      <c r="T514" s="42"/>
      <c r="U514" s="42"/>
      <c r="V514" s="42"/>
      <c r="W514" s="42"/>
      <c r="AC514" s="1402">
        <v>9</v>
      </c>
      <c r="AD514" s="1403"/>
      <c r="AE514" s="1403"/>
      <c r="AF514" s="1403"/>
      <c r="AG514" s="13" t="s">
        <v>403</v>
      </c>
      <c r="AH514" s="1413">
        <v>2025</v>
      </c>
      <c r="AI514" s="1413"/>
      <c r="AJ514" s="1413"/>
      <c r="AK514" s="1414"/>
      <c r="AZ514" s="3"/>
      <c r="BA514" s="3"/>
      <c r="BB514" s="3"/>
      <c r="BC514" s="3"/>
      <c r="BD514" s="3"/>
      <c r="BE514" s="3"/>
      <c r="BF514" s="3"/>
      <c r="BG514" s="3"/>
      <c r="BH514" s="3"/>
      <c r="BI514" s="3"/>
      <c r="BJ514" s="3"/>
      <c r="BK514" s="3"/>
      <c r="BL514" s="3"/>
      <c r="BM514" s="3"/>
      <c r="BN514" s="3" t="s">
        <v>2106</v>
      </c>
    </row>
    <row r="515" spans="2:66" ht="12.95" customHeight="1">
      <c r="B515" s="1371"/>
      <c r="C515" s="1372"/>
      <c r="D515" s="1372"/>
      <c r="E515" s="1372"/>
      <c r="F515" s="1372"/>
      <c r="G515" s="1372"/>
      <c r="H515" s="1373"/>
      <c r="I515" t="s">
        <v>416</v>
      </c>
      <c r="AC515" s="1402">
        <v>9</v>
      </c>
      <c r="AD515" s="1403"/>
      <c r="AE515" s="1403"/>
      <c r="AF515" s="1403"/>
      <c r="AG515" s="13" t="s">
        <v>403</v>
      </c>
      <c r="AH515" s="1413">
        <v>2025</v>
      </c>
      <c r="AI515" s="1413"/>
      <c r="AJ515" s="1413"/>
      <c r="AK515" s="1414"/>
      <c r="AZ515" s="3"/>
      <c r="BA515" s="3"/>
      <c r="BB515" s="3"/>
      <c r="BC515" s="3"/>
      <c r="BD515" s="3"/>
      <c r="BE515" s="3"/>
      <c r="BF515" s="3"/>
      <c r="BG515" s="3"/>
      <c r="BH515" s="3"/>
      <c r="BI515" s="3"/>
      <c r="BJ515" s="3"/>
      <c r="BK515" s="3"/>
      <c r="BL515" s="3"/>
      <c r="BM515" s="3"/>
      <c r="BN515" s="3" t="s">
        <v>2107</v>
      </c>
    </row>
    <row r="516" spans="2:66" ht="12.95" customHeight="1">
      <c r="B516" s="1371"/>
      <c r="C516" s="1372"/>
      <c r="D516" s="1372"/>
      <c r="E516" s="1372"/>
      <c r="F516" s="1372"/>
      <c r="G516" s="1372"/>
      <c r="H516" s="1373"/>
      <c r="I516" s="48" t="s">
        <v>417</v>
      </c>
      <c r="J516" s="48"/>
      <c r="K516" s="48"/>
      <c r="L516" s="48"/>
      <c r="M516" s="48"/>
      <c r="N516" s="48"/>
      <c r="O516" s="48"/>
      <c r="P516" s="48"/>
      <c r="Q516" s="48"/>
      <c r="R516" s="48"/>
      <c r="S516" s="48"/>
      <c r="T516" s="48"/>
      <c r="U516" s="48"/>
      <c r="V516" s="48"/>
      <c r="W516" s="48"/>
      <c r="X516" s="48"/>
      <c r="Y516" s="48"/>
      <c r="Z516" s="48"/>
      <c r="AA516" s="48"/>
      <c r="AB516" s="48"/>
      <c r="AC516" s="1402">
        <v>11</v>
      </c>
      <c r="AD516" s="1403"/>
      <c r="AE516" s="1403"/>
      <c r="AF516" s="1403"/>
      <c r="AG516" s="38" t="s">
        <v>403</v>
      </c>
      <c r="AH516" s="1413">
        <v>2026</v>
      </c>
      <c r="AI516" s="1413"/>
      <c r="AJ516" s="1413"/>
      <c r="AK516" s="1414"/>
      <c r="AZ516" s="3"/>
      <c r="BA516" s="3"/>
      <c r="BB516" s="3"/>
      <c r="BC516" s="3"/>
      <c r="BD516" s="3"/>
      <c r="BE516" s="3"/>
      <c r="BF516" s="3"/>
      <c r="BG516" s="3"/>
      <c r="BH516" s="3"/>
      <c r="BI516" s="3"/>
      <c r="BJ516" s="3"/>
      <c r="BK516" s="3"/>
      <c r="BL516" s="3"/>
      <c r="BM516" s="3"/>
      <c r="BN516" s="3" t="s">
        <v>2108</v>
      </c>
    </row>
    <row r="517" spans="2:66" ht="12.95" customHeight="1">
      <c r="B517" s="1368" t="s">
        <v>418</v>
      </c>
      <c r="C517" s="1369"/>
      <c r="D517" s="1369"/>
      <c r="E517" s="1369"/>
      <c r="F517" s="1369"/>
      <c r="G517" s="1369"/>
      <c r="H517" s="1370"/>
      <c r="I517" s="42" t="s">
        <v>415</v>
      </c>
      <c r="J517" s="42"/>
      <c r="K517" s="42"/>
      <c r="L517" s="42"/>
      <c r="M517" s="42"/>
      <c r="N517" s="42"/>
      <c r="O517" s="42"/>
      <c r="P517" s="42"/>
      <c r="Q517" s="42"/>
      <c r="R517" s="42"/>
      <c r="S517" s="42"/>
      <c r="T517" s="42"/>
      <c r="U517" s="42"/>
      <c r="V517" s="42"/>
      <c r="W517" s="42"/>
      <c r="X517" s="42"/>
      <c r="Y517" s="42"/>
      <c r="Z517" s="42"/>
      <c r="AA517" s="42"/>
      <c r="AB517" s="42"/>
      <c r="AC517" s="1404">
        <v>9</v>
      </c>
      <c r="AD517" s="1405"/>
      <c r="AE517" s="1405"/>
      <c r="AF517" s="1405"/>
      <c r="AG517" s="129" t="s">
        <v>403</v>
      </c>
      <c r="AH517" s="1413">
        <v>2025</v>
      </c>
      <c r="AI517" s="1413"/>
      <c r="AJ517" s="1413"/>
      <c r="AK517" s="1414"/>
      <c r="AZ517" s="3"/>
      <c r="BB517" s="3"/>
      <c r="BC517" s="3"/>
      <c r="BD517" s="3"/>
      <c r="BE517" s="3"/>
      <c r="BF517" s="3"/>
      <c r="BG517" s="3"/>
      <c r="BH517" s="3"/>
      <c r="BI517" s="3"/>
      <c r="BJ517" s="3"/>
      <c r="BK517" s="3"/>
      <c r="BL517" s="3"/>
      <c r="BM517" s="3"/>
      <c r="BN517" s="3" t="s">
        <v>2109</v>
      </c>
    </row>
    <row r="518" spans="2:66" ht="12.95" customHeight="1">
      <c r="B518" s="1371"/>
      <c r="C518" s="1372"/>
      <c r="D518" s="1372"/>
      <c r="E518" s="1372"/>
      <c r="F518" s="1372"/>
      <c r="G518" s="1372"/>
      <c r="H518" s="1373"/>
      <c r="I518" t="s">
        <v>416</v>
      </c>
      <c r="AC518" s="1402">
        <v>9</v>
      </c>
      <c r="AD518" s="1403"/>
      <c r="AE518" s="1403"/>
      <c r="AF518" s="1403"/>
      <c r="AG518" s="13" t="s">
        <v>403</v>
      </c>
      <c r="AH518" s="1413">
        <v>2025</v>
      </c>
      <c r="AI518" s="1413"/>
      <c r="AJ518" s="1413"/>
      <c r="AK518" s="1414"/>
      <c r="BB518" s="3"/>
      <c r="BC518" s="3"/>
      <c r="BD518" s="3"/>
      <c r="BE518" s="3"/>
      <c r="BF518" s="3"/>
      <c r="BG518" s="3"/>
      <c r="BH518" s="3"/>
      <c r="BI518" s="3"/>
      <c r="BJ518" s="3"/>
      <c r="BK518" s="3"/>
      <c r="BL518" s="3"/>
      <c r="BM518" s="3"/>
      <c r="BN518" s="3" t="s">
        <v>2110</v>
      </c>
    </row>
    <row r="519" spans="2:66" ht="12.95" customHeight="1">
      <c r="B519" s="1374"/>
      <c r="C519" s="1375"/>
      <c r="D519" s="1375"/>
      <c r="E519" s="1375"/>
      <c r="F519" s="1375"/>
      <c r="G519" s="1375"/>
      <c r="H519" s="1376"/>
      <c r="I519" s="48" t="s">
        <v>417</v>
      </c>
      <c r="J519" s="48"/>
      <c r="K519" s="48"/>
      <c r="L519" s="48"/>
      <c r="M519" s="48"/>
      <c r="N519" s="48"/>
      <c r="O519" s="48"/>
      <c r="P519" s="48"/>
      <c r="Q519" s="48"/>
      <c r="R519" s="48"/>
      <c r="S519" s="48"/>
      <c r="T519" s="48"/>
      <c r="U519" s="48"/>
      <c r="V519" s="48"/>
      <c r="W519" s="48"/>
      <c r="X519" s="48"/>
      <c r="Y519" s="48"/>
      <c r="Z519" s="48"/>
      <c r="AA519" s="48"/>
      <c r="AB519" s="48"/>
      <c r="AC519" s="1402">
        <v>5</v>
      </c>
      <c r="AD519" s="1403"/>
      <c r="AE519" s="1403"/>
      <c r="AF519" s="1403"/>
      <c r="AG519" s="38" t="s">
        <v>403</v>
      </c>
      <c r="AH519" s="1413">
        <v>2026</v>
      </c>
      <c r="AI519" s="1413"/>
      <c r="AJ519" s="1413"/>
      <c r="AK519" s="1414"/>
      <c r="BB519" s="3"/>
      <c r="BC519" s="3"/>
      <c r="BD519" s="3"/>
      <c r="BE519" s="3"/>
      <c r="BF519" s="3"/>
      <c r="BG519" s="3"/>
      <c r="BH519" s="3"/>
      <c r="BI519" s="3"/>
      <c r="BJ519" s="3"/>
      <c r="BK519" s="3"/>
      <c r="BL519" s="3"/>
      <c r="BM519" s="3"/>
      <c r="BN519" s="3" t="s">
        <v>2111</v>
      </c>
    </row>
    <row r="520" spans="2:66" ht="12.95" customHeight="1">
      <c r="B520" s="1368" t="s">
        <v>419</v>
      </c>
      <c r="C520" s="1369"/>
      <c r="D520" s="1369"/>
      <c r="E520" s="1369"/>
      <c r="F520" s="1369"/>
      <c r="G520" s="1369"/>
      <c r="H520" s="1370"/>
      <c r="I520" s="41" t="s">
        <v>420</v>
      </c>
      <c r="J520" s="42"/>
      <c r="K520" s="42"/>
      <c r="L520" s="42"/>
      <c r="M520" s="42"/>
      <c r="N520" s="42"/>
      <c r="O520" s="1458" t="s">
        <v>2711</v>
      </c>
      <c r="P520" s="1459"/>
      <c r="Q520" s="1459"/>
      <c r="R520" s="1459"/>
      <c r="S520" s="1459"/>
      <c r="T520" s="1459"/>
      <c r="U520" s="1459"/>
      <c r="V520" s="1459"/>
      <c r="W520" s="1459"/>
      <c r="X520" s="1459"/>
      <c r="Y520" s="1459"/>
      <c r="Z520" s="1459"/>
      <c r="AA520" s="1459"/>
      <c r="AB520" s="58"/>
      <c r="AC520" s="1404">
        <v>10</v>
      </c>
      <c r="AD520" s="1405"/>
      <c r="AE520" s="1405"/>
      <c r="AF520" s="1405"/>
      <c r="AG520" s="129" t="s">
        <v>403</v>
      </c>
      <c r="AH520" s="1413">
        <v>2023</v>
      </c>
      <c r="AI520" s="1413"/>
      <c r="AJ520" s="1413"/>
      <c r="AK520" s="1414"/>
      <c r="AZ520" s="3"/>
      <c r="BB520" s="3"/>
      <c r="BC520" s="3"/>
      <c r="BD520" s="3"/>
      <c r="BE520" s="3"/>
      <c r="BF520" s="3"/>
      <c r="BG520" s="3"/>
      <c r="BH520" s="3"/>
      <c r="BI520" s="3"/>
      <c r="BJ520" s="3"/>
      <c r="BK520" s="3"/>
      <c r="BL520" s="3"/>
      <c r="BM520" s="3"/>
      <c r="BN520" s="3" t="s">
        <v>2112</v>
      </c>
    </row>
    <row r="521" spans="2:66" ht="12.95" customHeight="1">
      <c r="B521" s="1371"/>
      <c r="C521" s="1372"/>
      <c r="D521" s="1372"/>
      <c r="E521" s="1372"/>
      <c r="F521" s="1372"/>
      <c r="G521" s="1372"/>
      <c r="H521" s="1373"/>
      <c r="I521" s="114" t="s">
        <v>421</v>
      </c>
      <c r="AB521" s="65"/>
      <c r="AC521" s="1402">
        <v>4</v>
      </c>
      <c r="AD521" s="1403"/>
      <c r="AE521" s="1403"/>
      <c r="AF521" s="1403"/>
      <c r="AG521" s="13" t="s">
        <v>403</v>
      </c>
      <c r="AH521" s="1413">
        <v>2024</v>
      </c>
      <c r="AI521" s="1413"/>
      <c r="AJ521" s="1413"/>
      <c r="AK521" s="1414"/>
      <c r="AZ521" s="3"/>
      <c r="BB521" s="3"/>
      <c r="BC521" s="3"/>
      <c r="BD521" s="3"/>
      <c r="BE521" s="3"/>
      <c r="BF521" s="3"/>
      <c r="BG521" s="3"/>
      <c r="BH521" s="3"/>
      <c r="BI521" s="3"/>
      <c r="BJ521" s="3"/>
      <c r="BK521" s="3"/>
      <c r="BL521" s="3"/>
      <c r="BM521" s="3"/>
      <c r="BN521" s="3" t="s">
        <v>2113</v>
      </c>
    </row>
    <row r="522" spans="2:66" ht="12.95" customHeight="1">
      <c r="B522" s="1371"/>
      <c r="C522" s="1372"/>
      <c r="D522" s="1372"/>
      <c r="E522" s="1372"/>
      <c r="F522" s="1372"/>
      <c r="G522" s="1372"/>
      <c r="H522" s="1373"/>
      <c r="I522" s="47" t="s">
        <v>422</v>
      </c>
      <c r="J522" s="48"/>
      <c r="K522" s="48"/>
      <c r="L522" s="48"/>
      <c r="M522" s="48"/>
      <c r="N522" s="48"/>
      <c r="O522" s="48"/>
      <c r="P522" s="48"/>
      <c r="Q522" s="48"/>
      <c r="R522" s="48"/>
      <c r="S522" s="48"/>
      <c r="T522" s="48"/>
      <c r="U522" s="48"/>
      <c r="V522" s="48"/>
      <c r="W522" s="48"/>
      <c r="X522" s="48"/>
      <c r="Y522" s="48"/>
      <c r="Z522" s="48"/>
      <c r="AA522" s="48"/>
      <c r="AB522" s="49"/>
      <c r="AC522" s="1402">
        <v>5</v>
      </c>
      <c r="AD522" s="1403"/>
      <c r="AE522" s="1403"/>
      <c r="AF522" s="1403"/>
      <c r="AG522" s="38" t="s">
        <v>403</v>
      </c>
      <c r="AH522" s="1413">
        <v>2026</v>
      </c>
      <c r="AI522" s="1413"/>
      <c r="AJ522" s="1413"/>
      <c r="AK522" s="1414"/>
      <c r="AZ522" s="3"/>
      <c r="BA522" s="3"/>
      <c r="BB522" s="3"/>
      <c r="BC522" s="3"/>
      <c r="BD522" s="3"/>
      <c r="BE522" s="3"/>
      <c r="BF522" s="3"/>
      <c r="BG522" s="3"/>
      <c r="BH522" s="3"/>
      <c r="BI522" s="3"/>
      <c r="BJ522" s="3"/>
      <c r="BK522" s="3"/>
      <c r="BL522" s="3"/>
      <c r="BM522" s="3"/>
      <c r="BN522" s="3" t="s">
        <v>2114</v>
      </c>
    </row>
    <row r="523" spans="2:66" ht="12.95" customHeight="1">
      <c r="B523" s="1371"/>
      <c r="C523" s="1372"/>
      <c r="D523" s="1372"/>
      <c r="E523" s="1372"/>
      <c r="F523" s="1372"/>
      <c r="G523" s="1372"/>
      <c r="H523" s="1373"/>
      <c r="I523" s="42" t="s">
        <v>423</v>
      </c>
      <c r="J523" s="42"/>
      <c r="K523" s="42"/>
      <c r="L523" s="42"/>
      <c r="M523" s="42"/>
      <c r="N523" s="42"/>
      <c r="O523" s="1458" t="s">
        <v>2756</v>
      </c>
      <c r="P523" s="1459"/>
      <c r="Q523" s="1459"/>
      <c r="R523" s="1459"/>
      <c r="S523" s="1459"/>
      <c r="T523" s="1459"/>
      <c r="U523" s="1459"/>
      <c r="V523" s="1459"/>
      <c r="W523" s="1459"/>
      <c r="X523" s="1459"/>
      <c r="Y523" s="1459"/>
      <c r="Z523" s="1459"/>
      <c r="AA523" s="1459"/>
      <c r="AC523" s="1402" t="s">
        <v>592</v>
      </c>
      <c r="AD523" s="1403"/>
      <c r="AE523" s="1403"/>
      <c r="AF523" s="1403"/>
      <c r="AG523" s="13" t="s">
        <v>403</v>
      </c>
      <c r="AH523" s="1413"/>
      <c r="AI523" s="1413"/>
      <c r="AJ523" s="1413"/>
      <c r="AK523" s="1414"/>
      <c r="AZ523" s="3"/>
      <c r="BA523" s="3"/>
      <c r="BB523" s="3"/>
      <c r="BC523" s="3"/>
      <c r="BD523" s="3"/>
      <c r="BE523" s="3"/>
      <c r="BF523" s="3"/>
      <c r="BG523" s="3"/>
      <c r="BH523" s="3"/>
      <c r="BI523" s="3"/>
      <c r="BJ523" s="3"/>
      <c r="BK523" s="3"/>
      <c r="BL523" s="3"/>
      <c r="BM523" s="3"/>
      <c r="BN523" s="3" t="s">
        <v>2115</v>
      </c>
    </row>
    <row r="524" spans="2:66" ht="12.95" customHeight="1">
      <c r="B524" s="1371"/>
      <c r="C524" s="1372"/>
      <c r="D524" s="1372"/>
      <c r="E524" s="1372"/>
      <c r="F524" s="1372"/>
      <c r="G524" s="1372"/>
      <c r="H524" s="1373"/>
      <c r="I524" t="s">
        <v>421</v>
      </c>
      <c r="AC524" s="1402">
        <v>1</v>
      </c>
      <c r="AD524" s="1403"/>
      <c r="AE524" s="1403"/>
      <c r="AF524" s="1403"/>
      <c r="AG524" s="13" t="s">
        <v>403</v>
      </c>
      <c r="AH524" s="1413">
        <v>2026</v>
      </c>
      <c r="AI524" s="1413"/>
      <c r="AJ524" s="1413"/>
      <c r="AK524" s="1414"/>
      <c r="AZ524" s="3"/>
      <c r="BA524" s="3"/>
      <c r="BB524" s="3"/>
      <c r="BC524" s="3"/>
      <c r="BD524" s="3"/>
      <c r="BE524" s="3"/>
      <c r="BF524" s="3"/>
      <c r="BG524" s="3"/>
      <c r="BH524" s="3"/>
      <c r="BI524" s="3"/>
      <c r="BJ524" s="3"/>
      <c r="BK524" s="3"/>
      <c r="BL524" s="3"/>
      <c r="BM524" s="3"/>
      <c r="BN524" s="3" t="s">
        <v>2116</v>
      </c>
    </row>
    <row r="525" spans="2:66" ht="12.95" customHeight="1">
      <c r="B525" s="1371"/>
      <c r="C525" s="1372"/>
      <c r="D525" s="1372"/>
      <c r="E525" s="1372"/>
      <c r="F525" s="1372"/>
      <c r="G525" s="1372"/>
      <c r="H525" s="1373"/>
      <c r="I525" s="48" t="s">
        <v>422</v>
      </c>
      <c r="J525" s="48"/>
      <c r="K525" s="48"/>
      <c r="L525" s="48"/>
      <c r="M525" s="48"/>
      <c r="N525" s="48"/>
      <c r="O525" s="48"/>
      <c r="P525" s="48"/>
      <c r="Q525" s="48"/>
      <c r="R525" s="48"/>
      <c r="S525" s="48"/>
      <c r="T525" s="48"/>
      <c r="U525" s="48"/>
      <c r="V525" s="48"/>
      <c r="W525" s="48"/>
      <c r="X525" s="48"/>
      <c r="Y525" s="48"/>
      <c r="Z525" s="48"/>
      <c r="AA525" s="48"/>
      <c r="AB525" s="48"/>
      <c r="AC525" s="1402">
        <v>5</v>
      </c>
      <c r="AD525" s="1403"/>
      <c r="AE525" s="1403"/>
      <c r="AF525" s="1403"/>
      <c r="AG525" s="38" t="s">
        <v>403</v>
      </c>
      <c r="AH525" s="1413">
        <v>2026</v>
      </c>
      <c r="AI525" s="1413"/>
      <c r="AJ525" s="1413"/>
      <c r="AK525" s="1414"/>
      <c r="AZ525" s="3"/>
      <c r="BA525" s="3"/>
      <c r="BB525" s="3"/>
      <c r="BC525" s="3"/>
      <c r="BD525" s="3"/>
      <c r="BE525" s="3"/>
      <c r="BF525" s="3"/>
      <c r="BG525" s="3"/>
      <c r="BH525" s="3"/>
      <c r="BI525" s="3"/>
      <c r="BJ525" s="3"/>
      <c r="BK525" s="3"/>
      <c r="BL525" s="3"/>
      <c r="BM525" s="3"/>
      <c r="BN525" s="3" t="s">
        <v>2117</v>
      </c>
    </row>
    <row r="526" spans="2:66" ht="12.95" customHeight="1">
      <c r="B526" s="1371"/>
      <c r="C526" s="1372"/>
      <c r="D526" s="1372"/>
      <c r="E526" s="1372"/>
      <c r="F526" s="1372"/>
      <c r="G526" s="1372"/>
      <c r="H526" s="1373"/>
      <c r="I526" s="42" t="s">
        <v>423</v>
      </c>
      <c r="J526" s="42"/>
      <c r="K526" s="42"/>
      <c r="L526" s="42"/>
      <c r="M526" s="42"/>
      <c r="N526" s="42"/>
      <c r="O526" s="1458" t="s">
        <v>334</v>
      </c>
      <c r="P526" s="1459"/>
      <c r="Q526" s="1459"/>
      <c r="R526" s="1459"/>
      <c r="S526" s="1459"/>
      <c r="T526" s="1459"/>
      <c r="U526" s="1459"/>
      <c r="V526" s="1459"/>
      <c r="W526" s="1459"/>
      <c r="X526" s="1459"/>
      <c r="Y526" s="1459"/>
      <c r="Z526" s="1459"/>
      <c r="AA526" s="1459"/>
      <c r="AC526" s="1402" t="s">
        <v>592</v>
      </c>
      <c r="AD526" s="1403"/>
      <c r="AE526" s="1403"/>
      <c r="AF526" s="1403"/>
      <c r="AG526" s="13" t="s">
        <v>403</v>
      </c>
      <c r="AH526" s="1413"/>
      <c r="AI526" s="1413"/>
      <c r="AJ526" s="1413"/>
      <c r="AK526" s="1414"/>
      <c r="AZ526" s="3"/>
      <c r="BA526" s="3"/>
      <c r="BB526" s="3"/>
      <c r="BC526" s="3"/>
      <c r="BD526" s="3"/>
      <c r="BE526" s="3"/>
      <c r="BF526" s="3"/>
      <c r="BG526" s="3"/>
      <c r="BH526" s="3"/>
      <c r="BI526" s="3"/>
      <c r="BJ526" s="3"/>
      <c r="BK526" s="3"/>
      <c r="BL526" s="3"/>
      <c r="BM526" s="3"/>
      <c r="BN526" s="3" t="s">
        <v>2118</v>
      </c>
    </row>
    <row r="527" spans="2:66" ht="12.95" customHeight="1">
      <c r="B527" s="1371"/>
      <c r="C527" s="1372"/>
      <c r="D527" s="1372"/>
      <c r="E527" s="1372"/>
      <c r="F527" s="1372"/>
      <c r="G527" s="1372"/>
      <c r="H527" s="1373"/>
      <c r="I527" t="s">
        <v>421</v>
      </c>
      <c r="AC527" s="1402" t="s">
        <v>592</v>
      </c>
      <c r="AD527" s="1403"/>
      <c r="AE527" s="1403"/>
      <c r="AF527" s="1403"/>
      <c r="AG527" s="13" t="s">
        <v>403</v>
      </c>
      <c r="AH527" s="1413"/>
      <c r="AI527" s="1413"/>
      <c r="AJ527" s="1413"/>
      <c r="AK527" s="1414"/>
      <c r="AZ527" s="3"/>
      <c r="BA527" s="3"/>
      <c r="BB527" s="3"/>
      <c r="BC527" s="3"/>
      <c r="BD527" s="3"/>
      <c r="BE527" s="3"/>
      <c r="BF527" s="3"/>
      <c r="BG527" s="3"/>
      <c r="BH527" s="3"/>
      <c r="BI527" s="3"/>
      <c r="BJ527" s="3"/>
      <c r="BK527" s="3"/>
      <c r="BL527" s="3"/>
      <c r="BM527" s="3"/>
      <c r="BN527" s="3" t="s">
        <v>2119</v>
      </c>
    </row>
    <row r="528" spans="2:66" ht="12.95" customHeight="1">
      <c r="B528" s="1371"/>
      <c r="C528" s="1372"/>
      <c r="D528" s="1372"/>
      <c r="E528" s="1372"/>
      <c r="F528" s="1372"/>
      <c r="G528" s="1372"/>
      <c r="H528" s="1373"/>
      <c r="I528" s="48" t="s">
        <v>422</v>
      </c>
      <c r="J528" s="48"/>
      <c r="K528" s="48"/>
      <c r="L528" s="48"/>
      <c r="M528" s="48"/>
      <c r="N528" s="48"/>
      <c r="O528" s="48"/>
      <c r="P528" s="48"/>
      <c r="Q528" s="48"/>
      <c r="R528" s="48"/>
      <c r="S528" s="48"/>
      <c r="T528" s="48"/>
      <c r="U528" s="48"/>
      <c r="V528" s="48"/>
      <c r="W528" s="48"/>
      <c r="X528" s="48"/>
      <c r="Y528" s="48"/>
      <c r="Z528" s="48"/>
      <c r="AA528" s="48"/>
      <c r="AB528" s="48"/>
      <c r="AC528" s="1402" t="s">
        <v>592</v>
      </c>
      <c r="AD528" s="1403"/>
      <c r="AE528" s="1403"/>
      <c r="AF528" s="1403"/>
      <c r="AG528" s="38" t="s">
        <v>403</v>
      </c>
      <c r="AH528" s="1413"/>
      <c r="AI528" s="1413"/>
      <c r="AJ528" s="1413"/>
      <c r="AK528" s="1414"/>
      <c r="AZ528" s="3"/>
      <c r="BA528" s="3"/>
      <c r="BB528" s="3"/>
      <c r="BC528" s="3"/>
      <c r="BD528" s="3"/>
      <c r="BE528" s="3"/>
      <c r="BF528" s="3"/>
      <c r="BG528" s="3"/>
      <c r="BH528" s="3"/>
      <c r="BI528" s="3"/>
      <c r="BJ528" s="3"/>
      <c r="BK528" s="3"/>
      <c r="BL528" s="3"/>
      <c r="BM528" s="3"/>
      <c r="BN528" s="3" t="s">
        <v>2120</v>
      </c>
    </row>
    <row r="529" spans="1:66" ht="12.95" customHeight="1">
      <c r="B529" s="1371"/>
      <c r="C529" s="1372"/>
      <c r="D529" s="1372"/>
      <c r="E529" s="1372"/>
      <c r="F529" s="1372"/>
      <c r="G529" s="1372"/>
      <c r="H529" s="1373"/>
      <c r="I529" s="42" t="s">
        <v>423</v>
      </c>
      <c r="J529" s="42"/>
      <c r="K529" s="42"/>
      <c r="L529" s="42"/>
      <c r="M529" s="42"/>
      <c r="N529" s="42"/>
      <c r="O529" s="1458" t="s">
        <v>334</v>
      </c>
      <c r="P529" s="1459"/>
      <c r="Q529" s="1459"/>
      <c r="R529" s="1459"/>
      <c r="S529" s="1459"/>
      <c r="T529" s="1459"/>
      <c r="U529" s="1459"/>
      <c r="V529" s="1459"/>
      <c r="W529" s="1459"/>
      <c r="X529" s="1459"/>
      <c r="Y529" s="1459"/>
      <c r="Z529" s="1459"/>
      <c r="AA529" s="1459"/>
      <c r="AC529" s="1402" t="s">
        <v>592</v>
      </c>
      <c r="AD529" s="1403"/>
      <c r="AE529" s="1403"/>
      <c r="AF529" s="1403"/>
      <c r="AG529" s="13" t="s">
        <v>403</v>
      </c>
      <c r="AH529" s="1413"/>
      <c r="AI529" s="1413"/>
      <c r="AJ529" s="1413"/>
      <c r="AK529" s="1414"/>
      <c r="AZ529" s="3"/>
      <c r="BA529" s="3"/>
      <c r="BB529" s="3"/>
      <c r="BC529" s="3"/>
      <c r="BD529" s="3"/>
      <c r="BE529" s="3"/>
      <c r="BF529" s="3"/>
      <c r="BG529" s="3"/>
      <c r="BH529" s="3"/>
      <c r="BI529" s="3"/>
      <c r="BJ529" s="3"/>
      <c r="BK529" s="3"/>
      <c r="BL529" s="3"/>
      <c r="BM529" s="3"/>
      <c r="BN529" s="3" t="s">
        <v>2121</v>
      </c>
    </row>
    <row r="530" spans="1:66" ht="12.95" customHeight="1">
      <c r="B530" s="1371"/>
      <c r="C530" s="1372"/>
      <c r="D530" s="1372"/>
      <c r="E530" s="1372"/>
      <c r="F530" s="1372"/>
      <c r="G530" s="1372"/>
      <c r="H530" s="1373"/>
      <c r="I530" t="s">
        <v>421</v>
      </c>
      <c r="AC530" s="1402" t="s">
        <v>592</v>
      </c>
      <c r="AD530" s="1403"/>
      <c r="AE530" s="1403"/>
      <c r="AF530" s="1403"/>
      <c r="AG530" s="13" t="s">
        <v>403</v>
      </c>
      <c r="AH530" s="1413"/>
      <c r="AI530" s="1413"/>
      <c r="AJ530" s="1413"/>
      <c r="AK530" s="1414"/>
      <c r="AZ530" s="3"/>
      <c r="BA530" s="3"/>
      <c r="BB530" s="3"/>
      <c r="BC530" s="3"/>
      <c r="BD530" s="3"/>
      <c r="BE530" s="3"/>
      <c r="BF530" s="3"/>
      <c r="BG530" s="3"/>
      <c r="BH530" s="3"/>
      <c r="BI530" s="3"/>
      <c r="BJ530" s="3"/>
      <c r="BK530" s="3"/>
      <c r="BL530" s="3"/>
      <c r="BM530" s="3"/>
      <c r="BN530" s="3" t="s">
        <v>2122</v>
      </c>
    </row>
    <row r="531" spans="1:66" ht="12.95" customHeight="1">
      <c r="B531" s="1371"/>
      <c r="C531" s="1372"/>
      <c r="D531" s="1372"/>
      <c r="E531" s="1372"/>
      <c r="F531" s="1372"/>
      <c r="G531" s="1372"/>
      <c r="H531" s="1373"/>
      <c r="I531" s="48" t="s">
        <v>422</v>
      </c>
      <c r="J531" s="48"/>
      <c r="K531" s="48"/>
      <c r="L531" s="48"/>
      <c r="M531" s="48"/>
      <c r="N531" s="48"/>
      <c r="O531" s="48"/>
      <c r="P531" s="48"/>
      <c r="Q531" s="48"/>
      <c r="R531" s="48"/>
      <c r="S531" s="48"/>
      <c r="T531" s="48"/>
      <c r="U531" s="48"/>
      <c r="V531" s="48"/>
      <c r="W531" s="48"/>
      <c r="X531" s="48"/>
      <c r="Y531" s="48"/>
      <c r="Z531" s="48"/>
      <c r="AA531" s="48"/>
      <c r="AB531" s="48"/>
      <c r="AC531" s="1402" t="s">
        <v>592</v>
      </c>
      <c r="AD531" s="1403"/>
      <c r="AE531" s="1403"/>
      <c r="AF531" s="1403"/>
      <c r="AG531" s="38" t="s">
        <v>403</v>
      </c>
      <c r="AH531" s="1413"/>
      <c r="AI531" s="1413"/>
      <c r="AJ531" s="1413"/>
      <c r="AK531" s="1414"/>
      <c r="AZ531" s="3"/>
      <c r="BA531" s="3"/>
      <c r="BB531" s="3"/>
      <c r="BC531" s="3"/>
      <c r="BD531" s="3"/>
      <c r="BE531" s="3"/>
      <c r="BF531" s="3"/>
      <c r="BG531" s="3"/>
      <c r="BH531" s="3"/>
      <c r="BI531" s="3"/>
      <c r="BJ531" s="3"/>
      <c r="BK531" s="3"/>
      <c r="BL531" s="3"/>
      <c r="BM531" s="3"/>
      <c r="BN531" s="3" t="s">
        <v>2123</v>
      </c>
    </row>
    <row r="532" spans="1:66" ht="12.95" customHeight="1">
      <c r="B532" s="1371"/>
      <c r="C532" s="1372"/>
      <c r="D532" s="1372"/>
      <c r="E532" s="1372"/>
      <c r="F532" s="1372"/>
      <c r="G532" s="1372"/>
      <c r="H532" s="1373"/>
      <c r="I532" s="42" t="s">
        <v>423</v>
      </c>
      <c r="J532" s="42"/>
      <c r="K532" s="42"/>
      <c r="L532" s="42"/>
      <c r="M532" s="42"/>
      <c r="N532" s="42"/>
      <c r="O532" s="1458" t="s">
        <v>334</v>
      </c>
      <c r="P532" s="1459"/>
      <c r="Q532" s="1459"/>
      <c r="R532" s="1459"/>
      <c r="S532" s="1459"/>
      <c r="T532" s="1459"/>
      <c r="U532" s="1459"/>
      <c r="V532" s="1459"/>
      <c r="W532" s="1459"/>
      <c r="X532" s="1459"/>
      <c r="Y532" s="1459"/>
      <c r="Z532" s="1459"/>
      <c r="AA532" s="1459"/>
      <c r="AC532" s="1402" t="s">
        <v>592</v>
      </c>
      <c r="AD532" s="1403"/>
      <c r="AE532" s="1403"/>
      <c r="AF532" s="1403"/>
      <c r="AG532" s="13" t="s">
        <v>403</v>
      </c>
      <c r="AH532" s="1413"/>
      <c r="AI532" s="1413"/>
      <c r="AJ532" s="1413"/>
      <c r="AK532" s="1414"/>
      <c r="AZ532" s="3"/>
      <c r="BA532" s="3"/>
      <c r="BB532" s="3"/>
      <c r="BC532" s="3"/>
      <c r="BD532" s="3"/>
      <c r="BE532" s="3"/>
      <c r="BF532" s="3"/>
      <c r="BG532" s="3"/>
      <c r="BH532" s="3"/>
      <c r="BI532" s="3"/>
      <c r="BJ532" s="3"/>
      <c r="BK532" s="3"/>
      <c r="BL532" s="3"/>
      <c r="BM532" s="3"/>
      <c r="BN532" s="3" t="s">
        <v>2124</v>
      </c>
    </row>
    <row r="533" spans="1:66" ht="12.95" customHeight="1">
      <c r="B533" s="1371"/>
      <c r="C533" s="1372"/>
      <c r="D533" s="1372"/>
      <c r="E533" s="1372"/>
      <c r="F533" s="1372"/>
      <c r="G533" s="1372"/>
      <c r="H533" s="1373"/>
      <c r="I533" t="s">
        <v>421</v>
      </c>
      <c r="AC533" s="1402" t="s">
        <v>592</v>
      </c>
      <c r="AD533" s="1403"/>
      <c r="AE533" s="1403"/>
      <c r="AF533" s="1403"/>
      <c r="AG533" s="38" t="s">
        <v>403</v>
      </c>
      <c r="AH533" s="1413"/>
      <c r="AI533" s="1413"/>
      <c r="AJ533" s="1413"/>
      <c r="AK533" s="1414"/>
      <c r="AZ533" s="3"/>
      <c r="BA533" s="3"/>
      <c r="BB533" s="3"/>
      <c r="BC533" s="3"/>
      <c r="BD533" s="3"/>
      <c r="BE533" s="3"/>
      <c r="BF533" s="3"/>
      <c r="BG533" s="3"/>
      <c r="BH533" s="3"/>
      <c r="BI533" s="3"/>
      <c r="BJ533" s="3"/>
      <c r="BK533" s="3"/>
      <c r="BL533" s="3"/>
      <c r="BM533" s="3"/>
      <c r="BN533" s="3" t="s">
        <v>2125</v>
      </c>
    </row>
    <row r="534" spans="1:66" ht="12.95" customHeight="1">
      <c r="B534" s="1371"/>
      <c r="C534" s="1372"/>
      <c r="D534" s="1372"/>
      <c r="E534" s="1372"/>
      <c r="F534" s="1372"/>
      <c r="G534" s="1372"/>
      <c r="H534" s="1373"/>
      <c r="I534" s="48" t="s">
        <v>422</v>
      </c>
      <c r="J534" s="48"/>
      <c r="K534" s="48"/>
      <c r="L534" s="48"/>
      <c r="M534" s="48"/>
      <c r="N534" s="48"/>
      <c r="O534" s="48"/>
      <c r="P534" s="48"/>
      <c r="Q534" s="48"/>
      <c r="R534" s="48"/>
      <c r="S534" s="48"/>
      <c r="T534" s="48"/>
      <c r="U534" s="48"/>
      <c r="V534" s="48"/>
      <c r="W534" s="48"/>
      <c r="X534" s="48"/>
      <c r="Y534" s="48"/>
      <c r="Z534" s="48"/>
      <c r="AA534" s="48"/>
      <c r="AB534" s="48"/>
      <c r="AC534" s="1402" t="s">
        <v>592</v>
      </c>
      <c r="AD534" s="1403"/>
      <c r="AE534" s="1403"/>
      <c r="AF534" s="1403"/>
      <c r="AG534" s="13" t="s">
        <v>403</v>
      </c>
      <c r="AH534" s="1413"/>
      <c r="AI534" s="1413"/>
      <c r="AJ534" s="1413"/>
      <c r="AK534" s="1414"/>
      <c r="AZ534" s="3"/>
      <c r="BA534" s="3"/>
      <c r="BB534" s="3"/>
      <c r="BC534" s="3"/>
      <c r="BD534" s="3"/>
      <c r="BE534" s="3"/>
      <c r="BF534" s="3"/>
      <c r="BG534" s="3"/>
      <c r="BH534" s="3"/>
      <c r="BI534" s="3"/>
      <c r="BJ534" s="3"/>
      <c r="BK534" s="3"/>
      <c r="BL534" s="3"/>
      <c r="BM534" s="3"/>
      <c r="BN534" s="3" t="s">
        <v>2126</v>
      </c>
    </row>
    <row r="535" spans="1:66" ht="12.95" customHeight="1">
      <c r="B535" s="1371"/>
      <c r="C535" s="1372"/>
      <c r="D535" s="1372"/>
      <c r="E535" s="1372"/>
      <c r="F535" s="1372"/>
      <c r="G535" s="1372"/>
      <c r="H535" s="1373"/>
      <c r="I535" s="42" t="s">
        <v>423</v>
      </c>
      <c r="J535" s="42"/>
      <c r="K535" s="42"/>
      <c r="L535" s="42"/>
      <c r="M535" s="42"/>
      <c r="N535" s="42"/>
      <c r="O535" s="1458" t="s">
        <v>334</v>
      </c>
      <c r="P535" s="1459"/>
      <c r="Q535" s="1459"/>
      <c r="R535" s="1459"/>
      <c r="S535" s="1459"/>
      <c r="T535" s="1459"/>
      <c r="U535" s="1459"/>
      <c r="V535" s="1459"/>
      <c r="W535" s="1459"/>
      <c r="X535" s="1459"/>
      <c r="Y535" s="1459"/>
      <c r="Z535" s="1459"/>
      <c r="AA535" s="1459"/>
      <c r="AC535" s="1402" t="s">
        <v>592</v>
      </c>
      <c r="AD535" s="1403"/>
      <c r="AE535" s="1403"/>
      <c r="AF535" s="1403"/>
      <c r="AG535" s="38" t="s">
        <v>403</v>
      </c>
      <c r="AH535" s="1413"/>
      <c r="AI535" s="1413"/>
      <c r="AJ535" s="1413"/>
      <c r="AK535" s="1414"/>
      <c r="AZ535" s="3"/>
      <c r="BA535" s="3"/>
      <c r="BB535" s="3"/>
      <c r="BC535" s="3"/>
      <c r="BD535" s="3"/>
      <c r="BE535" s="3"/>
      <c r="BF535" s="3"/>
      <c r="BG535" s="3"/>
      <c r="BH535" s="3"/>
      <c r="BI535" s="3"/>
      <c r="BJ535" s="3"/>
      <c r="BK535" s="3"/>
      <c r="BL535" s="3"/>
      <c r="BM535" s="3"/>
      <c r="BN535" s="3" t="s">
        <v>2127</v>
      </c>
    </row>
    <row r="536" spans="1:66" ht="12.95" customHeight="1">
      <c r="B536" s="1371"/>
      <c r="C536" s="1372"/>
      <c r="D536" s="1372"/>
      <c r="E536" s="1372"/>
      <c r="F536" s="1372"/>
      <c r="G536" s="1372"/>
      <c r="H536" s="1373"/>
      <c r="I536" t="s">
        <v>421</v>
      </c>
      <c r="AC536" s="1402" t="s">
        <v>592</v>
      </c>
      <c r="AD536" s="1403"/>
      <c r="AE536" s="1403"/>
      <c r="AF536" s="1403"/>
      <c r="AG536" s="13" t="s">
        <v>403</v>
      </c>
      <c r="AH536" s="1413"/>
      <c r="AI536" s="1413"/>
      <c r="AJ536" s="1413"/>
      <c r="AK536" s="1414"/>
      <c r="AZ536" s="3"/>
      <c r="BA536" s="3"/>
      <c r="BB536" s="3"/>
      <c r="BC536" s="3"/>
      <c r="BD536" s="3"/>
      <c r="BE536" s="3"/>
      <c r="BF536" s="3"/>
      <c r="BG536" s="3"/>
      <c r="BH536" s="3"/>
      <c r="BI536" s="3"/>
      <c r="BJ536" s="3"/>
      <c r="BK536" s="3"/>
      <c r="BL536" s="3"/>
      <c r="BM536" s="3"/>
      <c r="BN536" s="3" t="s">
        <v>2128</v>
      </c>
    </row>
    <row r="537" spans="1:66" ht="12.95" customHeight="1">
      <c r="B537" s="1371"/>
      <c r="C537" s="1372"/>
      <c r="D537" s="1372"/>
      <c r="E537" s="1372"/>
      <c r="F537" s="1372"/>
      <c r="G537" s="1372"/>
      <c r="H537" s="1373"/>
      <c r="I537" s="48" t="s">
        <v>422</v>
      </c>
      <c r="J537" s="48"/>
      <c r="K537" s="48"/>
      <c r="L537" s="48"/>
      <c r="M537" s="48"/>
      <c r="N537" s="48"/>
      <c r="O537" s="48"/>
      <c r="P537" s="48"/>
      <c r="Q537" s="48"/>
      <c r="R537" s="48"/>
      <c r="S537" s="48"/>
      <c r="T537" s="48"/>
      <c r="U537" s="48"/>
      <c r="V537" s="48"/>
      <c r="W537" s="48"/>
      <c r="X537" s="48"/>
      <c r="Y537" s="48"/>
      <c r="Z537" s="48"/>
      <c r="AA537" s="48"/>
      <c r="AB537" s="48"/>
      <c r="AC537" s="1402" t="s">
        <v>592</v>
      </c>
      <c r="AD537" s="1403"/>
      <c r="AE537" s="1403"/>
      <c r="AF537" s="1403"/>
      <c r="AG537" s="38" t="s">
        <v>403</v>
      </c>
      <c r="AH537" s="1413"/>
      <c r="AI537" s="1413"/>
      <c r="AJ537" s="1413"/>
      <c r="AK537" s="1414"/>
      <c r="AZ537" s="3"/>
      <c r="BA537" s="3"/>
      <c r="BB537" s="3"/>
      <c r="BC537" s="3"/>
      <c r="BD537" s="3"/>
      <c r="BE537" s="3"/>
      <c r="BF537" s="3"/>
      <c r="BG537" s="3"/>
      <c r="BH537" s="3"/>
      <c r="BI537" s="3"/>
      <c r="BJ537" s="3"/>
      <c r="BK537" s="3"/>
      <c r="BL537" s="3"/>
      <c r="BM537" s="3"/>
      <c r="BN537" s="3" t="s">
        <v>2129</v>
      </c>
    </row>
    <row r="538" spans="1:66" ht="12.95" customHeight="1">
      <c r="B538" s="1371"/>
      <c r="C538" s="1372"/>
      <c r="D538" s="1372"/>
      <c r="E538" s="1372"/>
      <c r="F538" s="1372"/>
      <c r="G538" s="1372"/>
      <c r="H538" s="1373"/>
      <c r="I538" s="42" t="s">
        <v>563</v>
      </c>
      <c r="J538" s="42"/>
      <c r="K538" s="42"/>
      <c r="L538" s="42"/>
      <c r="M538" s="42"/>
      <c r="N538" s="42"/>
      <c r="O538" s="42"/>
      <c r="P538" s="42"/>
      <c r="Q538" s="42"/>
      <c r="R538" s="42"/>
      <c r="S538" s="42"/>
      <c r="T538" s="42"/>
      <c r="U538" s="42"/>
      <c r="V538" s="42"/>
      <c r="W538" s="42"/>
      <c r="AC538" s="1402">
        <v>5</v>
      </c>
      <c r="AD538" s="1403"/>
      <c r="AE538" s="1403"/>
      <c r="AF538" s="1403"/>
      <c r="AG538" s="38" t="s">
        <v>403</v>
      </c>
      <c r="AH538" s="1413">
        <v>2026</v>
      </c>
      <c r="AI538" s="1413"/>
      <c r="AJ538" s="1413"/>
      <c r="AK538" s="1414"/>
      <c r="AZ538" s="3"/>
      <c r="BA538" s="3"/>
      <c r="BB538" s="3"/>
      <c r="BC538" s="3"/>
      <c r="BD538" s="3"/>
      <c r="BE538" s="3"/>
      <c r="BF538" s="3"/>
      <c r="BG538" s="3"/>
      <c r="BH538" s="3"/>
      <c r="BI538" s="3"/>
      <c r="BJ538" s="3"/>
      <c r="BK538" s="3"/>
      <c r="BL538" s="3"/>
      <c r="BM538" s="3"/>
      <c r="BN538" s="3"/>
    </row>
    <row r="539" spans="1:66" ht="12.95" customHeight="1">
      <c r="B539" s="1371"/>
      <c r="C539" s="1372"/>
      <c r="D539" s="1372"/>
      <c r="E539" s="1372"/>
      <c r="F539" s="1372"/>
      <c r="G539" s="1372"/>
      <c r="H539" s="1373"/>
      <c r="I539" t="s">
        <v>564</v>
      </c>
      <c r="AC539" s="1402">
        <v>5</v>
      </c>
      <c r="AD539" s="1403"/>
      <c r="AE539" s="1403"/>
      <c r="AF539" s="1403"/>
      <c r="AG539" s="13" t="s">
        <v>403</v>
      </c>
      <c r="AH539" s="1413">
        <v>2026</v>
      </c>
      <c r="AI539" s="1413"/>
      <c r="AJ539" s="1413"/>
      <c r="AK539" s="1414"/>
      <c r="AZ539" s="3"/>
      <c r="BA539" s="3"/>
      <c r="BB539" s="3"/>
      <c r="BC539" s="3"/>
      <c r="BD539" s="3"/>
      <c r="BE539" s="3"/>
      <c r="BF539" s="3"/>
      <c r="BG539" s="3"/>
      <c r="BH539" s="3"/>
      <c r="BI539" s="3"/>
      <c r="BJ539" s="3"/>
      <c r="BK539" s="3"/>
      <c r="BL539" s="3"/>
      <c r="BM539" s="3"/>
      <c r="BN539" s="3"/>
    </row>
    <row r="540" spans="1:66" ht="12.95" customHeight="1">
      <c r="B540" s="1371"/>
      <c r="C540" s="1372"/>
      <c r="D540" s="1372"/>
      <c r="E540" s="1372"/>
      <c r="F540" s="1372"/>
      <c r="G540" s="1372"/>
      <c r="H540" s="1373"/>
      <c r="I540" t="s">
        <v>565</v>
      </c>
      <c r="AC540" s="1402">
        <v>11</v>
      </c>
      <c r="AD540" s="1403"/>
      <c r="AE540" s="1403"/>
      <c r="AF540" s="1403"/>
      <c r="AG540" s="38" t="s">
        <v>403</v>
      </c>
      <c r="AH540" s="1413">
        <v>2027</v>
      </c>
      <c r="AI540" s="1413"/>
      <c r="AJ540" s="1413"/>
      <c r="AK540" s="1414"/>
      <c r="AZ540" s="3"/>
      <c r="BA540" s="3"/>
      <c r="BB540" s="3"/>
      <c r="BC540" s="3"/>
      <c r="BD540" s="3"/>
      <c r="BE540" s="3"/>
      <c r="BF540" s="3"/>
      <c r="BG540" s="3"/>
      <c r="BH540" s="3"/>
      <c r="BI540" s="3"/>
      <c r="BJ540" s="3"/>
      <c r="BK540" s="3"/>
      <c r="BL540" s="3"/>
      <c r="BM540" s="3"/>
      <c r="BN540" s="3"/>
    </row>
    <row r="541" spans="1:66" ht="12.95" customHeight="1">
      <c r="B541" s="1371"/>
      <c r="C541" s="1372"/>
      <c r="D541" s="1372"/>
      <c r="E541" s="1372"/>
      <c r="F541" s="1372"/>
      <c r="G541" s="1372"/>
      <c r="H541" s="1373"/>
      <c r="I541" t="s">
        <v>566</v>
      </c>
      <c r="AC541" s="1402">
        <v>11</v>
      </c>
      <c r="AD541" s="1403"/>
      <c r="AE541" s="1403"/>
      <c r="AF541" s="1403"/>
      <c r="AG541" s="38" t="s">
        <v>403</v>
      </c>
      <c r="AH541" s="1413">
        <v>2027</v>
      </c>
      <c r="AI541" s="1413"/>
      <c r="AJ541" s="1413"/>
      <c r="AK541" s="1414"/>
      <c r="AZ541" s="3"/>
      <c r="BA541" s="3"/>
      <c r="BB541" s="3"/>
      <c r="BC541" s="3"/>
      <c r="BD541" s="3"/>
      <c r="BE541" s="3"/>
      <c r="BF541" s="3"/>
      <c r="BG541" s="3"/>
      <c r="BH541" s="3"/>
      <c r="BI541" s="3"/>
      <c r="BJ541" s="3"/>
      <c r="BK541" s="3"/>
      <c r="BL541" s="3"/>
      <c r="BM541" s="3"/>
      <c r="BN541" s="3"/>
    </row>
    <row r="542" spans="1:66" ht="12.95" customHeight="1">
      <c r="B542" s="1374"/>
      <c r="C542" s="1375"/>
      <c r="D542" s="1375"/>
      <c r="E542" s="1375"/>
      <c r="F542" s="1375"/>
      <c r="G542" s="1375"/>
      <c r="H542" s="1376"/>
      <c r="I542" s="48" t="s">
        <v>452</v>
      </c>
      <c r="J542" s="48"/>
      <c r="K542" s="48"/>
      <c r="L542" s="48"/>
      <c r="M542" s="48"/>
      <c r="N542" s="48"/>
      <c r="O542" s="48"/>
      <c r="P542" s="48"/>
      <c r="Q542" s="48"/>
      <c r="R542" s="48"/>
      <c r="S542" s="48"/>
      <c r="T542" s="48"/>
      <c r="U542" s="48"/>
      <c r="V542" s="48"/>
      <c r="W542" s="48"/>
      <c r="X542" s="48"/>
      <c r="Y542" s="48"/>
      <c r="Z542" s="48"/>
      <c r="AA542" s="48"/>
      <c r="AB542" s="48"/>
      <c r="AC542" s="1402">
        <v>11</v>
      </c>
      <c r="AD542" s="1403"/>
      <c r="AE542" s="1403"/>
      <c r="AF542" s="1403"/>
      <c r="AG542" s="38" t="s">
        <v>403</v>
      </c>
      <c r="AH542" s="1413">
        <v>2027</v>
      </c>
      <c r="AI542" s="1413"/>
      <c r="AJ542" s="1413"/>
      <c r="AK542" s="1414"/>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68" t="s">
        <v>2103</v>
      </c>
      <c r="C551" s="1369"/>
      <c r="D551" s="1369"/>
      <c r="E551" s="1369"/>
      <c r="F551" s="1369"/>
      <c r="G551" s="1369"/>
      <c r="H551" s="1369"/>
      <c r="I551" s="1369"/>
      <c r="J551" s="1369"/>
      <c r="K551" s="1369"/>
      <c r="L551" s="1370"/>
      <c r="M551" s="1368" t="s">
        <v>2104</v>
      </c>
      <c r="N551" s="1369"/>
      <c r="O551" s="1369"/>
      <c r="P551" s="1370"/>
      <c r="Q551" s="1368" t="s">
        <v>2130</v>
      </c>
      <c r="R551" s="1369"/>
      <c r="S551" s="1370"/>
      <c r="T551" s="1368" t="s">
        <v>2131</v>
      </c>
      <c r="U551" s="1369"/>
      <c r="V551" s="1370"/>
      <c r="W551" s="1368" t="s">
        <v>454</v>
      </c>
      <c r="X551" s="1369"/>
      <c r="Y551" s="1370"/>
      <c r="Z551" s="1368" t="s">
        <v>1852</v>
      </c>
      <c r="AA551" s="1369"/>
      <c r="AB551" s="1369"/>
      <c r="AC551" s="1369"/>
      <c r="AD551" s="1370"/>
      <c r="AE551" s="1368" t="s">
        <v>1677</v>
      </c>
      <c r="AF551" s="1369"/>
      <c r="AG551" s="1369"/>
      <c r="AH551" s="1370"/>
      <c r="AI551" s="1368" t="s">
        <v>1678</v>
      </c>
      <c r="AJ551" s="1369"/>
      <c r="AK551" s="1369"/>
      <c r="AL551" s="1370"/>
      <c r="AM551" s="1368" t="s">
        <v>455</v>
      </c>
      <c r="AN551" s="1369"/>
      <c r="AO551" s="1369"/>
      <c r="AP551" s="1369"/>
      <c r="AQ551" s="1369"/>
      <c r="AR551" s="1369"/>
      <c r="AS551" s="1370"/>
      <c r="BB551" s="3"/>
      <c r="BC551" s="3"/>
      <c r="BD551" s="3"/>
      <c r="BE551" s="3"/>
      <c r="BF551" s="3"/>
      <c r="BG551" s="3"/>
      <c r="BH551" s="3" t="s">
        <v>582</v>
      </c>
      <c r="BI551" s="3" t="str">
        <f>AG657</f>
        <v>Yes</v>
      </c>
    </row>
    <row r="552" spans="1:61" ht="12.95" customHeight="1">
      <c r="B552" s="1371"/>
      <c r="C552" s="1372"/>
      <c r="D552" s="1372"/>
      <c r="E552" s="1372"/>
      <c r="F552" s="1372"/>
      <c r="G552" s="1372"/>
      <c r="H552" s="1372"/>
      <c r="I552" s="1372"/>
      <c r="J552" s="1372"/>
      <c r="K552" s="1372"/>
      <c r="L552" s="1373"/>
      <c r="M552" s="1371"/>
      <c r="N552" s="1372"/>
      <c r="O552" s="1372"/>
      <c r="P552" s="1373"/>
      <c r="Q552" s="1371"/>
      <c r="R552" s="1372"/>
      <c r="S552" s="1373"/>
      <c r="T552" s="1371"/>
      <c r="U552" s="1372"/>
      <c r="V552" s="1373"/>
      <c r="W552" s="1371"/>
      <c r="X552" s="1372"/>
      <c r="Y552" s="1373"/>
      <c r="Z552" s="1371"/>
      <c r="AA552" s="1372"/>
      <c r="AB552" s="1372"/>
      <c r="AC552" s="1372"/>
      <c r="AD552" s="1373"/>
      <c r="AE552" s="1371"/>
      <c r="AF552" s="1372"/>
      <c r="AG552" s="1372"/>
      <c r="AH552" s="1373"/>
      <c r="AI552" s="1371"/>
      <c r="AJ552" s="1372"/>
      <c r="AK552" s="1372"/>
      <c r="AL552" s="1373"/>
      <c r="AM552" s="1371"/>
      <c r="AN552" s="1372"/>
      <c r="AO552" s="1372"/>
      <c r="AP552" s="1372"/>
      <c r="AQ552" s="1372"/>
      <c r="AR552" s="1372"/>
      <c r="AS552" s="1373"/>
      <c r="AU552" s="1147"/>
      <c r="BB552" s="3"/>
      <c r="BC552" s="3"/>
      <c r="BD552" s="3"/>
      <c r="BE552" s="3"/>
      <c r="BF552" s="3"/>
      <c r="BG552" s="3"/>
      <c r="BH552" s="3"/>
      <c r="BI552" s="3"/>
    </row>
    <row r="553" spans="1:61" ht="12.95" customHeight="1">
      <c r="B553" s="1374"/>
      <c r="C553" s="1375"/>
      <c r="D553" s="1375"/>
      <c r="E553" s="1375"/>
      <c r="F553" s="1375"/>
      <c r="G553" s="1375"/>
      <c r="H553" s="1375"/>
      <c r="I553" s="1375"/>
      <c r="J553" s="1375"/>
      <c r="K553" s="1375"/>
      <c r="L553" s="1376"/>
      <c r="M553" s="1374"/>
      <c r="N553" s="1375"/>
      <c r="O553" s="1375"/>
      <c r="P553" s="1376"/>
      <c r="Q553" s="1374"/>
      <c r="R553" s="1375"/>
      <c r="S553" s="1376"/>
      <c r="T553" s="1374"/>
      <c r="U553" s="1375"/>
      <c r="V553" s="1376"/>
      <c r="W553" s="1374"/>
      <c r="X553" s="1375"/>
      <c r="Y553" s="1376"/>
      <c r="Z553" s="1374"/>
      <c r="AA553" s="1375"/>
      <c r="AB553" s="1375"/>
      <c r="AC553" s="1375"/>
      <c r="AD553" s="1376"/>
      <c r="AE553" s="1374"/>
      <c r="AF553" s="1375"/>
      <c r="AG553" s="1375"/>
      <c r="AH553" s="1376"/>
      <c r="AI553" s="1374"/>
      <c r="AJ553" s="1375"/>
      <c r="AK553" s="1375"/>
      <c r="AL553" s="1376"/>
      <c r="AM553" s="1374"/>
      <c r="AN553" s="1375"/>
      <c r="AO553" s="1375"/>
      <c r="AP553" s="1375"/>
      <c r="AQ553" s="1375"/>
      <c r="AR553" s="1375"/>
      <c r="AS553" s="1376"/>
      <c r="AU553" s="1147"/>
      <c r="BB553" s="3"/>
      <c r="BC553" s="3"/>
      <c r="BD553" s="3"/>
      <c r="BE553" s="3"/>
      <c r="BF553" s="3"/>
      <c r="BG553" s="3"/>
      <c r="BH553" s="3"/>
      <c r="BI553" s="3"/>
    </row>
    <row r="554" spans="1:61" ht="12.95" customHeight="1">
      <c r="B554" s="51" t="s">
        <v>112</v>
      </c>
      <c r="C554" s="1418" t="s">
        <v>2742</v>
      </c>
      <c r="D554" s="1418"/>
      <c r="E554" s="1418"/>
      <c r="F554" s="1418"/>
      <c r="G554" s="1418"/>
      <c r="H554" s="1418"/>
      <c r="I554" s="1418"/>
      <c r="J554" s="1418"/>
      <c r="K554" s="1418"/>
      <c r="L554" s="1418"/>
      <c r="M554" s="1418" t="s">
        <v>2120</v>
      </c>
      <c r="N554" s="1418"/>
      <c r="O554" s="1418"/>
      <c r="P554" s="1418"/>
      <c r="Q554" s="1411">
        <v>30</v>
      </c>
      <c r="R554" s="1411"/>
      <c r="S554" s="1412"/>
      <c r="T554" s="1410"/>
      <c r="U554" s="1411"/>
      <c r="V554" s="1412"/>
      <c r="W554" s="1426">
        <v>6.5000000000000002E-2</v>
      </c>
      <c r="X554" s="1427"/>
      <c r="Y554" s="1428"/>
      <c r="Z554" s="1419" t="s">
        <v>2712</v>
      </c>
      <c r="AA554" s="1419"/>
      <c r="AB554" s="1419"/>
      <c r="AC554" s="1419"/>
      <c r="AD554" s="1419"/>
      <c r="AE554" s="1429"/>
      <c r="AF554" s="1430"/>
      <c r="AG554" s="1430"/>
      <c r="AH554" s="1431"/>
      <c r="AI554" s="1415"/>
      <c r="AJ554" s="1416"/>
      <c r="AK554" s="1416"/>
      <c r="AL554" s="1417"/>
      <c r="AM554" s="1461">
        <v>20570676</v>
      </c>
      <c r="AN554" s="1462"/>
      <c r="AO554" s="1462"/>
      <c r="AP554" s="1462"/>
      <c r="AQ554" s="1462"/>
      <c r="AR554" s="1462"/>
      <c r="AS554" s="1463"/>
      <c r="AT554" s="1148"/>
      <c r="AU554" s="1147"/>
      <c r="BB554" s="3"/>
      <c r="BC554" s="3"/>
      <c r="BD554" s="3"/>
      <c r="BE554" s="3"/>
      <c r="BF554" s="3"/>
      <c r="BG554" s="3"/>
      <c r="BH554" s="3"/>
      <c r="BI554" s="3"/>
    </row>
    <row r="555" spans="1:61" ht="12.95" customHeight="1">
      <c r="B555" s="52" t="s">
        <v>113</v>
      </c>
      <c r="C555" s="1420" t="s">
        <v>2713</v>
      </c>
      <c r="D555" s="1420"/>
      <c r="E555" s="1420"/>
      <c r="F555" s="1420"/>
      <c r="G555" s="1420"/>
      <c r="H555" s="1420"/>
      <c r="I555" s="1420"/>
      <c r="J555" s="1420"/>
      <c r="K555" s="1420"/>
      <c r="L555" s="1420"/>
      <c r="M555" s="1418" t="s">
        <v>2111</v>
      </c>
      <c r="N555" s="1418"/>
      <c r="O555" s="1418"/>
      <c r="P555" s="1418"/>
      <c r="Q555" s="1410"/>
      <c r="R555" s="1411"/>
      <c r="S555" s="1412"/>
      <c r="T555" s="1410"/>
      <c r="U555" s="1411"/>
      <c r="V555" s="1412"/>
      <c r="W555" s="1426"/>
      <c r="X555" s="1427"/>
      <c r="Y555" s="1428"/>
      <c r="Z555" s="1419" t="s">
        <v>1185</v>
      </c>
      <c r="AA555" s="1419"/>
      <c r="AB555" s="1419"/>
      <c r="AC555" s="1419"/>
      <c r="AD555" s="1419"/>
      <c r="AE555" s="1429"/>
      <c r="AF555" s="1430"/>
      <c r="AG555" s="1430"/>
      <c r="AH555" s="1431"/>
      <c r="AI555" s="1415"/>
      <c r="AJ555" s="1416"/>
      <c r="AK555" s="1416"/>
      <c r="AL555" s="1417"/>
      <c r="AM555" s="1461">
        <v>4160702</v>
      </c>
      <c r="AN555" s="1462"/>
      <c r="AO555" s="1462"/>
      <c r="AP555" s="1462"/>
      <c r="AQ555" s="1462"/>
      <c r="AR555" s="1462"/>
      <c r="AS555" s="1463"/>
      <c r="AT555" s="1148" t="str">
        <f>IF(AND(NOT(C554=""),C555="",NOT(C556="")),"!","")</f>
        <v/>
      </c>
      <c r="AU555" s="1147"/>
      <c r="BB555" s="3"/>
      <c r="BC555" s="3"/>
      <c r="BD555" s="3"/>
      <c r="BE555" s="3"/>
      <c r="BF555" s="3"/>
      <c r="BG555" s="3"/>
      <c r="BH555" s="3"/>
      <c r="BI555" s="3"/>
    </row>
    <row r="556" spans="1:61" ht="12.95" customHeight="1">
      <c r="B556" s="52" t="s">
        <v>119</v>
      </c>
      <c r="C556" s="1420" t="s">
        <v>2714</v>
      </c>
      <c r="D556" s="1420"/>
      <c r="E556" s="1420"/>
      <c r="F556" s="1420"/>
      <c r="G556" s="1420"/>
      <c r="H556" s="1420"/>
      <c r="I556" s="1420"/>
      <c r="J556" s="1420"/>
      <c r="K556" s="1420"/>
      <c r="L556" s="1420"/>
      <c r="M556" s="1418" t="s">
        <v>2113</v>
      </c>
      <c r="N556" s="1418"/>
      <c r="O556" s="1418"/>
      <c r="P556" s="1418"/>
      <c r="Q556" s="1410"/>
      <c r="R556" s="1411"/>
      <c r="S556" s="1412"/>
      <c r="T556" s="1410"/>
      <c r="U556" s="1411"/>
      <c r="V556" s="1412"/>
      <c r="W556" s="1426"/>
      <c r="X556" s="1427"/>
      <c r="Y556" s="1428"/>
      <c r="Z556" s="1419" t="s">
        <v>1185</v>
      </c>
      <c r="AA556" s="1419"/>
      <c r="AB556" s="1419"/>
      <c r="AC556" s="1419"/>
      <c r="AD556" s="1419"/>
      <c r="AE556" s="1429"/>
      <c r="AF556" s="1430"/>
      <c r="AG556" s="1430"/>
      <c r="AH556" s="1431"/>
      <c r="AI556" s="1415"/>
      <c r="AJ556" s="1416"/>
      <c r="AK556" s="1416"/>
      <c r="AL556" s="1417"/>
      <c r="AM556" s="1461">
        <v>2402000</v>
      </c>
      <c r="AN556" s="1462"/>
      <c r="AO556" s="1462"/>
      <c r="AP556" s="1462"/>
      <c r="AQ556" s="1462"/>
      <c r="AR556" s="1462"/>
      <c r="AS556" s="1463"/>
      <c r="AT556" s="1148" t="str">
        <f>IF(AND(NOT(C555=""),C556="",NOT(C557="")),"!","")</f>
        <v/>
      </c>
      <c r="AU556" s="1147"/>
      <c r="BB556" s="3"/>
      <c r="BC556" s="3"/>
      <c r="BD556" s="3"/>
      <c r="BE556" s="3"/>
      <c r="BF556" s="3"/>
      <c r="BG556" s="3"/>
      <c r="BH556" s="3"/>
      <c r="BI556" s="3"/>
    </row>
    <row r="557" spans="1:61" ht="12.95" customHeight="1">
      <c r="B557" s="52" t="s">
        <v>582</v>
      </c>
      <c r="C557" s="1420" t="s">
        <v>2743</v>
      </c>
      <c r="D557" s="1420"/>
      <c r="E557" s="1420"/>
      <c r="F557" s="1420"/>
      <c r="G557" s="1420"/>
      <c r="H557" s="1420"/>
      <c r="I557" s="1420"/>
      <c r="J557" s="1420"/>
      <c r="K557" s="1420"/>
      <c r="L557" s="1420"/>
      <c r="M557" s="1418" t="s">
        <v>2119</v>
      </c>
      <c r="N557" s="1418"/>
      <c r="O557" s="1418"/>
      <c r="P557" s="1418"/>
      <c r="Q557" s="1410">
        <f>Q554</f>
        <v>30</v>
      </c>
      <c r="R557" s="1411"/>
      <c r="S557" s="1412"/>
      <c r="T557" s="1410"/>
      <c r="U557" s="1411"/>
      <c r="V557" s="1412"/>
      <c r="W557" s="1426">
        <v>6.5000000000000002E-2</v>
      </c>
      <c r="X557" s="1427"/>
      <c r="Y557" s="1428"/>
      <c r="Z557" s="1419" t="s">
        <v>2744</v>
      </c>
      <c r="AA557" s="1419"/>
      <c r="AB557" s="1419"/>
      <c r="AC557" s="1419"/>
      <c r="AD557" s="1419"/>
      <c r="AE557" s="1429"/>
      <c r="AF557" s="1430"/>
      <c r="AG557" s="1430"/>
      <c r="AH557" s="1431"/>
      <c r="AI557" s="1415"/>
      <c r="AJ557" s="1416"/>
      <c r="AK557" s="1416"/>
      <c r="AL557" s="1417"/>
      <c r="AM557" s="1461">
        <v>21929324</v>
      </c>
      <c r="AN557" s="1462"/>
      <c r="AO557" s="1462"/>
      <c r="AP557" s="1462"/>
      <c r="AQ557" s="1462"/>
      <c r="AR557" s="1462"/>
      <c r="AS557" s="1463"/>
      <c r="AT557" s="1148" t="str">
        <f>IF(AND(NOT(C556=""),C557="",NOT(C558="")),"!","")</f>
        <v/>
      </c>
      <c r="AU557" s="1147"/>
      <c r="BB557" s="3"/>
      <c r="BC557" s="3"/>
      <c r="BD557" s="3"/>
      <c r="BE557" s="3"/>
      <c r="BF557" s="3"/>
      <c r="BG557" s="3"/>
      <c r="BH557" s="3"/>
      <c r="BI557" s="3"/>
    </row>
    <row r="558" spans="1:61" ht="12.95" customHeight="1">
      <c r="B558" s="52" t="s">
        <v>764</v>
      </c>
      <c r="C558" s="1420" t="s">
        <v>2789</v>
      </c>
      <c r="D558" s="1420"/>
      <c r="E558" s="1420"/>
      <c r="F558" s="1420"/>
      <c r="G558" s="1420"/>
      <c r="H558" s="1420"/>
      <c r="I558" s="1420"/>
      <c r="J558" s="1420"/>
      <c r="K558" s="1420"/>
      <c r="L558" s="1420"/>
      <c r="M558" s="1418" t="s">
        <v>2117</v>
      </c>
      <c r="N558" s="1418"/>
      <c r="O558" s="1418"/>
      <c r="P558" s="1418"/>
      <c r="Q558" s="1410"/>
      <c r="R558" s="1411"/>
      <c r="S558" s="1412"/>
      <c r="T558" s="1410"/>
      <c r="U558" s="1411"/>
      <c r="V558" s="1412"/>
      <c r="W558" s="1426">
        <v>4.8300000000000003E-2</v>
      </c>
      <c r="X558" s="1427"/>
      <c r="Y558" s="1428"/>
      <c r="Z558" s="1419" t="s">
        <v>2744</v>
      </c>
      <c r="AA558" s="1419"/>
      <c r="AB558" s="1419"/>
      <c r="AC558" s="1419"/>
      <c r="AD558" s="1419"/>
      <c r="AE558" s="1429"/>
      <c r="AF558" s="1430"/>
      <c r="AG558" s="1430"/>
      <c r="AH558" s="1431"/>
      <c r="AI558" s="1415"/>
      <c r="AJ558" s="1416"/>
      <c r="AK558" s="1416"/>
      <c r="AL558" s="1417"/>
      <c r="AM558" s="1461">
        <v>18610000</v>
      </c>
      <c r="AN558" s="1462"/>
      <c r="AO558" s="1462"/>
      <c r="AP558" s="1462"/>
      <c r="AQ558" s="1462"/>
      <c r="AR558" s="1462"/>
      <c r="AS558" s="1463"/>
      <c r="AT558" s="1148" t="str">
        <f t="shared" ref="AT558:AT565" si="0">IF(AND(NOT(C557=""),C558="",NOT(C559="")),"!","")</f>
        <v/>
      </c>
      <c r="AU558" s="1147"/>
      <c r="BB558" s="3"/>
      <c r="BC558" s="3"/>
      <c r="BD558" s="3"/>
      <c r="BE558" s="3"/>
      <c r="BF558" s="3"/>
      <c r="BG558" s="3"/>
      <c r="BH558" s="3" t="s">
        <v>764</v>
      </c>
      <c r="BI558" s="3" t="str">
        <f>N665</f>
        <v>Yes</v>
      </c>
    </row>
    <row r="559" spans="1:61" ht="12.95" customHeight="1">
      <c r="B559" s="52" t="s">
        <v>585</v>
      </c>
      <c r="C559" s="1420" t="s">
        <v>2768</v>
      </c>
      <c r="D559" s="1420"/>
      <c r="E559" s="1420"/>
      <c r="F559" s="1420"/>
      <c r="G559" s="1420"/>
      <c r="H559" s="1420"/>
      <c r="I559" s="1420"/>
      <c r="J559" s="1420"/>
      <c r="K559" s="1420"/>
      <c r="L559" s="1420"/>
      <c r="M559" s="1418" t="s">
        <v>2106</v>
      </c>
      <c r="N559" s="1418"/>
      <c r="O559" s="1418"/>
      <c r="P559" s="1418"/>
      <c r="Q559" s="1410"/>
      <c r="R559" s="1411"/>
      <c r="S559" s="1412"/>
      <c r="T559" s="1410"/>
      <c r="U559" s="1411"/>
      <c r="V559" s="1412"/>
      <c r="W559" s="1426"/>
      <c r="X559" s="1427"/>
      <c r="Y559" s="1428"/>
      <c r="Z559" s="1419" t="s">
        <v>1185</v>
      </c>
      <c r="AA559" s="1419"/>
      <c r="AB559" s="1419"/>
      <c r="AC559" s="1419"/>
      <c r="AD559" s="1419"/>
      <c r="AE559" s="1429"/>
      <c r="AF559" s="1430"/>
      <c r="AG559" s="1430"/>
      <c r="AH559" s="1431"/>
      <c r="AI559" s="1415"/>
      <c r="AJ559" s="1416"/>
      <c r="AK559" s="1416"/>
      <c r="AL559" s="1417"/>
      <c r="AM559" s="1461">
        <f>SUM(AO627:AS631, AO640)-SUM(AM554:AS558)</f>
        <v>4107414</v>
      </c>
      <c r="AN559" s="1462"/>
      <c r="AO559" s="1462"/>
      <c r="AP559" s="1462"/>
      <c r="AQ559" s="1462"/>
      <c r="AR559" s="1462"/>
      <c r="AS559" s="1463"/>
      <c r="AT559" s="1148" t="str">
        <f t="shared" si="0"/>
        <v/>
      </c>
      <c r="AU559" s="1147"/>
      <c r="BB559" s="3"/>
      <c r="BC559" s="3"/>
      <c r="BD559" s="3"/>
      <c r="BE559" s="3"/>
      <c r="BF559" s="3"/>
      <c r="BG559" s="3"/>
      <c r="BH559" s="3" t="s">
        <v>585</v>
      </c>
      <c r="BI559" s="3">
        <f>AG665</f>
        <v>0</v>
      </c>
    </row>
    <row r="560" spans="1:61" ht="12.95" customHeight="1">
      <c r="B560" s="52" t="s">
        <v>456</v>
      </c>
      <c r="C560" s="1420"/>
      <c r="D560" s="1420"/>
      <c r="E560" s="1420"/>
      <c r="F560" s="1420"/>
      <c r="G560" s="1420"/>
      <c r="H560" s="1420"/>
      <c r="I560" s="1420"/>
      <c r="J560" s="1420"/>
      <c r="K560" s="1420"/>
      <c r="L560" s="1420"/>
      <c r="M560" s="1418" t="s">
        <v>1185</v>
      </c>
      <c r="N560" s="1418"/>
      <c r="O560" s="1418"/>
      <c r="P560" s="1418"/>
      <c r="Q560" s="1410"/>
      <c r="R560" s="1411"/>
      <c r="S560" s="1412"/>
      <c r="T560" s="1410"/>
      <c r="U560" s="1411"/>
      <c r="V560" s="1412"/>
      <c r="W560" s="1426"/>
      <c r="X560" s="1427"/>
      <c r="Y560" s="1428"/>
      <c r="Z560" s="1419" t="s">
        <v>1185</v>
      </c>
      <c r="AA560" s="1419"/>
      <c r="AB560" s="1419"/>
      <c r="AC560" s="1419"/>
      <c r="AD560" s="1419"/>
      <c r="AE560" s="1429"/>
      <c r="AF560" s="1430"/>
      <c r="AG560" s="1430"/>
      <c r="AH560" s="1431"/>
      <c r="AI560" s="1415"/>
      <c r="AJ560" s="1416"/>
      <c r="AK560" s="1416"/>
      <c r="AL560" s="1417"/>
      <c r="AM560" s="1461"/>
      <c r="AN560" s="1462"/>
      <c r="AO560" s="1462"/>
      <c r="AP560" s="1462"/>
      <c r="AQ560" s="1462"/>
      <c r="AR560" s="1462"/>
      <c r="AS560" s="1463"/>
      <c r="AT560" s="1148" t="str">
        <f t="shared" si="0"/>
        <v/>
      </c>
      <c r="AU560" s="1147"/>
      <c r="BB560" s="3"/>
      <c r="BC560" s="3"/>
      <c r="BD560" s="3"/>
      <c r="BE560" s="3"/>
      <c r="BF560" s="3"/>
      <c r="BG560" s="3"/>
      <c r="BH560" s="3"/>
      <c r="BI560" s="3"/>
    </row>
    <row r="561" spans="1:61" ht="12.95" customHeight="1">
      <c r="B561" s="52" t="s">
        <v>457</v>
      </c>
      <c r="C561" s="1420"/>
      <c r="D561" s="1420"/>
      <c r="E561" s="1420"/>
      <c r="F561" s="1420"/>
      <c r="G561" s="1420"/>
      <c r="H561" s="1420"/>
      <c r="I561" s="1420"/>
      <c r="J561" s="1420"/>
      <c r="K561" s="1420"/>
      <c r="L561" s="1420"/>
      <c r="M561" s="1418" t="s">
        <v>1185</v>
      </c>
      <c r="N561" s="1418"/>
      <c r="O561" s="1418"/>
      <c r="P561" s="1418"/>
      <c r="Q561" s="1410"/>
      <c r="R561" s="1411"/>
      <c r="S561" s="1412"/>
      <c r="T561" s="1410"/>
      <c r="U561" s="1411"/>
      <c r="V561" s="1412"/>
      <c r="W561" s="1426"/>
      <c r="X561" s="1427"/>
      <c r="Y561" s="1428"/>
      <c r="Z561" s="1419" t="s">
        <v>1185</v>
      </c>
      <c r="AA561" s="1419"/>
      <c r="AB561" s="1419"/>
      <c r="AC561" s="1419"/>
      <c r="AD561" s="1419"/>
      <c r="AE561" s="1429"/>
      <c r="AF561" s="1430"/>
      <c r="AG561" s="1430"/>
      <c r="AH561" s="1431"/>
      <c r="AI561" s="1415"/>
      <c r="AJ561" s="1416"/>
      <c r="AK561" s="1416"/>
      <c r="AL561" s="1417"/>
      <c r="AM561" s="1461"/>
      <c r="AN561" s="1462"/>
      <c r="AO561" s="1462"/>
      <c r="AP561" s="1462"/>
      <c r="AQ561" s="1462"/>
      <c r="AR561" s="1462"/>
      <c r="AS561" s="1463"/>
      <c r="AT561" s="1148" t="str">
        <f t="shared" si="0"/>
        <v/>
      </c>
      <c r="AU561" s="1147"/>
      <c r="BB561" s="3"/>
      <c r="BC561" s="3"/>
      <c r="BD561" s="3"/>
      <c r="BE561" s="3"/>
      <c r="BF561" s="3"/>
      <c r="BG561" s="3"/>
      <c r="BH561" s="3"/>
      <c r="BI561" s="3"/>
    </row>
    <row r="562" spans="1:61" ht="12.95" customHeight="1">
      <c r="B562" s="52" t="s">
        <v>462</v>
      </c>
      <c r="C562" s="1420"/>
      <c r="D562" s="1420"/>
      <c r="E562" s="1420"/>
      <c r="F562" s="1420"/>
      <c r="G562" s="1420"/>
      <c r="H562" s="1420"/>
      <c r="I562" s="1420"/>
      <c r="J562" s="1420"/>
      <c r="K562" s="1420"/>
      <c r="L562" s="1420"/>
      <c r="M562" s="1418" t="s">
        <v>1185</v>
      </c>
      <c r="N562" s="1418"/>
      <c r="O562" s="1418"/>
      <c r="P562" s="1418"/>
      <c r="Q562" s="1410"/>
      <c r="R562" s="1411"/>
      <c r="S562" s="1412"/>
      <c r="T562" s="1410"/>
      <c r="U562" s="1411"/>
      <c r="V562" s="1412"/>
      <c r="W562" s="1426"/>
      <c r="X562" s="1427"/>
      <c r="Y562" s="1428"/>
      <c r="Z562" s="1419" t="s">
        <v>1185</v>
      </c>
      <c r="AA562" s="1419"/>
      <c r="AB562" s="1419"/>
      <c r="AC562" s="1419"/>
      <c r="AD562" s="1419"/>
      <c r="AE562" s="1429"/>
      <c r="AF562" s="1430"/>
      <c r="AG562" s="1430"/>
      <c r="AH562" s="1431"/>
      <c r="AI562" s="1415"/>
      <c r="AJ562" s="1416"/>
      <c r="AK562" s="1416"/>
      <c r="AL562" s="1417"/>
      <c r="AM562" s="1461"/>
      <c r="AN562" s="1462"/>
      <c r="AO562" s="1462"/>
      <c r="AP562" s="1462"/>
      <c r="AQ562" s="1462"/>
      <c r="AR562" s="1462"/>
      <c r="AS562" s="1463"/>
      <c r="AT562" s="1148" t="str">
        <f t="shared" si="0"/>
        <v/>
      </c>
      <c r="AU562" s="1147"/>
      <c r="BB562" s="3"/>
      <c r="BC562" s="3"/>
      <c r="BD562" s="3"/>
      <c r="BE562" s="3"/>
      <c r="BF562" s="3"/>
      <c r="BG562" s="3"/>
      <c r="BH562" s="3"/>
      <c r="BI562" s="3"/>
    </row>
    <row r="563" spans="1:61" ht="12.95" customHeight="1">
      <c r="B563" s="52" t="s">
        <v>647</v>
      </c>
      <c r="C563" s="1420"/>
      <c r="D563" s="1420"/>
      <c r="E563" s="1420"/>
      <c r="F563" s="1420"/>
      <c r="G563" s="1420"/>
      <c r="H563" s="1420"/>
      <c r="I563" s="1420"/>
      <c r="J563" s="1420"/>
      <c r="K563" s="1420"/>
      <c r="L563" s="1420"/>
      <c r="M563" s="1418" t="s">
        <v>1185</v>
      </c>
      <c r="N563" s="1418"/>
      <c r="O563" s="1418"/>
      <c r="P563" s="1418"/>
      <c r="Q563" s="1410"/>
      <c r="R563" s="1411"/>
      <c r="S563" s="1412"/>
      <c r="T563" s="1410"/>
      <c r="U563" s="1411"/>
      <c r="V563" s="1412"/>
      <c r="W563" s="1426"/>
      <c r="X563" s="1427"/>
      <c r="Y563" s="1428"/>
      <c r="Z563" s="1419" t="s">
        <v>1185</v>
      </c>
      <c r="AA563" s="1419"/>
      <c r="AB563" s="1419"/>
      <c r="AC563" s="1419"/>
      <c r="AD563" s="1419"/>
      <c r="AE563" s="1429"/>
      <c r="AF563" s="1430"/>
      <c r="AG563" s="1430"/>
      <c r="AH563" s="1431"/>
      <c r="AI563" s="1415"/>
      <c r="AJ563" s="1416"/>
      <c r="AK563" s="1416"/>
      <c r="AL563" s="1417"/>
      <c r="AM563" s="1461"/>
      <c r="AN563" s="1462"/>
      <c r="AO563" s="1462"/>
      <c r="AP563" s="1462"/>
      <c r="AQ563" s="1462"/>
      <c r="AR563" s="1462"/>
      <c r="AS563" s="1463"/>
      <c r="AT563" s="1148" t="str">
        <f t="shared" si="0"/>
        <v/>
      </c>
      <c r="BB563" s="3"/>
      <c r="BC563" s="3"/>
      <c r="BD563" s="3"/>
      <c r="BE563" s="3"/>
      <c r="BF563" s="3"/>
      <c r="BG563" s="3"/>
      <c r="BH563" s="3"/>
      <c r="BI563" s="3"/>
    </row>
    <row r="564" spans="1:61" ht="12.95" customHeight="1">
      <c r="B564" s="52" t="s">
        <v>362</v>
      </c>
      <c r="C564" s="1420"/>
      <c r="D564" s="1420"/>
      <c r="E564" s="1420"/>
      <c r="F564" s="1420"/>
      <c r="G564" s="1420"/>
      <c r="H564" s="1420"/>
      <c r="I564" s="1420"/>
      <c r="J564" s="1420"/>
      <c r="K564" s="1420"/>
      <c r="L564" s="1420"/>
      <c r="M564" s="1418" t="s">
        <v>1185</v>
      </c>
      <c r="N564" s="1418"/>
      <c r="O564" s="1418"/>
      <c r="P564" s="1418"/>
      <c r="Q564" s="1410"/>
      <c r="R564" s="1411"/>
      <c r="S564" s="1412"/>
      <c r="T564" s="1410"/>
      <c r="U564" s="1411"/>
      <c r="V564" s="1412"/>
      <c r="W564" s="1426"/>
      <c r="X564" s="1427"/>
      <c r="Y564" s="1428"/>
      <c r="Z564" s="1419" t="s">
        <v>1185</v>
      </c>
      <c r="AA564" s="1419"/>
      <c r="AB564" s="1419"/>
      <c r="AC564" s="1419"/>
      <c r="AD564" s="1419"/>
      <c r="AE564" s="1429"/>
      <c r="AF564" s="1430"/>
      <c r="AG564" s="1430"/>
      <c r="AH564" s="1431"/>
      <c r="AI564" s="1415"/>
      <c r="AJ564" s="1416"/>
      <c r="AK564" s="1416"/>
      <c r="AL564" s="1417"/>
      <c r="AM564" s="1461"/>
      <c r="AN564" s="1462"/>
      <c r="AO564" s="1462"/>
      <c r="AP564" s="1462"/>
      <c r="AQ564" s="1462"/>
      <c r="AR564" s="1462"/>
      <c r="AS564" s="1463"/>
      <c r="AT564" s="1148" t="str">
        <f t="shared" si="0"/>
        <v/>
      </c>
      <c r="BB564" s="3"/>
      <c r="BC564" s="3"/>
      <c r="BD564" s="3"/>
      <c r="BE564" s="3"/>
      <c r="BF564" s="3"/>
      <c r="BG564" s="3"/>
      <c r="BH564" s="3"/>
      <c r="BI564" s="3"/>
    </row>
    <row r="565" spans="1:61" ht="12.95" customHeight="1">
      <c r="B565" s="52" t="s">
        <v>363</v>
      </c>
      <c r="C565" s="1420"/>
      <c r="D565" s="1420"/>
      <c r="E565" s="1420"/>
      <c r="F565" s="1420"/>
      <c r="G565" s="1420"/>
      <c r="H565" s="1420"/>
      <c r="I565" s="1420"/>
      <c r="J565" s="1420"/>
      <c r="K565" s="1420"/>
      <c r="L565" s="1420"/>
      <c r="M565" s="1418" t="s">
        <v>1185</v>
      </c>
      <c r="N565" s="1418"/>
      <c r="O565" s="1418"/>
      <c r="P565" s="1418"/>
      <c r="Q565" s="1410"/>
      <c r="R565" s="1411"/>
      <c r="S565" s="1412"/>
      <c r="T565" s="1410"/>
      <c r="U565" s="1411"/>
      <c r="V565" s="1412"/>
      <c r="W565" s="1426"/>
      <c r="X565" s="1427"/>
      <c r="Y565" s="1428"/>
      <c r="Z565" s="1419" t="s">
        <v>1185</v>
      </c>
      <c r="AA565" s="1419"/>
      <c r="AB565" s="1419"/>
      <c r="AC565" s="1419"/>
      <c r="AD565" s="1419"/>
      <c r="AE565" s="1429"/>
      <c r="AF565" s="1430"/>
      <c r="AG565" s="1430"/>
      <c r="AH565" s="1431"/>
      <c r="AI565" s="1415"/>
      <c r="AJ565" s="1416"/>
      <c r="AK565" s="1416"/>
      <c r="AL565" s="1417"/>
      <c r="AM565" s="1461"/>
      <c r="AN565" s="1462"/>
      <c r="AO565" s="1462"/>
      <c r="AP565" s="1462"/>
      <c r="AQ565" s="1462"/>
      <c r="AR565" s="1462"/>
      <c r="AS565" s="1463"/>
      <c r="AT565" s="1148" t="str">
        <f t="shared" si="0"/>
        <v/>
      </c>
      <c r="BB565" s="3"/>
      <c r="BC565" s="3"/>
      <c r="BD565" s="3"/>
      <c r="BE565" s="3"/>
      <c r="BF565" s="3"/>
      <c r="BG565" s="3"/>
      <c r="BH565" s="3"/>
      <c r="BI565" s="3"/>
    </row>
    <row r="566" spans="1:61" ht="12.95" customHeight="1">
      <c r="B566" s="1472" t="s">
        <v>127</v>
      </c>
      <c r="C566" s="1473"/>
      <c r="D566" s="1473"/>
      <c r="E566" s="1473"/>
      <c r="F566" s="1473"/>
      <c r="G566" s="1473"/>
      <c r="H566" s="1473"/>
      <c r="I566" s="1473"/>
      <c r="J566" s="1473"/>
      <c r="K566" s="1473"/>
      <c r="L566" s="1473"/>
      <c r="M566" s="1473"/>
      <c r="N566" s="1473"/>
      <c r="O566" s="1473"/>
      <c r="P566" s="1473"/>
      <c r="Q566" s="1473"/>
      <c r="R566" s="1473"/>
      <c r="S566" s="1473"/>
      <c r="T566" s="1473"/>
      <c r="U566" s="1474"/>
      <c r="V566" s="1473"/>
      <c r="W566" s="1473"/>
      <c r="X566" s="1473"/>
      <c r="Y566" s="1473"/>
      <c r="Z566" s="1473"/>
      <c r="AA566" s="1473"/>
      <c r="AB566" s="1473"/>
      <c r="AC566" s="1473"/>
      <c r="AD566" s="1473"/>
      <c r="AE566" s="1473"/>
      <c r="AF566" s="1473"/>
      <c r="AG566" s="1473"/>
      <c r="AH566" s="1473"/>
      <c r="AI566" s="1473"/>
      <c r="AJ566" s="1473"/>
      <c r="AK566" s="1473"/>
      <c r="AL566" s="1475"/>
      <c r="AM566" s="1465">
        <f>SUM(AM554:AS565)</f>
        <v>71780116</v>
      </c>
      <c r="AN566" s="1466"/>
      <c r="AO566" s="1466"/>
      <c r="AP566" s="1466"/>
      <c r="AQ566" s="1466"/>
      <c r="AR566" s="1466"/>
      <c r="AS566" s="1467"/>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82" t="str">
        <f>C554</f>
        <v>R4 Capital Construction Loan - TE</v>
      </c>
      <c r="H568" s="1482"/>
      <c r="I568" s="1482"/>
      <c r="J568" s="1482"/>
      <c r="K568" s="1482"/>
      <c r="L568" s="1482"/>
      <c r="M568" s="1482"/>
      <c r="N568" s="1482"/>
      <c r="O568" s="1482"/>
      <c r="P568" s="1482"/>
      <c r="Q568" s="1482"/>
      <c r="R568" s="1482"/>
      <c r="S568" s="8"/>
      <c r="T568" s="55" t="s">
        <v>113</v>
      </c>
      <c r="U568" t="s">
        <v>464</v>
      </c>
      <c r="Z568" s="1482" t="str">
        <f>C555</f>
        <v>R4 Capital  Federal LIHTC Equity</v>
      </c>
      <c r="AA568" s="1482"/>
      <c r="AB568" s="1482"/>
      <c r="AC568" s="1482"/>
      <c r="AD568" s="1482"/>
      <c r="AE568" s="1482"/>
      <c r="AF568" s="1482"/>
      <c r="AG568" s="1482"/>
      <c r="AH568" s="1482"/>
      <c r="AI568" s="1482"/>
      <c r="AJ568" s="1482"/>
      <c r="AK568" s="1482"/>
      <c r="BB568" s="3"/>
      <c r="BC568" s="3"/>
      <c r="BD568" s="3"/>
      <c r="BE568" s="3"/>
      <c r="BF568" s="3"/>
      <c r="BG568" s="3"/>
      <c r="BH568" s="3"/>
      <c r="BI568" s="3"/>
    </row>
    <row r="569" spans="1:61" ht="12.95" customHeight="1">
      <c r="A569" s="22"/>
      <c r="B569" t="s">
        <v>85</v>
      </c>
      <c r="G569" s="1333" t="s">
        <v>2715</v>
      </c>
      <c r="H569" s="1333"/>
      <c r="I569" s="1333"/>
      <c r="J569" s="1333"/>
      <c r="K569" s="1333"/>
      <c r="L569" s="1333"/>
      <c r="M569" s="1333"/>
      <c r="N569" s="1333"/>
      <c r="O569" s="1333"/>
      <c r="P569" s="1333"/>
      <c r="Q569" s="1333"/>
      <c r="R569" s="1333"/>
      <c r="S569" s="8"/>
      <c r="T569" s="22"/>
      <c r="U569" t="s">
        <v>85</v>
      </c>
      <c r="Z569" s="1333" t="s">
        <v>2679</v>
      </c>
      <c r="AA569" s="1333"/>
      <c r="AB569" s="1333"/>
      <c r="AC569" s="1333"/>
      <c r="AD569" s="1333"/>
      <c r="AE569" s="1333"/>
      <c r="AF569" s="1333"/>
      <c r="AG569" s="1333"/>
      <c r="AH569" s="1333"/>
      <c r="AI569" s="1333"/>
      <c r="AJ569" s="1333"/>
      <c r="AK569" s="1333"/>
      <c r="BB569" s="3"/>
      <c r="BC569" s="3"/>
      <c r="BD569" s="3"/>
      <c r="BE569" s="3"/>
      <c r="BF569" s="3"/>
      <c r="BG569" s="3"/>
      <c r="BH569" s="3"/>
      <c r="BI569" s="3"/>
    </row>
    <row r="570" spans="1:61" ht="12.95" customHeight="1">
      <c r="A570" s="22"/>
      <c r="B570" t="s">
        <v>581</v>
      </c>
      <c r="G570" s="1333" t="s">
        <v>2716</v>
      </c>
      <c r="H570" s="1333"/>
      <c r="I570" s="1333"/>
      <c r="J570" s="1333"/>
      <c r="K570" s="1333"/>
      <c r="L570" s="1333"/>
      <c r="M570" s="1333"/>
      <c r="N570" s="1333"/>
      <c r="O570" s="1333"/>
      <c r="P570" s="1333"/>
      <c r="Q570" s="1333"/>
      <c r="R570" s="1333"/>
      <c r="T570" s="22"/>
      <c r="U570" t="s">
        <v>581</v>
      </c>
      <c r="Z570" s="1332" t="s">
        <v>2719</v>
      </c>
      <c r="AA570" s="1332"/>
      <c r="AB570" s="1332"/>
      <c r="AC570" s="1332"/>
      <c r="AD570" s="1332"/>
      <c r="AE570" s="1332"/>
      <c r="AF570" s="1332"/>
      <c r="AG570" s="1332"/>
      <c r="AH570" s="1332"/>
      <c r="AI570" s="1332"/>
      <c r="AJ570" s="1332"/>
      <c r="AK570" s="1332"/>
      <c r="BB570" s="3"/>
      <c r="BC570" s="3"/>
      <c r="BD570" s="3"/>
      <c r="BE570" s="3"/>
      <c r="BF570" s="3"/>
      <c r="BG570" s="3"/>
      <c r="BH570" s="3"/>
      <c r="BI570" s="3"/>
    </row>
    <row r="571" spans="1:61" ht="12.95" customHeight="1">
      <c r="A571" s="22"/>
      <c r="B571" t="s">
        <v>17</v>
      </c>
      <c r="G571" s="1333" t="s">
        <v>2717</v>
      </c>
      <c r="H571" s="1333"/>
      <c r="I571" s="1333"/>
      <c r="J571" s="1333"/>
      <c r="K571" s="1333"/>
      <c r="L571" s="1333"/>
      <c r="M571" s="1333"/>
      <c r="N571" s="1333"/>
      <c r="O571" s="1333"/>
      <c r="P571" s="1333"/>
      <c r="Q571" s="1333"/>
      <c r="R571" s="1333"/>
      <c r="S571" s="8"/>
      <c r="T571" s="22"/>
      <c r="U571" t="s">
        <v>17</v>
      </c>
      <c r="Z571" s="1332" t="s">
        <v>2681</v>
      </c>
      <c r="AA571" s="1332"/>
      <c r="AB571" s="1332"/>
      <c r="AC571" s="1332"/>
      <c r="AD571" s="1332"/>
      <c r="AE571" s="1332"/>
      <c r="AF571" s="1332"/>
      <c r="AG571" s="1332"/>
      <c r="AH571" s="1332"/>
      <c r="AI571" s="1332"/>
      <c r="AJ571" s="1332"/>
      <c r="AK571" s="1332"/>
      <c r="BB571" s="3"/>
      <c r="BC571" s="3"/>
      <c r="BD571" s="3"/>
      <c r="BE571" s="3"/>
      <c r="BF571" s="3"/>
      <c r="BG571" s="3"/>
      <c r="BH571" s="3"/>
      <c r="BI571" s="3"/>
    </row>
    <row r="572" spans="1:61" ht="12.95" customHeight="1">
      <c r="A572" s="22"/>
      <c r="B572" t="s">
        <v>316</v>
      </c>
      <c r="G572" s="1494" t="s">
        <v>2718</v>
      </c>
      <c r="H572" s="1494"/>
      <c r="I572" s="1494"/>
      <c r="J572" s="1494"/>
      <c r="K572" s="1494"/>
      <c r="L572" s="1494"/>
      <c r="O572" s="33" t="s">
        <v>206</v>
      </c>
      <c r="P572" s="1464"/>
      <c r="Q572" s="1464"/>
      <c r="R572" s="1464"/>
      <c r="S572" s="10"/>
      <c r="T572" s="22"/>
      <c r="U572" t="s">
        <v>316</v>
      </c>
      <c r="Z572" s="1494" t="s">
        <v>2682</v>
      </c>
      <c r="AA572" s="1494"/>
      <c r="AB572" s="1494"/>
      <c r="AC572" s="1494"/>
      <c r="AD572" s="1494"/>
      <c r="AE572" s="1494"/>
      <c r="AH572" s="33" t="s">
        <v>206</v>
      </c>
      <c r="AI572" s="1464"/>
      <c r="AJ572" s="1464"/>
      <c r="AK572" s="1464"/>
      <c r="BB572" s="3"/>
      <c r="BC572" s="3"/>
      <c r="BD572" s="3"/>
      <c r="BE572" s="3"/>
      <c r="BF572" s="3"/>
      <c r="BG572" s="3"/>
      <c r="BH572" s="3"/>
      <c r="BI572" s="3"/>
    </row>
    <row r="573" spans="1:61" ht="12.95" customHeight="1">
      <c r="A573" s="22"/>
      <c r="B573" t="s">
        <v>18</v>
      </c>
      <c r="H573" s="1333" t="s">
        <v>2758</v>
      </c>
      <c r="I573" s="1333"/>
      <c r="J573" s="1333"/>
      <c r="K573" s="1333"/>
      <c r="L573" s="1333"/>
      <c r="M573" s="1333"/>
      <c r="N573" s="1333"/>
      <c r="O573" s="1333"/>
      <c r="P573" s="1333"/>
      <c r="Q573" s="1333"/>
      <c r="R573" s="1333"/>
      <c r="S573" s="8"/>
      <c r="T573" s="22"/>
      <c r="U573" t="s">
        <v>18</v>
      </c>
      <c r="AA573" s="1333" t="s">
        <v>2721</v>
      </c>
      <c r="AB573" s="1333"/>
      <c r="AC573" s="1333"/>
      <c r="AD573" s="1333"/>
      <c r="AE573" s="1333"/>
      <c r="AF573" s="1333"/>
      <c r="AG573" s="1333"/>
      <c r="AH573" s="1333"/>
      <c r="AI573" s="1333"/>
      <c r="AJ573" s="1333"/>
      <c r="AK573" s="1333"/>
      <c r="BB573" s="3"/>
      <c r="BC573" s="3"/>
      <c r="BD573" s="3"/>
      <c r="BE573" s="3"/>
      <c r="BF573" s="3"/>
      <c r="BG573" s="3"/>
      <c r="BH573" s="3"/>
      <c r="BI573" s="3"/>
    </row>
    <row r="574" spans="1:61" ht="12.95" customHeight="1">
      <c r="A574" s="22"/>
      <c r="B574" s="320" t="s">
        <v>1186</v>
      </c>
      <c r="H574" s="8"/>
      <c r="I574" s="8"/>
      <c r="J574" s="8"/>
      <c r="K574" s="8"/>
      <c r="L574" s="8"/>
      <c r="M574" s="1634" t="s">
        <v>2720</v>
      </c>
      <c r="N574" s="1634"/>
      <c r="O574" s="1634"/>
      <c r="P574" s="1634"/>
      <c r="Q574" s="1634"/>
      <c r="R574" s="1634"/>
      <c r="S574" s="8"/>
      <c r="T574" s="22"/>
      <c r="U574" s="320" t="s">
        <v>1186</v>
      </c>
      <c r="AA574" s="8"/>
      <c r="AB574" s="8"/>
      <c r="AC574" s="8"/>
      <c r="AD574" s="8"/>
      <c r="AE574" s="8"/>
      <c r="AF574" s="1634"/>
      <c r="AG574" s="1634"/>
      <c r="AH574" s="1634"/>
      <c r="AI574" s="1634"/>
      <c r="AJ574" s="1634"/>
      <c r="AK574" s="1634"/>
      <c r="BB574" s="3"/>
      <c r="BC574" s="3"/>
      <c r="BD574" s="3"/>
      <c r="BE574" s="3"/>
      <c r="BF574" s="3"/>
      <c r="BG574" s="3"/>
      <c r="BH574" s="3"/>
      <c r="BI574" s="3"/>
    </row>
    <row r="575" spans="1:61" ht="12.95" customHeight="1">
      <c r="A575" s="22"/>
      <c r="B575" t="s">
        <v>20</v>
      </c>
      <c r="N575" s="1433" t="s">
        <v>546</v>
      </c>
      <c r="O575" s="1433"/>
      <c r="T575" s="22"/>
      <c r="U575" t="s">
        <v>20</v>
      </c>
      <c r="AG575" s="1433" t="s">
        <v>546</v>
      </c>
      <c r="AH575" s="1433"/>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2" t="str">
        <f>C556</f>
        <v>HCD Infill Infrastructure Grant ("IIG")</v>
      </c>
      <c r="H577" s="1482"/>
      <c r="I577" s="1482"/>
      <c r="J577" s="1482"/>
      <c r="K577" s="1482"/>
      <c r="L577" s="1482"/>
      <c r="M577" s="1482"/>
      <c r="N577" s="1482"/>
      <c r="O577" s="1482"/>
      <c r="P577" s="1482"/>
      <c r="Q577" s="1482"/>
      <c r="R577" s="1482"/>
      <c r="T577" s="55" t="s">
        <v>582</v>
      </c>
      <c r="U577" t="s">
        <v>464</v>
      </c>
      <c r="Z577" s="1482" t="str">
        <f>C557</f>
        <v>R4 Capital Construction Loan - Taxable</v>
      </c>
      <c r="AA577" s="1482"/>
      <c r="AB577" s="1482"/>
      <c r="AC577" s="1482"/>
      <c r="AD577" s="1482"/>
      <c r="AE577" s="1482"/>
      <c r="AF577" s="1482"/>
      <c r="AG577" s="1482"/>
      <c r="AH577" s="1482"/>
      <c r="AI577" s="1482"/>
      <c r="AJ577" s="1482"/>
      <c r="AK577" s="1482"/>
      <c r="BB577" s="3"/>
      <c r="BC577" s="3"/>
    </row>
    <row r="578" spans="1:55" ht="12.95" customHeight="1">
      <c r="A578" s="22"/>
      <c r="B578" t="s">
        <v>85</v>
      </c>
      <c r="G578" s="1333" t="s">
        <v>2722</v>
      </c>
      <c r="H578" s="1333"/>
      <c r="I578" s="1333"/>
      <c r="J578" s="1333"/>
      <c r="K578" s="1333"/>
      <c r="L578" s="1333"/>
      <c r="M578" s="1333"/>
      <c r="N578" s="1333"/>
      <c r="O578" s="1333"/>
      <c r="P578" s="1333"/>
      <c r="Q578" s="1333"/>
      <c r="R578" s="1333"/>
      <c r="T578" s="22"/>
      <c r="U578" t="s">
        <v>85</v>
      </c>
      <c r="Z578" s="1333" t="s">
        <v>2715</v>
      </c>
      <c r="AA578" s="1333"/>
      <c r="AB578" s="1333"/>
      <c r="AC578" s="1333"/>
      <c r="AD578" s="1333"/>
      <c r="AE578" s="1333"/>
      <c r="AF578" s="1333"/>
      <c r="AG578" s="1333"/>
      <c r="AH578" s="1333"/>
      <c r="AI578" s="1333"/>
      <c r="AJ578" s="1333"/>
      <c r="AK578" s="1333"/>
      <c r="BB578" s="3"/>
      <c r="BC578" s="3"/>
    </row>
    <row r="579" spans="1:55" ht="12.95" customHeight="1">
      <c r="A579" s="22"/>
      <c r="B579" t="s">
        <v>581</v>
      </c>
      <c r="G579" s="1332" t="s">
        <v>68</v>
      </c>
      <c r="H579" s="1332"/>
      <c r="I579" s="1332"/>
      <c r="J579" s="1332"/>
      <c r="K579" s="1332"/>
      <c r="L579" s="1332"/>
      <c r="M579" s="1332"/>
      <c r="N579" s="1332"/>
      <c r="O579" s="1332"/>
      <c r="P579" s="1332"/>
      <c r="Q579" s="1332"/>
      <c r="R579" s="1332"/>
      <c r="T579" s="22"/>
      <c r="U579" t="s">
        <v>581</v>
      </c>
      <c r="Z579" s="1332" t="s">
        <v>2716</v>
      </c>
      <c r="AA579" s="1332"/>
      <c r="AB579" s="1332"/>
      <c r="AC579" s="1332"/>
      <c r="AD579" s="1332"/>
      <c r="AE579" s="1332"/>
      <c r="AF579" s="1332"/>
      <c r="AG579" s="1332"/>
      <c r="AH579" s="1332"/>
      <c r="AI579" s="1332"/>
      <c r="AJ579" s="1332"/>
      <c r="AK579" s="1332"/>
      <c r="BB579" s="3"/>
      <c r="BC579" s="3"/>
    </row>
    <row r="580" spans="1:55" ht="12.95" customHeight="1">
      <c r="A580" s="22"/>
      <c r="B580" t="s">
        <v>17</v>
      </c>
      <c r="G580" s="1332" t="s">
        <v>2723</v>
      </c>
      <c r="H580" s="1332"/>
      <c r="I580" s="1332"/>
      <c r="J580" s="1332"/>
      <c r="K580" s="1332"/>
      <c r="L580" s="1332"/>
      <c r="M580" s="1332"/>
      <c r="N580" s="1332"/>
      <c r="O580" s="1332"/>
      <c r="P580" s="1332"/>
      <c r="Q580" s="1332"/>
      <c r="R580" s="1332"/>
      <c r="T580" s="22"/>
      <c r="U580" t="s">
        <v>17</v>
      </c>
      <c r="Z580" s="1332" t="s">
        <v>2717</v>
      </c>
      <c r="AA580" s="1332"/>
      <c r="AB580" s="1332"/>
      <c r="AC580" s="1332"/>
      <c r="AD580" s="1332"/>
      <c r="AE580" s="1332"/>
      <c r="AF580" s="1332"/>
      <c r="AG580" s="1332"/>
      <c r="AH580" s="1332"/>
      <c r="AI580" s="1332"/>
      <c r="AJ580" s="1332"/>
      <c r="AK580" s="1332"/>
      <c r="BB580" s="3"/>
      <c r="BC580" s="3"/>
    </row>
    <row r="581" spans="1:55" ht="12.95" customHeight="1">
      <c r="A581" s="22"/>
      <c r="B581" t="s">
        <v>316</v>
      </c>
      <c r="G581" s="1494" t="s">
        <v>2724</v>
      </c>
      <c r="H581" s="1494"/>
      <c r="I581" s="1494"/>
      <c r="J581" s="1494"/>
      <c r="K581" s="1494"/>
      <c r="L581" s="1494"/>
      <c r="O581" s="33" t="s">
        <v>206</v>
      </c>
      <c r="P581" s="1464"/>
      <c r="Q581" s="1464"/>
      <c r="R581" s="1464"/>
      <c r="T581" s="22"/>
      <c r="U581" t="s">
        <v>316</v>
      </c>
      <c r="Z581" s="1494" t="s">
        <v>2718</v>
      </c>
      <c r="AA581" s="1494"/>
      <c r="AB581" s="1494"/>
      <c r="AC581" s="1494"/>
      <c r="AD581" s="1494"/>
      <c r="AE581" s="1494"/>
      <c r="AH581" s="33" t="s">
        <v>206</v>
      </c>
      <c r="AI581" s="1464"/>
      <c r="AJ581" s="1464"/>
      <c r="AK581" s="1464"/>
      <c r="BB581" s="3"/>
      <c r="BC581" s="3"/>
    </row>
    <row r="582" spans="1:55" ht="12.95" customHeight="1">
      <c r="A582" s="22"/>
      <c r="B582" t="s">
        <v>18</v>
      </c>
      <c r="H582" s="1333" t="s">
        <v>2113</v>
      </c>
      <c r="I582" s="1333"/>
      <c r="J582" s="1333"/>
      <c r="K582" s="1333"/>
      <c r="L582" s="1333"/>
      <c r="M582" s="1333"/>
      <c r="N582" s="1333"/>
      <c r="O582" s="1333"/>
      <c r="P582" s="1333"/>
      <c r="Q582" s="1333"/>
      <c r="R582" s="1333"/>
      <c r="T582" s="22"/>
      <c r="U582" t="s">
        <v>18</v>
      </c>
      <c r="AA582" s="1333" t="s">
        <v>2759</v>
      </c>
      <c r="AB582" s="1333"/>
      <c r="AC582" s="1333"/>
      <c r="AD582" s="1333"/>
      <c r="AE582" s="1333"/>
      <c r="AF582" s="1333"/>
      <c r="AG582" s="1333"/>
      <c r="AH582" s="1333"/>
      <c r="AI582" s="1333"/>
      <c r="AJ582" s="1333"/>
      <c r="AK582" s="1333"/>
      <c r="BB582" s="3"/>
      <c r="BC582" s="3"/>
    </row>
    <row r="583" spans="1:55" ht="12.95" customHeight="1">
      <c r="A583" s="22"/>
      <c r="B583" t="s">
        <v>20</v>
      </c>
      <c r="N583" s="1433" t="s">
        <v>546</v>
      </c>
      <c r="O583" s="1433"/>
      <c r="T583" s="22"/>
      <c r="U583" t="s">
        <v>20</v>
      </c>
      <c r="AG583" s="1433" t="s">
        <v>670</v>
      </c>
      <c r="AH583" s="1433"/>
      <c r="BB583" s="3"/>
      <c r="BC583" s="3"/>
    </row>
    <row r="584" spans="1:55" ht="12.95" customHeight="1">
      <c r="A584" s="22"/>
      <c r="T584" s="22"/>
      <c r="BB584" s="3"/>
      <c r="BC584" s="3"/>
    </row>
    <row r="585" spans="1:55" ht="12.95" customHeight="1">
      <c r="A585" s="55" t="s">
        <v>764</v>
      </c>
      <c r="B585" t="s">
        <v>464</v>
      </c>
      <c r="G585" s="1482" t="str">
        <f>C558</f>
        <v>Hiler I LP Seller Note</v>
      </c>
      <c r="H585" s="1482"/>
      <c r="I585" s="1482"/>
      <c r="J585" s="1482"/>
      <c r="K585" s="1482"/>
      <c r="L585" s="1482"/>
      <c r="M585" s="1482"/>
      <c r="N585" s="1482"/>
      <c r="O585" s="1482"/>
      <c r="P585" s="1482"/>
      <c r="Q585" s="1482"/>
      <c r="R585" s="1482"/>
      <c r="T585" s="55" t="s">
        <v>585</v>
      </c>
      <c r="U585" t="s">
        <v>464</v>
      </c>
      <c r="Z585" s="1482" t="str">
        <f>C559</f>
        <v>Deferred Costs</v>
      </c>
      <c r="AA585" s="1482"/>
      <c r="AB585" s="1482"/>
      <c r="AC585" s="1482"/>
      <c r="AD585" s="1482"/>
      <c r="AE585" s="1482"/>
      <c r="AF585" s="1482"/>
      <c r="AG585" s="1482"/>
      <c r="AH585" s="1482"/>
      <c r="AI585" s="1482"/>
      <c r="AJ585" s="1482"/>
      <c r="AK585" s="1482"/>
      <c r="BB585" s="3"/>
      <c r="BC585" s="3"/>
    </row>
    <row r="586" spans="1:55" ht="12.95" customHeight="1">
      <c r="A586" s="22"/>
      <c r="B586" t="s">
        <v>85</v>
      </c>
      <c r="G586" s="1333" t="s">
        <v>2622</v>
      </c>
      <c r="H586" s="1333"/>
      <c r="I586" s="1333"/>
      <c r="J586" s="1333"/>
      <c r="K586" s="1333"/>
      <c r="L586" s="1333"/>
      <c r="M586" s="1333"/>
      <c r="N586" s="1333"/>
      <c r="O586" s="1333"/>
      <c r="P586" s="1333"/>
      <c r="Q586" s="1333"/>
      <c r="R586" s="1333"/>
      <c r="T586" s="22"/>
      <c r="U586" t="s">
        <v>85</v>
      </c>
      <c r="Z586" s="1333" t="s">
        <v>2790</v>
      </c>
      <c r="AA586" s="1333"/>
      <c r="AB586" s="1333"/>
      <c r="AC586" s="1333"/>
      <c r="AD586" s="1333"/>
      <c r="AE586" s="1333"/>
      <c r="AF586" s="1333"/>
      <c r="AG586" s="1333"/>
      <c r="AH586" s="1333"/>
      <c r="AI586" s="1333"/>
      <c r="AJ586" s="1333"/>
      <c r="AK586" s="1333"/>
      <c r="BB586" s="3"/>
      <c r="BC586" s="3"/>
    </row>
    <row r="587" spans="1:55" ht="12.95" customHeight="1">
      <c r="A587" s="22"/>
      <c r="B587" t="s">
        <v>581</v>
      </c>
      <c r="G587" s="1333" t="s">
        <v>2617</v>
      </c>
      <c r="H587" s="1333"/>
      <c r="I587" s="1333"/>
      <c r="J587" s="1333"/>
      <c r="K587" s="1333"/>
      <c r="L587" s="1333"/>
      <c r="M587" s="1333"/>
      <c r="N587" s="1333"/>
      <c r="O587" s="1333"/>
      <c r="P587" s="1333"/>
      <c r="Q587" s="1333"/>
      <c r="R587" s="1333"/>
      <c r="T587" s="22"/>
      <c r="U587" t="s">
        <v>581</v>
      </c>
      <c r="Z587" s="1332" t="s">
        <v>2632</v>
      </c>
      <c r="AA587" s="1332"/>
      <c r="AB587" s="1332"/>
      <c r="AC587" s="1332"/>
      <c r="AD587" s="1332"/>
      <c r="AE587" s="1332"/>
      <c r="AF587" s="1332"/>
      <c r="AG587" s="1332"/>
      <c r="AH587" s="1332"/>
      <c r="AI587" s="1332"/>
      <c r="AJ587" s="1332"/>
      <c r="AK587" s="1332"/>
      <c r="BB587" s="3"/>
      <c r="BC587" s="3"/>
    </row>
    <row r="588" spans="1:55" ht="12.95" customHeight="1">
      <c r="A588" s="22"/>
      <c r="B588" t="s">
        <v>17</v>
      </c>
      <c r="G588" s="1333" t="s">
        <v>2624</v>
      </c>
      <c r="H588" s="1333"/>
      <c r="I588" s="1333"/>
      <c r="J588" s="1333"/>
      <c r="K588" s="1333"/>
      <c r="L588" s="1333"/>
      <c r="M588" s="1333"/>
      <c r="N588" s="1333"/>
      <c r="O588" s="1333"/>
      <c r="P588" s="1333"/>
      <c r="Q588" s="1333"/>
      <c r="R588" s="1333"/>
      <c r="T588" s="22"/>
      <c r="U588" t="s">
        <v>17</v>
      </c>
      <c r="Z588" s="1332" t="s">
        <v>2633</v>
      </c>
      <c r="AA588" s="1332"/>
      <c r="AB588" s="1332"/>
      <c r="AC588" s="1332"/>
      <c r="AD588" s="1332"/>
      <c r="AE588" s="1332"/>
      <c r="AF588" s="1332"/>
      <c r="AG588" s="1332"/>
      <c r="AH588" s="1332"/>
      <c r="AI588" s="1332"/>
      <c r="AJ588" s="1332"/>
      <c r="AK588" s="1332"/>
    </row>
    <row r="589" spans="1:55" ht="12.95" customHeight="1">
      <c r="A589" s="22"/>
      <c r="B589" t="s">
        <v>316</v>
      </c>
      <c r="G589" s="1531" t="s">
        <v>2625</v>
      </c>
      <c r="H589" s="1494"/>
      <c r="I589" s="1494"/>
      <c r="J589" s="1494"/>
      <c r="K589" s="1494"/>
      <c r="L589" s="1494"/>
      <c r="O589" s="33" t="s">
        <v>206</v>
      </c>
      <c r="P589" s="1464">
        <v>224</v>
      </c>
      <c r="Q589" s="1464"/>
      <c r="R589" s="1464"/>
      <c r="T589" s="22"/>
      <c r="U589" t="s">
        <v>316</v>
      </c>
      <c r="Z589" s="1531" t="s">
        <v>2634</v>
      </c>
      <c r="AA589" s="1494"/>
      <c r="AB589" s="1494"/>
      <c r="AC589" s="1494"/>
      <c r="AD589" s="1494"/>
      <c r="AE589" s="1494"/>
      <c r="AH589" s="33" t="s">
        <v>206</v>
      </c>
      <c r="AI589" s="1464"/>
      <c r="AJ589" s="1464"/>
      <c r="AK589" s="1464"/>
      <c r="AZ589" s="3"/>
      <c r="BA589" s="3"/>
      <c r="BB589" s="3"/>
      <c r="BC589" s="3"/>
    </row>
    <row r="590" spans="1:55" ht="12.95" customHeight="1">
      <c r="A590" s="22"/>
      <c r="B590" t="s">
        <v>18</v>
      </c>
      <c r="H590" s="1333" t="s">
        <v>2757</v>
      </c>
      <c r="I590" s="1333"/>
      <c r="J590" s="1333"/>
      <c r="K590" s="1333"/>
      <c r="L590" s="1333"/>
      <c r="M590" s="1333"/>
      <c r="N590" s="1333"/>
      <c r="O590" s="1333"/>
      <c r="P590" s="1333"/>
      <c r="Q590" s="1333"/>
      <c r="R590" s="1333"/>
      <c r="T590" s="22"/>
      <c r="U590" t="s">
        <v>18</v>
      </c>
      <c r="AA590" s="1333" t="s">
        <v>2106</v>
      </c>
      <c r="AB590" s="1333"/>
      <c r="AC590" s="1333"/>
      <c r="AD590" s="1333"/>
      <c r="AE590" s="1333"/>
      <c r="AF590" s="1333"/>
      <c r="AG590" s="1333"/>
      <c r="AH590" s="1333"/>
      <c r="AI590" s="1333"/>
      <c r="AJ590" s="1333"/>
      <c r="AK590" s="1333"/>
      <c r="AZ590" s="3"/>
      <c r="BA590" s="3"/>
      <c r="BB590" s="3"/>
      <c r="BC590" s="3"/>
    </row>
    <row r="591" spans="1:55" ht="12.95" customHeight="1">
      <c r="A591" s="22"/>
      <c r="B591" t="s">
        <v>20</v>
      </c>
      <c r="N591" s="1433" t="s">
        <v>546</v>
      </c>
      <c r="O591" s="1433"/>
      <c r="T591" s="22"/>
      <c r="U591" t="s">
        <v>20</v>
      </c>
      <c r="AG591" s="1433" t="s">
        <v>546</v>
      </c>
      <c r="AH591" s="1433"/>
      <c r="AZ591" s="3"/>
      <c r="BA591" s="3"/>
      <c r="BB591" s="3"/>
      <c r="BC591" s="3"/>
    </row>
    <row r="592" spans="1:55" ht="12.95" customHeight="1">
      <c r="A592" s="22"/>
      <c r="T592" s="22"/>
      <c r="AZ592" s="3"/>
      <c r="BA592" s="3"/>
      <c r="BB592" s="3"/>
      <c r="BC592" s="3"/>
    </row>
    <row r="593" spans="1:55" ht="12.95" customHeight="1">
      <c r="A593" s="55" t="s">
        <v>456</v>
      </c>
      <c r="B593" t="s">
        <v>464</v>
      </c>
      <c r="G593" s="1482">
        <f>C560</f>
        <v>0</v>
      </c>
      <c r="H593" s="1482"/>
      <c r="I593" s="1482"/>
      <c r="J593" s="1482"/>
      <c r="K593" s="1482"/>
      <c r="L593" s="1482"/>
      <c r="M593" s="1482"/>
      <c r="N593" s="1482"/>
      <c r="O593" s="1482"/>
      <c r="P593" s="1482"/>
      <c r="Q593" s="1482"/>
      <c r="R593" s="1482"/>
      <c r="T593" s="55" t="s">
        <v>457</v>
      </c>
      <c r="U593" t="s">
        <v>464</v>
      </c>
      <c r="Z593" s="1482">
        <f>C561</f>
        <v>0</v>
      </c>
      <c r="AA593" s="1482"/>
      <c r="AB593" s="1482"/>
      <c r="AC593" s="1482"/>
      <c r="AD593" s="1482"/>
      <c r="AE593" s="1482"/>
      <c r="AF593" s="1482"/>
      <c r="AG593" s="1482"/>
      <c r="AH593" s="1482"/>
      <c r="AI593" s="1482"/>
      <c r="AJ593" s="1482"/>
      <c r="AK593" s="1482"/>
      <c r="AZ593" s="3"/>
      <c r="BA593" s="3"/>
      <c r="BB593" s="3"/>
      <c r="BC593" s="3"/>
    </row>
    <row r="594" spans="1:55" s="4" customFormat="1" ht="12.95" customHeight="1">
      <c r="A594" s="22"/>
      <c r="B594" t="s">
        <v>85</v>
      </c>
      <c r="C594"/>
      <c r="D594"/>
      <c r="E594"/>
      <c r="F594"/>
      <c r="G594" s="1333"/>
      <c r="H594" s="1333"/>
      <c r="I594" s="1333"/>
      <c r="J594" s="1333"/>
      <c r="K594" s="1333"/>
      <c r="L594" s="1333"/>
      <c r="M594" s="1333"/>
      <c r="N594" s="1333"/>
      <c r="O594" s="1333"/>
      <c r="P594" s="1333"/>
      <c r="Q594" s="1333"/>
      <c r="R594" s="1333"/>
      <c r="S594"/>
      <c r="T594" s="22"/>
      <c r="U594" t="s">
        <v>85</v>
      </c>
      <c r="V594"/>
      <c r="W594"/>
      <c r="X594"/>
      <c r="Y594"/>
      <c r="Z594" s="1333"/>
      <c r="AA594" s="1333"/>
      <c r="AB594" s="1333"/>
      <c r="AC594" s="1333"/>
      <c r="AD594" s="1333"/>
      <c r="AE594" s="1333"/>
      <c r="AF594" s="1333"/>
      <c r="AG594" s="1333"/>
      <c r="AH594" s="1333"/>
      <c r="AI594" s="1333"/>
      <c r="AJ594" s="1333"/>
      <c r="AK594" s="1333"/>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33"/>
      <c r="H595" s="1333"/>
      <c r="I595" s="1333"/>
      <c r="J595" s="1333"/>
      <c r="K595" s="1333"/>
      <c r="L595" s="1333"/>
      <c r="M595" s="1333"/>
      <c r="N595" s="1333"/>
      <c r="O595" s="1333"/>
      <c r="P595" s="1333"/>
      <c r="Q595" s="1333"/>
      <c r="R595" s="1333"/>
      <c r="S595"/>
      <c r="T595" s="22"/>
      <c r="U595" t="s">
        <v>581</v>
      </c>
      <c r="V595"/>
      <c r="W595"/>
      <c r="X595"/>
      <c r="Y595"/>
      <c r="Z595" s="1332"/>
      <c r="AA595" s="1332"/>
      <c r="AB595" s="1332"/>
      <c r="AC595" s="1332"/>
      <c r="AD595" s="1332"/>
      <c r="AE595" s="1332"/>
      <c r="AF595" s="1332"/>
      <c r="AG595" s="1332"/>
      <c r="AH595" s="1332"/>
      <c r="AI595" s="1332"/>
      <c r="AJ595" s="1332"/>
      <c r="AK595" s="1332"/>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33"/>
      <c r="H596" s="1333"/>
      <c r="I596" s="1333"/>
      <c r="J596" s="1333"/>
      <c r="K596" s="1333"/>
      <c r="L596" s="1333"/>
      <c r="M596" s="1333"/>
      <c r="N596" s="1333"/>
      <c r="O596" s="1333"/>
      <c r="P596" s="1333"/>
      <c r="Q596" s="1333"/>
      <c r="R596" s="1333"/>
      <c r="S596"/>
      <c r="T596" s="22"/>
      <c r="U596" t="s">
        <v>17</v>
      </c>
      <c r="V596"/>
      <c r="W596"/>
      <c r="X596"/>
      <c r="Y596"/>
      <c r="Z596" s="1332"/>
      <c r="AA596" s="1332"/>
      <c r="AB596" s="1332"/>
      <c r="AC596" s="1332"/>
      <c r="AD596" s="1332"/>
      <c r="AE596" s="1332"/>
      <c r="AF596" s="1332"/>
      <c r="AG596" s="1332"/>
      <c r="AH596" s="1332"/>
      <c r="AI596" s="1332"/>
      <c r="AJ596" s="1332"/>
      <c r="AK596" s="1332"/>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94"/>
      <c r="H597" s="1494"/>
      <c r="I597" s="1494"/>
      <c r="J597" s="1494"/>
      <c r="K597" s="1494"/>
      <c r="L597" s="1494"/>
      <c r="M597"/>
      <c r="N597"/>
      <c r="O597" s="33" t="s">
        <v>206</v>
      </c>
      <c r="P597" s="1464"/>
      <c r="Q597" s="1464"/>
      <c r="R597" s="1464"/>
      <c r="S597"/>
      <c r="T597" s="22"/>
      <c r="U597" t="s">
        <v>316</v>
      </c>
      <c r="V597"/>
      <c r="W597"/>
      <c r="X597"/>
      <c r="Y597"/>
      <c r="Z597" s="1494"/>
      <c r="AA597" s="1494"/>
      <c r="AB597" s="1494"/>
      <c r="AC597" s="1494"/>
      <c r="AD597" s="1494"/>
      <c r="AE597" s="1494"/>
      <c r="AF597"/>
      <c r="AG597"/>
      <c r="AH597" s="33" t="s">
        <v>206</v>
      </c>
      <c r="AI597" s="1464"/>
      <c r="AJ597" s="1464"/>
      <c r="AK597" s="1464"/>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33"/>
      <c r="I598" s="1333"/>
      <c r="J598" s="1333"/>
      <c r="K598" s="1333"/>
      <c r="L598" s="1333"/>
      <c r="M598" s="1333"/>
      <c r="N598" s="1333"/>
      <c r="O598" s="1333"/>
      <c r="P598" s="1333"/>
      <c r="Q598" s="1333"/>
      <c r="R598" s="1333"/>
      <c r="S598"/>
      <c r="T598" s="22"/>
      <c r="U598" t="s">
        <v>18</v>
      </c>
      <c r="V598"/>
      <c r="W598"/>
      <c r="X598"/>
      <c r="Y598"/>
      <c r="Z598"/>
      <c r="AA598" s="1333"/>
      <c r="AB598" s="1333"/>
      <c r="AC598" s="1333"/>
      <c r="AD598" s="1333"/>
      <c r="AE598" s="1333"/>
      <c r="AF598" s="1333"/>
      <c r="AG598" s="1333"/>
      <c r="AH598" s="1333"/>
      <c r="AI598" s="1333"/>
      <c r="AJ598" s="1333"/>
      <c r="AK598" s="1333"/>
      <c r="AL598"/>
      <c r="AM598"/>
      <c r="AN598"/>
      <c r="AO598"/>
      <c r="AP598"/>
      <c r="AQ598"/>
      <c r="AR598"/>
      <c r="AS598"/>
      <c r="AT598"/>
      <c r="AU598"/>
      <c r="AV598"/>
      <c r="AW598"/>
      <c r="AX598"/>
      <c r="AY598"/>
      <c r="BB598" s="3"/>
      <c r="BC598" s="3"/>
    </row>
    <row r="599" spans="1:55" ht="12.95" customHeight="1">
      <c r="A599" s="22"/>
      <c r="B599" t="s">
        <v>20</v>
      </c>
      <c r="N599" s="1433" t="s">
        <v>670</v>
      </c>
      <c r="O599" s="1433"/>
      <c r="T599" s="22"/>
      <c r="U599" t="s">
        <v>20</v>
      </c>
      <c r="AG599" s="1433" t="s">
        <v>670</v>
      </c>
      <c r="AH599" s="1433"/>
      <c r="BB599" s="3"/>
      <c r="BC599" s="3"/>
    </row>
    <row r="600" spans="1:55" ht="12.95" customHeight="1">
      <c r="A600" s="22"/>
      <c r="T600" s="22"/>
      <c r="BB600" s="3"/>
      <c r="BC600" s="3"/>
    </row>
    <row r="601" spans="1:55" ht="12.95" customHeight="1">
      <c r="A601" s="55" t="s">
        <v>462</v>
      </c>
      <c r="B601" t="s">
        <v>464</v>
      </c>
      <c r="G601" s="1482">
        <f>C562</f>
        <v>0</v>
      </c>
      <c r="H601" s="1482"/>
      <c r="I601" s="1482"/>
      <c r="J601" s="1482"/>
      <c r="K601" s="1482"/>
      <c r="L601" s="1482"/>
      <c r="M601" s="1482"/>
      <c r="N601" s="1482"/>
      <c r="O601" s="1482"/>
      <c r="P601" s="1482"/>
      <c r="Q601" s="1482"/>
      <c r="R601" s="1482"/>
      <c r="T601" s="55" t="s">
        <v>647</v>
      </c>
      <c r="U601" t="s">
        <v>464</v>
      </c>
      <c r="Z601" s="1482">
        <f>C563</f>
        <v>0</v>
      </c>
      <c r="AA601" s="1482"/>
      <c r="AB601" s="1482"/>
      <c r="AC601" s="1482"/>
      <c r="AD601" s="1482"/>
      <c r="AE601" s="1482"/>
      <c r="AF601" s="1482"/>
      <c r="AG601" s="1482"/>
      <c r="AH601" s="1482"/>
      <c r="AI601" s="1482"/>
      <c r="AJ601" s="1482"/>
      <c r="AK601" s="1482"/>
      <c r="BB601" s="3"/>
      <c r="BC601" s="3"/>
    </row>
    <row r="602" spans="1:55" ht="12.95" customHeight="1">
      <c r="A602" s="22"/>
      <c r="B602" t="s">
        <v>85</v>
      </c>
      <c r="G602" s="1333"/>
      <c r="H602" s="1333"/>
      <c r="I602" s="1333"/>
      <c r="J602" s="1333"/>
      <c r="K602" s="1333"/>
      <c r="L602" s="1333"/>
      <c r="M602" s="1333"/>
      <c r="N602" s="1333"/>
      <c r="O602" s="1333"/>
      <c r="P602" s="1333"/>
      <c r="Q602" s="1333"/>
      <c r="R602" s="1333"/>
      <c r="T602" s="22"/>
      <c r="U602" t="s">
        <v>85</v>
      </c>
      <c r="Z602" s="1333"/>
      <c r="AA602" s="1333"/>
      <c r="AB602" s="1333"/>
      <c r="AC602" s="1333"/>
      <c r="AD602" s="1333"/>
      <c r="AE602" s="1333"/>
      <c r="AF602" s="1333"/>
      <c r="AG602" s="1333"/>
      <c r="AH602" s="1333"/>
      <c r="AI602" s="1333"/>
      <c r="AJ602" s="1333"/>
      <c r="AK602" s="1333"/>
      <c r="AZ602" s="3"/>
      <c r="BA602" s="3"/>
      <c r="BB602" s="3"/>
      <c r="BC602" s="3"/>
    </row>
    <row r="603" spans="1:55" ht="12.95" customHeight="1">
      <c r="A603" s="22"/>
      <c r="B603" t="s">
        <v>581</v>
      </c>
      <c r="G603" s="1333"/>
      <c r="H603" s="1333"/>
      <c r="I603" s="1333"/>
      <c r="J603" s="1333"/>
      <c r="K603" s="1333"/>
      <c r="L603" s="1333"/>
      <c r="M603" s="1333"/>
      <c r="N603" s="1333"/>
      <c r="O603" s="1333"/>
      <c r="P603" s="1333"/>
      <c r="Q603" s="1333"/>
      <c r="R603" s="1333"/>
      <c r="T603" s="22"/>
      <c r="U603" t="s">
        <v>581</v>
      </c>
      <c r="Z603" s="1332"/>
      <c r="AA603" s="1332"/>
      <c r="AB603" s="1332"/>
      <c r="AC603" s="1332"/>
      <c r="AD603" s="1332"/>
      <c r="AE603" s="1332"/>
      <c r="AF603" s="1332"/>
      <c r="AG603" s="1332"/>
      <c r="AH603" s="1332"/>
      <c r="AI603" s="1332"/>
      <c r="AJ603" s="1332"/>
      <c r="AK603" s="1332"/>
      <c r="AZ603" s="3"/>
      <c r="BA603" s="3"/>
      <c r="BB603" s="3"/>
      <c r="BC603" s="3"/>
    </row>
    <row r="604" spans="1:55" ht="12.95" customHeight="1">
      <c r="A604" s="22"/>
      <c r="B604" t="s">
        <v>17</v>
      </c>
      <c r="G604" s="1333"/>
      <c r="H604" s="1333"/>
      <c r="I604" s="1333"/>
      <c r="J604" s="1333"/>
      <c r="K604" s="1333"/>
      <c r="L604" s="1333"/>
      <c r="M604" s="1333"/>
      <c r="N604" s="1333"/>
      <c r="O604" s="1333"/>
      <c r="P604" s="1333"/>
      <c r="Q604" s="1333"/>
      <c r="R604" s="1333"/>
      <c r="T604" s="22"/>
      <c r="U604" t="s">
        <v>17</v>
      </c>
      <c r="Z604" s="1332"/>
      <c r="AA604" s="1332"/>
      <c r="AB604" s="1332"/>
      <c r="AC604" s="1332"/>
      <c r="AD604" s="1332"/>
      <c r="AE604" s="1332"/>
      <c r="AF604" s="1332"/>
      <c r="AG604" s="1332"/>
      <c r="AH604" s="1332"/>
      <c r="AI604" s="1332"/>
      <c r="AJ604" s="1332"/>
      <c r="AK604" s="1332"/>
      <c r="AZ604" s="3"/>
      <c r="BA604" s="3"/>
      <c r="BB604" s="3"/>
      <c r="BC604" s="3"/>
    </row>
    <row r="605" spans="1:55" s="4" customFormat="1" ht="12.95" customHeight="1">
      <c r="A605" s="22"/>
      <c r="B605" t="s">
        <v>316</v>
      </c>
      <c r="C605"/>
      <c r="D605"/>
      <c r="E605"/>
      <c r="F605"/>
      <c r="G605" s="1494"/>
      <c r="H605" s="1494"/>
      <c r="I605" s="1494"/>
      <c r="J605" s="1494"/>
      <c r="K605" s="1494"/>
      <c r="L605" s="1494"/>
      <c r="M605"/>
      <c r="N605"/>
      <c r="O605" s="33" t="s">
        <v>206</v>
      </c>
      <c r="P605" s="1464"/>
      <c r="Q605" s="1464"/>
      <c r="R605" s="1464"/>
      <c r="S605"/>
      <c r="T605" s="22"/>
      <c r="U605" t="s">
        <v>316</v>
      </c>
      <c r="V605"/>
      <c r="W605"/>
      <c r="X605"/>
      <c r="Y605"/>
      <c r="Z605" s="1494"/>
      <c r="AA605" s="1494"/>
      <c r="AB605" s="1494"/>
      <c r="AC605" s="1494"/>
      <c r="AD605" s="1494"/>
      <c r="AE605" s="1494"/>
      <c r="AF605"/>
      <c r="AG605"/>
      <c r="AH605" s="33" t="s">
        <v>206</v>
      </c>
      <c r="AI605" s="1464"/>
      <c r="AJ605" s="1464"/>
      <c r="AK605" s="1464"/>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33"/>
      <c r="I606" s="1333"/>
      <c r="J606" s="1333"/>
      <c r="K606" s="1333"/>
      <c r="L606" s="1333"/>
      <c r="M606" s="1333"/>
      <c r="N606" s="1333"/>
      <c r="O606" s="1333"/>
      <c r="P606" s="1333"/>
      <c r="Q606" s="1333"/>
      <c r="R606" s="1333"/>
      <c r="S606"/>
      <c r="T606" s="22"/>
      <c r="U606" t="s">
        <v>18</v>
      </c>
      <c r="V606"/>
      <c r="W606"/>
      <c r="X606"/>
      <c r="Y606"/>
      <c r="Z606"/>
      <c r="AA606" s="1333"/>
      <c r="AB606" s="1333"/>
      <c r="AC606" s="1333"/>
      <c r="AD606" s="1333"/>
      <c r="AE606" s="1333"/>
      <c r="AF606" s="1333"/>
      <c r="AG606" s="1333"/>
      <c r="AH606" s="1333"/>
      <c r="AI606" s="1333"/>
      <c r="AJ606" s="1333"/>
      <c r="AK606" s="1333"/>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33" t="s">
        <v>670</v>
      </c>
      <c r="O607" s="1433"/>
      <c r="P607"/>
      <c r="Q607"/>
      <c r="R607"/>
      <c r="S607"/>
      <c r="T607" s="22"/>
      <c r="U607" t="s">
        <v>20</v>
      </c>
      <c r="V607"/>
      <c r="W607"/>
      <c r="X607"/>
      <c r="Y607"/>
      <c r="Z607"/>
      <c r="AA607"/>
      <c r="AB607"/>
      <c r="AC607"/>
      <c r="AD607"/>
      <c r="AE607"/>
      <c r="AF607"/>
      <c r="AG607" s="1433" t="s">
        <v>670</v>
      </c>
      <c r="AH607" s="1433"/>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2">
        <f>C564</f>
        <v>0</v>
      </c>
      <c r="H609" s="1482"/>
      <c r="I609" s="1482"/>
      <c r="J609" s="1482"/>
      <c r="K609" s="1482"/>
      <c r="L609" s="1482"/>
      <c r="M609" s="1482"/>
      <c r="N609" s="1482"/>
      <c r="O609" s="1482"/>
      <c r="P609" s="1482"/>
      <c r="Q609" s="1482"/>
      <c r="R609" s="1482"/>
      <c r="T609" s="55" t="s">
        <v>363</v>
      </c>
      <c r="U609" t="s">
        <v>464</v>
      </c>
      <c r="Z609" s="1482">
        <f>C565</f>
        <v>0</v>
      </c>
      <c r="AA609" s="1482"/>
      <c r="AB609" s="1482"/>
      <c r="AC609" s="1482"/>
      <c r="AD609" s="1482"/>
      <c r="AE609" s="1482"/>
      <c r="AF609" s="1482"/>
      <c r="AG609" s="1482"/>
      <c r="AH609" s="1482"/>
      <c r="AI609" s="1482"/>
      <c r="AJ609" s="1482"/>
      <c r="AK609" s="1482"/>
      <c r="AZ609" s="3"/>
      <c r="BA609" s="3"/>
      <c r="BB609" s="3"/>
      <c r="BC609" s="3"/>
    </row>
    <row r="610" spans="1:55" ht="12.95" customHeight="1">
      <c r="B610" t="s">
        <v>85</v>
      </c>
      <c r="G610" s="1333"/>
      <c r="H610" s="1333"/>
      <c r="I610" s="1333"/>
      <c r="J610" s="1333"/>
      <c r="K610" s="1333"/>
      <c r="L610" s="1333"/>
      <c r="M610" s="1333"/>
      <c r="N610" s="1333"/>
      <c r="O610" s="1333"/>
      <c r="P610" s="1333"/>
      <c r="Q610" s="1333"/>
      <c r="R610" s="1333"/>
      <c r="U610" t="s">
        <v>85</v>
      </c>
      <c r="Z610" s="1333"/>
      <c r="AA610" s="1333"/>
      <c r="AB610" s="1333"/>
      <c r="AC610" s="1333"/>
      <c r="AD610" s="1333"/>
      <c r="AE610" s="1333"/>
      <c r="AF610" s="1333"/>
      <c r="AG610" s="1333"/>
      <c r="AH610" s="1333"/>
      <c r="AI610" s="1333"/>
      <c r="AJ610" s="1333"/>
      <c r="AK610" s="1333"/>
      <c r="AZ610" s="3"/>
      <c r="BA610" s="3"/>
      <c r="BB610" s="3"/>
      <c r="BC610" s="3"/>
    </row>
    <row r="611" spans="1:55" ht="12.95" customHeight="1">
      <c r="B611" t="s">
        <v>581</v>
      </c>
      <c r="G611" s="1333"/>
      <c r="H611" s="1333"/>
      <c r="I611" s="1333"/>
      <c r="J611" s="1333"/>
      <c r="K611" s="1333"/>
      <c r="L611" s="1333"/>
      <c r="M611" s="1333"/>
      <c r="N611" s="1333"/>
      <c r="O611" s="1333"/>
      <c r="P611" s="1333"/>
      <c r="Q611" s="1333"/>
      <c r="R611" s="1333"/>
      <c r="U611" t="s">
        <v>581</v>
      </c>
      <c r="Z611" s="1332"/>
      <c r="AA611" s="1332"/>
      <c r="AB611" s="1332"/>
      <c r="AC611" s="1332"/>
      <c r="AD611" s="1332"/>
      <c r="AE611" s="1332"/>
      <c r="AF611" s="1332"/>
      <c r="AG611" s="1332"/>
      <c r="AH611" s="1332"/>
      <c r="AI611" s="1332"/>
      <c r="AJ611" s="1332"/>
      <c r="AK611" s="1332"/>
      <c r="AZ611" s="3"/>
      <c r="BA611" s="3"/>
      <c r="BB611" s="3"/>
      <c r="BC611" s="3"/>
    </row>
    <row r="612" spans="1:55" ht="12.95" customHeight="1">
      <c r="B612" t="s">
        <v>17</v>
      </c>
      <c r="G612" s="1333"/>
      <c r="H612" s="1333"/>
      <c r="I612" s="1333"/>
      <c r="J612" s="1333"/>
      <c r="K612" s="1333"/>
      <c r="L612" s="1333"/>
      <c r="M612" s="1333"/>
      <c r="N612" s="1333"/>
      <c r="O612" s="1333"/>
      <c r="P612" s="1333"/>
      <c r="Q612" s="1333"/>
      <c r="R612" s="1333"/>
      <c r="U612" t="s">
        <v>17</v>
      </c>
      <c r="Z612" s="1332"/>
      <c r="AA612" s="1332"/>
      <c r="AB612" s="1332"/>
      <c r="AC612" s="1332"/>
      <c r="AD612" s="1332"/>
      <c r="AE612" s="1332"/>
      <c r="AF612" s="1332"/>
      <c r="AG612" s="1332"/>
      <c r="AH612" s="1332"/>
      <c r="AI612" s="1332"/>
      <c r="AJ612" s="1332"/>
      <c r="AK612" s="1332"/>
      <c r="AZ612" s="3"/>
      <c r="BA612" s="3"/>
      <c r="BB612" s="3"/>
      <c r="BC612" s="3"/>
    </row>
    <row r="613" spans="1:55" ht="12.95" customHeight="1">
      <c r="B613" t="s">
        <v>316</v>
      </c>
      <c r="G613" s="1494"/>
      <c r="H613" s="1494"/>
      <c r="I613" s="1494"/>
      <c r="J613" s="1494"/>
      <c r="K613" s="1494"/>
      <c r="L613" s="1494"/>
      <c r="O613" s="33" t="s">
        <v>206</v>
      </c>
      <c r="P613" s="1464"/>
      <c r="Q613" s="1464"/>
      <c r="R613" s="1464"/>
      <c r="U613" t="s">
        <v>316</v>
      </c>
      <c r="Z613" s="1494"/>
      <c r="AA613" s="1494"/>
      <c r="AB613" s="1494"/>
      <c r="AC613" s="1494"/>
      <c r="AD613" s="1494"/>
      <c r="AE613" s="1494"/>
      <c r="AH613" s="33" t="s">
        <v>206</v>
      </c>
      <c r="AI613" s="1464"/>
      <c r="AJ613" s="1464"/>
      <c r="AK613" s="1464"/>
      <c r="AZ613" s="3"/>
      <c r="BA613" s="3"/>
      <c r="BB613" s="3"/>
      <c r="BC613" s="3"/>
    </row>
    <row r="614" spans="1:55" ht="12.95" customHeight="1">
      <c r="B614" t="s">
        <v>18</v>
      </c>
      <c r="H614" s="1333"/>
      <c r="I614" s="1333"/>
      <c r="J614" s="1333"/>
      <c r="K614" s="1333"/>
      <c r="L614" s="1333"/>
      <c r="M614" s="1333"/>
      <c r="N614" s="1333"/>
      <c r="O614" s="1333"/>
      <c r="P614" s="1333"/>
      <c r="Q614" s="1333"/>
      <c r="R614" s="1333"/>
      <c r="U614" t="s">
        <v>18</v>
      </c>
      <c r="AA614" s="1333"/>
      <c r="AB614" s="1333"/>
      <c r="AC614" s="1333"/>
      <c r="AD614" s="1333"/>
      <c r="AE614" s="1333"/>
      <c r="AF614" s="1333"/>
      <c r="AG614" s="1333"/>
      <c r="AH614" s="1333"/>
      <c r="AI614" s="1333"/>
      <c r="AJ614" s="1333"/>
      <c r="AK614" s="1333"/>
      <c r="AU614" s="899"/>
      <c r="AV614" s="899"/>
      <c r="AW614" s="899"/>
      <c r="AX614" s="899"/>
      <c r="AY614" s="899"/>
      <c r="AZ614" s="3"/>
      <c r="BA614" s="3"/>
      <c r="BB614" s="3"/>
      <c r="BC614" s="3"/>
    </row>
    <row r="615" spans="1:55" ht="12.95" customHeight="1">
      <c r="B615" t="s">
        <v>20</v>
      </c>
      <c r="N615" s="1433" t="s">
        <v>670</v>
      </c>
      <c r="O615" s="1433"/>
      <c r="U615" t="s">
        <v>20</v>
      </c>
      <c r="AG615" s="1433" t="s">
        <v>670</v>
      </c>
      <c r="AH615" s="1433"/>
      <c r="AU615" s="899"/>
      <c r="AV615" s="899"/>
      <c r="AW615" s="899"/>
      <c r="AX615" s="899"/>
      <c r="AY615" s="899"/>
      <c r="AZ615" s="3"/>
      <c r="BA615" s="3"/>
      <c r="BB615" s="3"/>
      <c r="BC615" s="3"/>
    </row>
    <row r="616" spans="1:55" ht="12.95" customHeight="1">
      <c r="AZ616" s="3"/>
      <c r="BA616" s="3"/>
      <c r="BB616" s="3"/>
      <c r="BC616" s="3"/>
    </row>
    <row r="617" spans="1:55" ht="12.95"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672" t="s">
        <v>2103</v>
      </c>
      <c r="C624" s="1672"/>
      <c r="D624" s="1672"/>
      <c r="E624" s="1672"/>
      <c r="F624" s="1672"/>
      <c r="G624" s="1672"/>
      <c r="H624" s="1672"/>
      <c r="I624" s="1672"/>
      <c r="J624" s="1672"/>
      <c r="K624" s="1672"/>
      <c r="L624" s="1672"/>
      <c r="M624" s="1674" t="s">
        <v>2104</v>
      </c>
      <c r="N624" s="1674"/>
      <c r="O624" s="1674"/>
      <c r="P624" s="1674"/>
      <c r="Q624" s="1674" t="s">
        <v>1853</v>
      </c>
      <c r="R624" s="1674"/>
      <c r="S624" s="1674"/>
      <c r="T624" s="1674" t="s">
        <v>1851</v>
      </c>
      <c r="U624" s="1674"/>
      <c r="V624" s="1674"/>
      <c r="W624" s="1673" t="s">
        <v>454</v>
      </c>
      <c r="X624" s="1673"/>
      <c r="Y624" s="1673"/>
      <c r="Z624" s="1369" t="s">
        <v>2133</v>
      </c>
      <c r="AA624" s="1369"/>
      <c r="AB624" s="1370"/>
      <c r="AC624" s="1685" t="s">
        <v>1677</v>
      </c>
      <c r="AD624" s="1686"/>
      <c r="AE624" s="1687"/>
      <c r="AF624" s="1368" t="s">
        <v>1931</v>
      </c>
      <c r="AG624" s="1369"/>
      <c r="AH624" s="1369"/>
      <c r="AI624" s="1369"/>
      <c r="AJ624" s="1370"/>
      <c r="AK624" s="1675" t="s">
        <v>1932</v>
      </c>
      <c r="AL624" s="1676"/>
      <c r="AM624" s="1676"/>
      <c r="AN624" s="1677"/>
      <c r="AO624" s="1674" t="s">
        <v>455</v>
      </c>
      <c r="AP624" s="1674"/>
      <c r="AQ624" s="1674"/>
      <c r="AR624" s="1674"/>
      <c r="AS624" s="1674"/>
      <c r="AU624" s="3"/>
      <c r="AZ624" s="3"/>
      <c r="BA624" s="3"/>
      <c r="BB624" s="3"/>
      <c r="BC624" s="3"/>
    </row>
    <row r="625" spans="2:157" ht="12.95" customHeight="1">
      <c r="B625" s="1672"/>
      <c r="C625" s="1672"/>
      <c r="D625" s="1672"/>
      <c r="E625" s="1672"/>
      <c r="F625" s="1672"/>
      <c r="G625" s="1672"/>
      <c r="H625" s="1672"/>
      <c r="I625" s="1672"/>
      <c r="J625" s="1672"/>
      <c r="K625" s="1672"/>
      <c r="L625" s="1672"/>
      <c r="M625" s="1674"/>
      <c r="N625" s="1674"/>
      <c r="O625" s="1674"/>
      <c r="P625" s="1674"/>
      <c r="Q625" s="1674"/>
      <c r="R625" s="1674"/>
      <c r="S625" s="1674"/>
      <c r="T625" s="1674"/>
      <c r="U625" s="1674"/>
      <c r="V625" s="1674"/>
      <c r="W625" s="1673"/>
      <c r="X625" s="1673"/>
      <c r="Y625" s="1673"/>
      <c r="Z625" s="1372"/>
      <c r="AA625" s="1372"/>
      <c r="AB625" s="1373"/>
      <c r="AC625" s="1688"/>
      <c r="AD625" s="1689"/>
      <c r="AE625" s="1690"/>
      <c r="AF625" s="1371"/>
      <c r="AG625" s="1372"/>
      <c r="AH625" s="1372"/>
      <c r="AI625" s="1372"/>
      <c r="AJ625" s="1373"/>
      <c r="AK625" s="1678"/>
      <c r="AL625" s="1679"/>
      <c r="AM625" s="1679"/>
      <c r="AN625" s="1680"/>
      <c r="AO625" s="1674"/>
      <c r="AP625" s="1674"/>
      <c r="AQ625" s="1674"/>
      <c r="AR625" s="1674"/>
      <c r="AS625" s="1674"/>
      <c r="AU625" s="3"/>
      <c r="AZ625" s="3"/>
      <c r="BA625" s="3"/>
      <c r="BB625" s="3"/>
      <c r="BC625" s="3"/>
      <c r="BD625" s="3"/>
    </row>
    <row r="626" spans="2:157" ht="12.95" customHeight="1">
      <c r="B626" s="1672"/>
      <c r="C626" s="1672"/>
      <c r="D626" s="1672"/>
      <c r="E626" s="1672"/>
      <c r="F626" s="1672"/>
      <c r="G626" s="1672"/>
      <c r="H626" s="1672"/>
      <c r="I626" s="1672"/>
      <c r="J626" s="1672"/>
      <c r="K626" s="1672"/>
      <c r="L626" s="1672"/>
      <c r="M626" s="1674"/>
      <c r="N626" s="1674"/>
      <c r="O626" s="1674"/>
      <c r="P626" s="1674"/>
      <c r="Q626" s="1674"/>
      <c r="R626" s="1674"/>
      <c r="S626" s="1674"/>
      <c r="T626" s="1674"/>
      <c r="U626" s="1674"/>
      <c r="V626" s="1674"/>
      <c r="W626" s="1673"/>
      <c r="X626" s="1673"/>
      <c r="Y626" s="1673"/>
      <c r="Z626" s="1375"/>
      <c r="AA626" s="1375"/>
      <c r="AB626" s="1376"/>
      <c r="AC626" s="1691"/>
      <c r="AD626" s="1692"/>
      <c r="AE626" s="1693"/>
      <c r="AF626" s="1374"/>
      <c r="AG626" s="1375"/>
      <c r="AH626" s="1375"/>
      <c r="AI626" s="1375"/>
      <c r="AJ626" s="1376"/>
      <c r="AK626" s="1681"/>
      <c r="AL626" s="1682"/>
      <c r="AM626" s="1682"/>
      <c r="AN626" s="1683"/>
      <c r="AO626" s="1674"/>
      <c r="AP626" s="1674"/>
      <c r="AQ626" s="1674"/>
      <c r="AR626" s="1674"/>
      <c r="AS626" s="1674"/>
      <c r="AT626" s="3"/>
      <c r="AU626" s="3"/>
      <c r="AZ626" s="3"/>
      <c r="BA626" s="3"/>
      <c r="BB626" s="3"/>
      <c r="BC626" s="3"/>
      <c r="BD626" s="3"/>
    </row>
    <row r="627" spans="2:157" ht="12.95" customHeight="1">
      <c r="B627" s="51" t="s">
        <v>112</v>
      </c>
      <c r="C627" s="1495" t="s">
        <v>2725</v>
      </c>
      <c r="D627" s="1495"/>
      <c r="E627" s="1495"/>
      <c r="F627" s="1495"/>
      <c r="G627" s="1495"/>
      <c r="H627" s="1495"/>
      <c r="I627" s="1495"/>
      <c r="J627" s="1495"/>
      <c r="K627" s="1495"/>
      <c r="L627" s="1495"/>
      <c r="M627" s="1493" t="s">
        <v>2120</v>
      </c>
      <c r="N627" s="1493"/>
      <c r="O627" s="1493"/>
      <c r="P627" s="1493"/>
      <c r="Q627" s="1484">
        <f>17*12</f>
        <v>204</v>
      </c>
      <c r="R627" s="1484"/>
      <c r="S627" s="1485"/>
      <c r="T627" s="1483">
        <f>40*12</f>
        <v>480</v>
      </c>
      <c r="U627" s="1484"/>
      <c r="V627" s="1485"/>
      <c r="W627" s="1479">
        <v>6.25E-2</v>
      </c>
      <c r="X627" s="1480"/>
      <c r="Y627" s="1481"/>
      <c r="Z627" s="1469" t="s">
        <v>2132</v>
      </c>
      <c r="AA627" s="1470"/>
      <c r="AB627" s="1471"/>
      <c r="AC627" s="1395">
        <v>1</v>
      </c>
      <c r="AD627" s="1396"/>
      <c r="AE627" s="1397"/>
      <c r="AF627" s="1496">
        <v>1419122</v>
      </c>
      <c r="AG627" s="1497"/>
      <c r="AH627" s="1497"/>
      <c r="AI627" s="1497"/>
      <c r="AJ627" s="1498"/>
      <c r="AK627" s="1508"/>
      <c r="AL627" s="1509"/>
      <c r="AM627" s="1509"/>
      <c r="AN627" s="1510"/>
      <c r="AO627" s="1636">
        <v>20830000</v>
      </c>
      <c r="AP627" s="1636"/>
      <c r="AQ627" s="1636"/>
      <c r="AR627" s="1636"/>
      <c r="AS627" s="1636"/>
      <c r="AT627" s="3"/>
      <c r="AU627" s="3"/>
      <c r="AZ627" s="3"/>
      <c r="BA627" s="3"/>
      <c r="BB627" s="3"/>
      <c r="BC627" s="3"/>
      <c r="BD627" s="3"/>
    </row>
    <row r="628" spans="2:157" ht="12.95" customHeight="1">
      <c r="B628" s="52" t="s">
        <v>113</v>
      </c>
      <c r="C628" s="1495" t="s">
        <v>2726</v>
      </c>
      <c r="D628" s="1495"/>
      <c r="E628" s="1495"/>
      <c r="F628" s="1495"/>
      <c r="G628" s="1495"/>
      <c r="H628" s="1495"/>
      <c r="I628" s="1495"/>
      <c r="J628" s="1495"/>
      <c r="K628" s="1495"/>
      <c r="L628" s="1495"/>
      <c r="M628" s="1493" t="s">
        <v>2113</v>
      </c>
      <c r="N628" s="1493"/>
      <c r="O628" s="1493"/>
      <c r="P628" s="1493"/>
      <c r="Q628" s="1483"/>
      <c r="R628" s="1484"/>
      <c r="S628" s="1485"/>
      <c r="T628" s="1483"/>
      <c r="U628" s="1484"/>
      <c r="V628" s="1485"/>
      <c r="W628" s="1479"/>
      <c r="X628" s="1480"/>
      <c r="Y628" s="1481"/>
      <c r="Z628" s="1469" t="s">
        <v>1185</v>
      </c>
      <c r="AA628" s="1470"/>
      <c r="AB628" s="1471"/>
      <c r="AC628" s="1395"/>
      <c r="AD628" s="1396"/>
      <c r="AE628" s="1397"/>
      <c r="AF628" s="1496"/>
      <c r="AG628" s="1497"/>
      <c r="AH628" s="1497"/>
      <c r="AI628" s="1497"/>
      <c r="AJ628" s="1498"/>
      <c r="AK628" s="1508"/>
      <c r="AL628" s="1509"/>
      <c r="AM628" s="1509"/>
      <c r="AN628" s="1510"/>
      <c r="AO628" s="1468">
        <v>2402000</v>
      </c>
      <c r="AP628" s="1356"/>
      <c r="AQ628" s="1356"/>
      <c r="AR628" s="1356"/>
      <c r="AS628" s="1357"/>
      <c r="AT628" s="1148" t="str">
        <f>IF(AND(NOT(C627=""),C628="",NOT(C629="")),"!","")</f>
        <v/>
      </c>
      <c r="AU628" s="3"/>
      <c r="AZ628" s="3"/>
      <c r="BA628" s="3"/>
      <c r="BB628" s="3"/>
      <c r="BC628" s="3"/>
      <c r="BD628" s="3"/>
    </row>
    <row r="629" spans="2:157" ht="12.95" customHeight="1">
      <c r="B629" s="52" t="s">
        <v>119</v>
      </c>
      <c r="C629" s="1495" t="s">
        <v>2320</v>
      </c>
      <c r="D629" s="1495"/>
      <c r="E629" s="1495"/>
      <c r="F629" s="1495"/>
      <c r="G629" s="1495"/>
      <c r="H629" s="1495"/>
      <c r="I629" s="1495"/>
      <c r="J629" s="1495"/>
      <c r="K629" s="1495"/>
      <c r="L629" s="1495"/>
      <c r="M629" s="1493" t="s">
        <v>2107</v>
      </c>
      <c r="N629" s="1493"/>
      <c r="O629" s="1493"/>
      <c r="P629" s="1493"/>
      <c r="Q629" s="1483"/>
      <c r="R629" s="1484"/>
      <c r="S629" s="1485"/>
      <c r="T629" s="1483"/>
      <c r="U629" s="1484"/>
      <c r="V629" s="1485"/>
      <c r="W629" s="1479"/>
      <c r="X629" s="1480"/>
      <c r="Y629" s="1481"/>
      <c r="Z629" s="1469" t="s">
        <v>1185</v>
      </c>
      <c r="AA629" s="1470"/>
      <c r="AB629" s="1471"/>
      <c r="AC629" s="1395"/>
      <c r="AD629" s="1396"/>
      <c r="AE629" s="1397"/>
      <c r="AF629" s="1496"/>
      <c r="AG629" s="1497"/>
      <c r="AH629" s="1497"/>
      <c r="AI629" s="1497"/>
      <c r="AJ629" s="1498"/>
      <c r="AK629" s="1508"/>
      <c r="AL629" s="1509"/>
      <c r="AM629" s="1509"/>
      <c r="AN629" s="1510"/>
      <c r="AO629" s="1468">
        <v>2200000</v>
      </c>
      <c r="AP629" s="1356"/>
      <c r="AQ629" s="1356"/>
      <c r="AR629" s="1356"/>
      <c r="AS629" s="1357"/>
      <c r="AT629" s="1148" t="str">
        <f t="shared" ref="AT629:AT638" si="1">IF(AND(NOT(C628=""),C629="",NOT(C630="")),"!","")</f>
        <v/>
      </c>
      <c r="AU629" s="3"/>
      <c r="AZ629" s="3"/>
      <c r="BA629" s="3"/>
      <c r="BB629" s="3"/>
      <c r="BC629" s="3"/>
      <c r="BD629" s="3"/>
    </row>
    <row r="630" spans="2:157" ht="12.95" customHeight="1">
      <c r="B630" s="52" t="s">
        <v>582</v>
      </c>
      <c r="C630" s="1495" t="s">
        <v>2757</v>
      </c>
      <c r="D630" s="1492"/>
      <c r="E630" s="1492"/>
      <c r="F630" s="1492"/>
      <c r="G630" s="1492"/>
      <c r="H630" s="1492"/>
      <c r="I630" s="1492"/>
      <c r="J630" s="1492"/>
      <c r="K630" s="1492"/>
      <c r="L630" s="1492"/>
      <c r="M630" s="1493" t="s">
        <v>2117</v>
      </c>
      <c r="N630" s="1493"/>
      <c r="O630" s="1493"/>
      <c r="P630" s="1493"/>
      <c r="Q630" s="1483"/>
      <c r="R630" s="1484"/>
      <c r="S630" s="1485"/>
      <c r="T630" s="1483"/>
      <c r="U630" s="1484"/>
      <c r="V630" s="1485"/>
      <c r="W630" s="1479">
        <v>4.8300000000000003E-2</v>
      </c>
      <c r="X630" s="1480"/>
      <c r="Y630" s="1481"/>
      <c r="Z630" s="1469" t="s">
        <v>1185</v>
      </c>
      <c r="AA630" s="1470"/>
      <c r="AB630" s="1471"/>
      <c r="AC630" s="1395"/>
      <c r="AD630" s="1396"/>
      <c r="AE630" s="1397"/>
      <c r="AF630" s="1496"/>
      <c r="AG630" s="1497"/>
      <c r="AH630" s="1497"/>
      <c r="AI630" s="1497"/>
      <c r="AJ630" s="1498"/>
      <c r="AK630" s="1508"/>
      <c r="AL630" s="1509"/>
      <c r="AM630" s="1509"/>
      <c r="AN630" s="1510"/>
      <c r="AO630" s="1468">
        <v>18610000</v>
      </c>
      <c r="AP630" s="1356"/>
      <c r="AQ630" s="1356"/>
      <c r="AR630" s="1356"/>
      <c r="AS630" s="1357"/>
      <c r="AT630" s="1148" t="str">
        <f t="shared" si="1"/>
        <v/>
      </c>
      <c r="AU630" s="3"/>
      <c r="AZ630" s="3"/>
      <c r="BA630" s="3"/>
      <c r="BB630" s="3"/>
      <c r="BC630" s="3"/>
      <c r="BD630" s="3"/>
    </row>
    <row r="631" spans="2:157" ht="12.95" customHeight="1">
      <c r="B631" s="52" t="s">
        <v>764</v>
      </c>
      <c r="C631" s="1492" t="s">
        <v>2727</v>
      </c>
      <c r="D631" s="1492"/>
      <c r="E631" s="1492"/>
      <c r="F631" s="1492"/>
      <c r="G631" s="1492"/>
      <c r="H631" s="1492"/>
      <c r="I631" s="1492"/>
      <c r="J631" s="1492"/>
      <c r="K631" s="1492"/>
      <c r="L631" s="1492"/>
      <c r="M631" s="1493" t="s">
        <v>2112</v>
      </c>
      <c r="N631" s="1493"/>
      <c r="O631" s="1493"/>
      <c r="P631" s="1493"/>
      <c r="Q631" s="1483"/>
      <c r="R631" s="1484"/>
      <c r="S631" s="1485"/>
      <c r="T631" s="1483"/>
      <c r="U631" s="1484"/>
      <c r="V631" s="1485"/>
      <c r="W631" s="1479"/>
      <c r="X631" s="1480"/>
      <c r="Y631" s="1481"/>
      <c r="Z631" s="1469" t="s">
        <v>1185</v>
      </c>
      <c r="AA631" s="1470"/>
      <c r="AB631" s="1471"/>
      <c r="AC631" s="1395"/>
      <c r="AD631" s="1396"/>
      <c r="AE631" s="1397"/>
      <c r="AF631" s="1496"/>
      <c r="AG631" s="1497"/>
      <c r="AH631" s="1497"/>
      <c r="AI631" s="1497"/>
      <c r="AJ631" s="1498"/>
      <c r="AK631" s="1508"/>
      <c r="AL631" s="1509"/>
      <c r="AM631" s="1509"/>
      <c r="AN631" s="1510"/>
      <c r="AO631" s="1468">
        <v>100</v>
      </c>
      <c r="AP631" s="1356"/>
      <c r="AQ631" s="1356"/>
      <c r="AR631" s="1356"/>
      <c r="AS631" s="1357"/>
      <c r="AT631" s="1148" t="str">
        <f t="shared" si="1"/>
        <v/>
      </c>
      <c r="AU631" s="3"/>
      <c r="AZ631" s="3"/>
      <c r="BA631" s="3"/>
      <c r="BB631" s="3"/>
      <c r="BC631" s="3"/>
      <c r="BD631" s="3"/>
    </row>
    <row r="632" spans="2:157" ht="12.95" customHeight="1">
      <c r="B632" s="52" t="s">
        <v>585</v>
      </c>
      <c r="C632" s="1495"/>
      <c r="D632" s="1492"/>
      <c r="E632" s="1492"/>
      <c r="F632" s="1492"/>
      <c r="G632" s="1492"/>
      <c r="H632" s="1492"/>
      <c r="I632" s="1492"/>
      <c r="J632" s="1492"/>
      <c r="K632" s="1492"/>
      <c r="L632" s="1492"/>
      <c r="M632" s="1493" t="s">
        <v>1185</v>
      </c>
      <c r="N632" s="1493"/>
      <c r="O632" s="1493"/>
      <c r="P632" s="1493"/>
      <c r="Q632" s="1483"/>
      <c r="R632" s="1484"/>
      <c r="S632" s="1485"/>
      <c r="T632" s="1483"/>
      <c r="U632" s="1484"/>
      <c r="V632" s="1485"/>
      <c r="W632" s="1479"/>
      <c r="X632" s="1480"/>
      <c r="Y632" s="1481"/>
      <c r="Z632" s="1469" t="s">
        <v>1185</v>
      </c>
      <c r="AA632" s="1470"/>
      <c r="AB632" s="1471"/>
      <c r="AC632" s="1395"/>
      <c r="AD632" s="1396"/>
      <c r="AE632" s="1397"/>
      <c r="AF632" s="1496"/>
      <c r="AG632" s="1497"/>
      <c r="AH632" s="1497"/>
      <c r="AI632" s="1497"/>
      <c r="AJ632" s="1498"/>
      <c r="AK632" s="1508"/>
      <c r="AL632" s="1509"/>
      <c r="AM632" s="1509"/>
      <c r="AN632" s="1510"/>
      <c r="AO632" s="1468"/>
      <c r="AP632" s="1356"/>
      <c r="AQ632" s="1356"/>
      <c r="AR632" s="1356"/>
      <c r="AS632" s="1357"/>
      <c r="AT632" s="1148" t="str">
        <f t="shared" si="1"/>
        <v/>
      </c>
      <c r="AU632" s="3"/>
      <c r="AZ632" s="3"/>
      <c r="BA632" s="3"/>
      <c r="BB632" s="3"/>
      <c r="BC632" s="3"/>
      <c r="BD632" s="3"/>
    </row>
    <row r="633" spans="2:157" ht="12.95" customHeight="1">
      <c r="B633" s="52" t="s">
        <v>456</v>
      </c>
      <c r="C633" s="1492"/>
      <c r="D633" s="1492"/>
      <c r="E633" s="1492"/>
      <c r="F633" s="1492"/>
      <c r="G633" s="1492"/>
      <c r="H633" s="1492"/>
      <c r="I633" s="1492"/>
      <c r="J633" s="1492"/>
      <c r="K633" s="1492"/>
      <c r="L633" s="1492"/>
      <c r="M633" s="1493" t="s">
        <v>1185</v>
      </c>
      <c r="N633" s="1493"/>
      <c r="O633" s="1493"/>
      <c r="P633" s="1493"/>
      <c r="Q633" s="1483"/>
      <c r="R633" s="1484"/>
      <c r="S633" s="1485"/>
      <c r="T633" s="1483"/>
      <c r="U633" s="1484"/>
      <c r="V633" s="1485"/>
      <c r="W633" s="1479"/>
      <c r="X633" s="1480"/>
      <c r="Y633" s="1481"/>
      <c r="Z633" s="1469" t="s">
        <v>1185</v>
      </c>
      <c r="AA633" s="1470"/>
      <c r="AB633" s="1471"/>
      <c r="AC633" s="1395"/>
      <c r="AD633" s="1396"/>
      <c r="AE633" s="1397"/>
      <c r="AF633" s="1496"/>
      <c r="AG633" s="1497"/>
      <c r="AH633" s="1497"/>
      <c r="AI633" s="1497"/>
      <c r="AJ633" s="1498"/>
      <c r="AK633" s="1508"/>
      <c r="AL633" s="1509"/>
      <c r="AM633" s="1509"/>
      <c r="AN633" s="1510"/>
      <c r="AO633" s="1468"/>
      <c r="AP633" s="1356"/>
      <c r="AQ633" s="1356"/>
      <c r="AR633" s="1356"/>
      <c r="AS633" s="1357"/>
      <c r="AT633" s="1148" t="str">
        <f t="shared" si="1"/>
        <v/>
      </c>
      <c r="AU633" s="3"/>
      <c r="AV633" s="3"/>
      <c r="AW633" s="3"/>
      <c r="AX633" s="3"/>
      <c r="AY633" s="3"/>
      <c r="AZ633" s="3"/>
      <c r="BA633" s="3"/>
      <c r="BB633" s="3"/>
      <c r="BC633" s="3"/>
      <c r="BD633" s="3"/>
    </row>
    <row r="634" spans="2:157" ht="12.95" customHeight="1">
      <c r="B634" s="52" t="s">
        <v>457</v>
      </c>
      <c r="C634" s="1492"/>
      <c r="D634" s="1492"/>
      <c r="E634" s="1492"/>
      <c r="F634" s="1492"/>
      <c r="G634" s="1492"/>
      <c r="H634" s="1492"/>
      <c r="I634" s="1492"/>
      <c r="J634" s="1492"/>
      <c r="K634" s="1492"/>
      <c r="L634" s="1492"/>
      <c r="M634" s="1493" t="s">
        <v>1185</v>
      </c>
      <c r="N634" s="1493"/>
      <c r="O634" s="1493"/>
      <c r="P634" s="1493"/>
      <c r="Q634" s="1483"/>
      <c r="R634" s="1484"/>
      <c r="S634" s="1485"/>
      <c r="T634" s="1483"/>
      <c r="U634" s="1484"/>
      <c r="V634" s="1485"/>
      <c r="W634" s="1479"/>
      <c r="X634" s="1480"/>
      <c r="Y634" s="1481"/>
      <c r="Z634" s="1469" t="s">
        <v>1185</v>
      </c>
      <c r="AA634" s="1470"/>
      <c r="AB634" s="1471"/>
      <c r="AC634" s="1395"/>
      <c r="AD634" s="1396"/>
      <c r="AE634" s="1397"/>
      <c r="AF634" s="1496"/>
      <c r="AG634" s="1497"/>
      <c r="AH634" s="1497"/>
      <c r="AI634" s="1497"/>
      <c r="AJ634" s="1498"/>
      <c r="AK634" s="1508"/>
      <c r="AL634" s="1509"/>
      <c r="AM634" s="1509"/>
      <c r="AN634" s="1510"/>
      <c r="AO634" s="1468"/>
      <c r="AP634" s="1356"/>
      <c r="AQ634" s="1356"/>
      <c r="AR634" s="1356"/>
      <c r="AS634" s="1357"/>
      <c r="AT634" s="1148" t="str">
        <f t="shared" si="1"/>
        <v/>
      </c>
      <c r="AU634" s="3"/>
      <c r="AV634" s="3"/>
      <c r="AW634" s="3"/>
      <c r="AX634" s="3"/>
      <c r="AY634" s="3"/>
      <c r="AZ634" s="3"/>
      <c r="BA634" s="3" t="s">
        <v>1185</v>
      </c>
      <c r="BB634" s="3"/>
      <c r="BC634" s="3"/>
      <c r="BD634" s="3"/>
    </row>
    <row r="635" spans="2:157" ht="12.95" customHeight="1">
      <c r="B635" s="52" t="s">
        <v>462</v>
      </c>
      <c r="C635" s="1492"/>
      <c r="D635" s="1492"/>
      <c r="E635" s="1492"/>
      <c r="F635" s="1492"/>
      <c r="G635" s="1492"/>
      <c r="H635" s="1492"/>
      <c r="I635" s="1492"/>
      <c r="J635" s="1492"/>
      <c r="K635" s="1492"/>
      <c r="L635" s="1492"/>
      <c r="M635" s="1493" t="s">
        <v>1185</v>
      </c>
      <c r="N635" s="1493"/>
      <c r="O635" s="1493"/>
      <c r="P635" s="1493"/>
      <c r="Q635" s="1483"/>
      <c r="R635" s="1484"/>
      <c r="S635" s="1485"/>
      <c r="T635" s="1483"/>
      <c r="U635" s="1484"/>
      <c r="V635" s="1485"/>
      <c r="W635" s="1479"/>
      <c r="X635" s="1480"/>
      <c r="Y635" s="1481"/>
      <c r="Z635" s="1469" t="s">
        <v>1185</v>
      </c>
      <c r="AA635" s="1470"/>
      <c r="AB635" s="1471"/>
      <c r="AC635" s="1395"/>
      <c r="AD635" s="1396"/>
      <c r="AE635" s="1397"/>
      <c r="AF635" s="1496"/>
      <c r="AG635" s="1497"/>
      <c r="AH635" s="1497"/>
      <c r="AI635" s="1497"/>
      <c r="AJ635" s="1498"/>
      <c r="AK635" s="1508"/>
      <c r="AL635" s="1509"/>
      <c r="AM635" s="1509"/>
      <c r="AN635" s="1510"/>
      <c r="AO635" s="1468"/>
      <c r="AP635" s="1356"/>
      <c r="AQ635" s="1356"/>
      <c r="AR635" s="1356"/>
      <c r="AS635" s="1357"/>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1" t="e">
        <f t="shared" ref="DX635:DX669" si="2">EZ718*(CP718/$CP$753)</f>
        <v>#VALUE!</v>
      </c>
      <c r="DY635" s="1361"/>
      <c r="DZ635" s="1361"/>
      <c r="EA635" s="1361"/>
      <c r="EB635" s="1361"/>
      <c r="EC635" s="1361">
        <f t="shared" ref="EC635:EC669" si="3">FE718*(CU718/$CU$753)</f>
        <v>237.6</v>
      </c>
      <c r="ED635" s="1361"/>
      <c r="EE635" s="1361"/>
      <c r="EF635" s="1361"/>
      <c r="EG635" s="1361"/>
      <c r="EH635" s="1361" t="e">
        <f t="shared" ref="EH635:EH669" si="4">FJ718*(CZ718/$CZ$753)</f>
        <v>#VALUE!</v>
      </c>
      <c r="EI635" s="1361"/>
      <c r="EJ635" s="1361"/>
      <c r="EK635" s="1361"/>
      <c r="EL635" s="1361"/>
      <c r="EM635" s="1361" t="e">
        <f t="shared" ref="EM635:EM669" si="5">FO718*(DE718/$DE$753)</f>
        <v>#VALUE!</v>
      </c>
      <c r="EN635" s="1361"/>
      <c r="EO635" s="1361"/>
      <c r="EP635" s="1361"/>
      <c r="EQ635" s="1361"/>
      <c r="ER635" s="1361" t="e">
        <f t="shared" ref="ER635:ER669" si="6">FT718*(DJ718/$DJ$753)</f>
        <v>#VALUE!</v>
      </c>
      <c r="ES635" s="1361"/>
      <c r="ET635" s="1361"/>
      <c r="EU635" s="1361"/>
      <c r="EV635" s="1361"/>
      <c r="EW635" s="1361" t="e">
        <f t="shared" ref="EW635:EW669" si="7">FY718*(DO718/$DO$753)</f>
        <v>#VALUE!</v>
      </c>
      <c r="EX635" s="1361"/>
      <c r="EY635" s="1361"/>
      <c r="EZ635" s="1361"/>
      <c r="FA635" s="1361"/>
    </row>
    <row r="636" spans="2:157" ht="12.95" customHeight="1">
      <c r="B636" s="52" t="s">
        <v>647</v>
      </c>
      <c r="C636" s="1492"/>
      <c r="D636" s="1492"/>
      <c r="E636" s="1492"/>
      <c r="F636" s="1492"/>
      <c r="G636" s="1492"/>
      <c r="H636" s="1492"/>
      <c r="I636" s="1492"/>
      <c r="J636" s="1492"/>
      <c r="K636" s="1492"/>
      <c r="L636" s="1492"/>
      <c r="M636" s="1493" t="s">
        <v>1185</v>
      </c>
      <c r="N636" s="1493"/>
      <c r="O636" s="1493"/>
      <c r="P636" s="1493"/>
      <c r="Q636" s="1483"/>
      <c r="R636" s="1484"/>
      <c r="S636" s="1485"/>
      <c r="T636" s="1483"/>
      <c r="U636" s="1484"/>
      <c r="V636" s="1485"/>
      <c r="W636" s="1479"/>
      <c r="X636" s="1480"/>
      <c r="Y636" s="1481"/>
      <c r="Z636" s="1469" t="s">
        <v>1185</v>
      </c>
      <c r="AA636" s="1470"/>
      <c r="AB636" s="1471"/>
      <c r="AC636" s="1395"/>
      <c r="AD636" s="1396"/>
      <c r="AE636" s="1397"/>
      <c r="AF636" s="1496"/>
      <c r="AG636" s="1497"/>
      <c r="AH636" s="1497"/>
      <c r="AI636" s="1497"/>
      <c r="AJ636" s="1498"/>
      <c r="AK636" s="1508"/>
      <c r="AL636" s="1509"/>
      <c r="AM636" s="1509"/>
      <c r="AN636" s="1510"/>
      <c r="AO636" s="1468"/>
      <c r="AP636" s="1356"/>
      <c r="AQ636" s="1356"/>
      <c r="AR636" s="1356"/>
      <c r="AS636" s="1357"/>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1" t="e">
        <f t="shared" si="2"/>
        <v>#VALUE!</v>
      </c>
      <c r="DY636" s="1361"/>
      <c r="DZ636" s="1361"/>
      <c r="EA636" s="1361"/>
      <c r="EB636" s="1361"/>
      <c r="EC636" s="1361" t="e">
        <f t="shared" si="3"/>
        <v>#VALUE!</v>
      </c>
      <c r="ED636" s="1361"/>
      <c r="EE636" s="1361"/>
      <c r="EF636" s="1361"/>
      <c r="EG636" s="1361"/>
      <c r="EH636" s="1361">
        <f t="shared" si="4"/>
        <v>58.703703703703702</v>
      </c>
      <c r="EI636" s="1361"/>
      <c r="EJ636" s="1361"/>
      <c r="EK636" s="1361"/>
      <c r="EL636" s="1361"/>
      <c r="EM636" s="1361" t="e">
        <f t="shared" si="5"/>
        <v>#VALUE!</v>
      </c>
      <c r="EN636" s="1361"/>
      <c r="EO636" s="1361"/>
      <c r="EP636" s="1361"/>
      <c r="EQ636" s="1361"/>
      <c r="ER636" s="1361" t="e">
        <f t="shared" si="6"/>
        <v>#VALUE!</v>
      </c>
      <c r="ES636" s="1361"/>
      <c r="ET636" s="1361"/>
      <c r="EU636" s="1361"/>
      <c r="EV636" s="1361"/>
      <c r="EW636" s="1361" t="e">
        <f t="shared" si="7"/>
        <v>#VALUE!</v>
      </c>
      <c r="EX636" s="1361"/>
      <c r="EY636" s="1361"/>
      <c r="EZ636" s="1361"/>
      <c r="FA636" s="1361"/>
    </row>
    <row r="637" spans="2:157" ht="12.95" customHeight="1">
      <c r="B637" s="52" t="s">
        <v>362</v>
      </c>
      <c r="C637" s="1492"/>
      <c r="D637" s="1492"/>
      <c r="E637" s="1492"/>
      <c r="F637" s="1492"/>
      <c r="G637" s="1492"/>
      <c r="H637" s="1492"/>
      <c r="I637" s="1492"/>
      <c r="J637" s="1492"/>
      <c r="K637" s="1492"/>
      <c r="L637" s="1492"/>
      <c r="M637" s="1493" t="s">
        <v>1185</v>
      </c>
      <c r="N637" s="1493"/>
      <c r="O637" s="1493"/>
      <c r="P637" s="1493"/>
      <c r="Q637" s="1483"/>
      <c r="R637" s="1484"/>
      <c r="S637" s="1485"/>
      <c r="T637" s="1483"/>
      <c r="U637" s="1484"/>
      <c r="V637" s="1485"/>
      <c r="W637" s="1479"/>
      <c r="X637" s="1480"/>
      <c r="Y637" s="1481"/>
      <c r="Z637" s="1469" t="s">
        <v>1185</v>
      </c>
      <c r="AA637" s="1470"/>
      <c r="AB637" s="1471"/>
      <c r="AC637" s="1395"/>
      <c r="AD637" s="1396"/>
      <c r="AE637" s="1397"/>
      <c r="AF637" s="1496"/>
      <c r="AG637" s="1497"/>
      <c r="AH637" s="1497"/>
      <c r="AI637" s="1497"/>
      <c r="AJ637" s="1498"/>
      <c r="AK637" s="1508"/>
      <c r="AL637" s="1509"/>
      <c r="AM637" s="1509"/>
      <c r="AN637" s="1510"/>
      <c r="AO637" s="1468"/>
      <c r="AP637" s="1356"/>
      <c r="AQ637" s="1356"/>
      <c r="AR637" s="1356"/>
      <c r="AS637" s="1357"/>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61" t="e">
        <f t="shared" si="2"/>
        <v>#VALUE!</v>
      </c>
      <c r="DY637" s="1361"/>
      <c r="DZ637" s="1361"/>
      <c r="EA637" s="1361"/>
      <c r="EB637" s="1361"/>
      <c r="EC637" s="1361" t="e">
        <f t="shared" si="3"/>
        <v>#VALUE!</v>
      </c>
      <c r="ED637" s="1361"/>
      <c r="EE637" s="1361"/>
      <c r="EF637" s="1361"/>
      <c r="EG637" s="1361"/>
      <c r="EH637" s="1361" t="e">
        <f t="shared" si="4"/>
        <v>#VALUE!</v>
      </c>
      <c r="EI637" s="1361"/>
      <c r="EJ637" s="1361"/>
      <c r="EK637" s="1361"/>
      <c r="EL637" s="1361"/>
      <c r="EM637" s="1361">
        <f t="shared" si="5"/>
        <v>104.57142857142857</v>
      </c>
      <c r="EN637" s="1361"/>
      <c r="EO637" s="1361"/>
      <c r="EP637" s="1361"/>
      <c r="EQ637" s="1361"/>
      <c r="ER637" s="1361" t="e">
        <f t="shared" si="6"/>
        <v>#VALUE!</v>
      </c>
      <c r="ES637" s="1361"/>
      <c r="ET637" s="1361"/>
      <c r="EU637" s="1361"/>
      <c r="EV637" s="1361"/>
      <c r="EW637" s="1361" t="e">
        <f t="shared" si="7"/>
        <v>#VALUE!</v>
      </c>
      <c r="EX637" s="1361"/>
      <c r="EY637" s="1361"/>
      <c r="EZ637" s="1361"/>
      <c r="FA637" s="1361"/>
    </row>
    <row r="638" spans="2:157" ht="12.95" customHeight="1">
      <c r="B638" s="52" t="s">
        <v>363</v>
      </c>
      <c r="C638" s="1492"/>
      <c r="D638" s="1492"/>
      <c r="E638" s="1492"/>
      <c r="F638" s="1492"/>
      <c r="G638" s="1492"/>
      <c r="H638" s="1492"/>
      <c r="I638" s="1492"/>
      <c r="J638" s="1492"/>
      <c r="K638" s="1492"/>
      <c r="L638" s="1492"/>
      <c r="M638" s="1493" t="s">
        <v>1185</v>
      </c>
      <c r="N638" s="1493"/>
      <c r="O638" s="1493"/>
      <c r="P638" s="1493"/>
      <c r="Q638" s="1483"/>
      <c r="R638" s="1484"/>
      <c r="S638" s="1485"/>
      <c r="T638" s="1483"/>
      <c r="U638" s="1484"/>
      <c r="V638" s="1485"/>
      <c r="W638" s="1479"/>
      <c r="X638" s="1480"/>
      <c r="Y638" s="1481"/>
      <c r="Z638" s="1469" t="s">
        <v>1185</v>
      </c>
      <c r="AA638" s="1470"/>
      <c r="AB638" s="1471"/>
      <c r="AC638" s="1395"/>
      <c r="AD638" s="1396"/>
      <c r="AE638" s="1397"/>
      <c r="AF638" s="1496"/>
      <c r="AG638" s="1497"/>
      <c r="AH638" s="1497"/>
      <c r="AI638" s="1497"/>
      <c r="AJ638" s="1498"/>
      <c r="AK638" s="1508"/>
      <c r="AL638" s="1509"/>
      <c r="AM638" s="1509"/>
      <c r="AN638" s="1510"/>
      <c r="AO638" s="1468"/>
      <c r="AP638" s="1356"/>
      <c r="AQ638" s="1356"/>
      <c r="AR638" s="1356"/>
      <c r="AS638" s="1357"/>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1" t="e">
        <f t="shared" si="2"/>
        <v>#VALUE!</v>
      </c>
      <c r="DY638" s="1361"/>
      <c r="DZ638" s="1361"/>
      <c r="EA638" s="1361"/>
      <c r="EB638" s="1361"/>
      <c r="EC638" s="1361">
        <f t="shared" si="3"/>
        <v>17.625</v>
      </c>
      <c r="ED638" s="1361"/>
      <c r="EE638" s="1361"/>
      <c r="EF638" s="1361"/>
      <c r="EG638" s="1361"/>
      <c r="EH638" s="1361" t="e">
        <f t="shared" si="4"/>
        <v>#VALUE!</v>
      </c>
      <c r="EI638" s="1361"/>
      <c r="EJ638" s="1361"/>
      <c r="EK638" s="1361"/>
      <c r="EL638" s="1361"/>
      <c r="EM638" s="1361" t="e">
        <f t="shared" si="5"/>
        <v>#VALUE!</v>
      </c>
      <c r="EN638" s="1361"/>
      <c r="EO638" s="1361"/>
      <c r="EP638" s="1361"/>
      <c r="EQ638" s="1361"/>
      <c r="ER638" s="1361" t="e">
        <f t="shared" si="6"/>
        <v>#VALUE!</v>
      </c>
      <c r="ES638" s="1361"/>
      <c r="ET638" s="1361"/>
      <c r="EU638" s="1361"/>
      <c r="EV638" s="1361"/>
      <c r="EW638" s="1361" t="e">
        <f t="shared" si="7"/>
        <v>#VALUE!</v>
      </c>
      <c r="EX638" s="1361"/>
      <c r="EY638" s="1361"/>
      <c r="EZ638" s="1361"/>
      <c r="FA638" s="1361"/>
    </row>
    <row r="639" spans="2:157" ht="12.95" customHeight="1">
      <c r="B639" s="1472" t="s">
        <v>128</v>
      </c>
      <c r="C639" s="1473"/>
      <c r="D639" s="1473"/>
      <c r="E639" s="1473"/>
      <c r="F639" s="1473"/>
      <c r="G639" s="1473"/>
      <c r="H639" s="1473"/>
      <c r="I639" s="1473"/>
      <c r="J639" s="1473"/>
      <c r="K639" s="1473"/>
      <c r="L639" s="1473"/>
      <c r="M639" s="1473"/>
      <c r="N639" s="1473"/>
      <c r="O639" s="1473"/>
      <c r="P639" s="1473"/>
      <c r="Q639" s="1473"/>
      <c r="R639" s="1473"/>
      <c r="S639" s="1473"/>
      <c r="T639" s="1473"/>
      <c r="U639" s="1473"/>
      <c r="V639" s="1473"/>
      <c r="W639" s="1473"/>
      <c r="X639" s="1473"/>
      <c r="Y639" s="1473"/>
      <c r="Z639" s="1473"/>
      <c r="AA639" s="1473"/>
      <c r="AB639" s="1473"/>
      <c r="AC639" s="1473"/>
      <c r="AD639" s="1473"/>
      <c r="AE639" s="1473"/>
      <c r="AF639" s="1473"/>
      <c r="AG639" s="1473"/>
      <c r="AH639" s="1473"/>
      <c r="AI639" s="1473"/>
      <c r="AJ639" s="1473"/>
      <c r="AK639" s="1473"/>
      <c r="AL639" s="1473"/>
      <c r="AM639" s="1473"/>
      <c r="AN639" s="1475"/>
      <c r="AO639" s="1465">
        <f>SUM(AO627:AR638)</f>
        <v>44042100</v>
      </c>
      <c r="AP639" s="1466"/>
      <c r="AQ639" s="1466"/>
      <c r="AR639" s="1466"/>
      <c r="AS639" s="146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1" t="e">
        <f t="shared" si="2"/>
        <v>#VALUE!</v>
      </c>
      <c r="DY639" s="1361"/>
      <c r="DZ639" s="1361"/>
      <c r="EA639" s="1361"/>
      <c r="EB639" s="1361"/>
      <c r="EC639" s="1361" t="e">
        <f t="shared" si="3"/>
        <v>#VALUE!</v>
      </c>
      <c r="ED639" s="1361"/>
      <c r="EE639" s="1361"/>
      <c r="EF639" s="1361"/>
      <c r="EG639" s="1361"/>
      <c r="EH639" s="1361">
        <f t="shared" si="4"/>
        <v>47</v>
      </c>
      <c r="EI639" s="1361"/>
      <c r="EJ639" s="1361"/>
      <c r="EK639" s="1361"/>
      <c r="EL639" s="1361"/>
      <c r="EM639" s="1361" t="e">
        <f t="shared" si="5"/>
        <v>#VALUE!</v>
      </c>
      <c r="EN639" s="1361"/>
      <c r="EO639" s="1361"/>
      <c r="EP639" s="1361"/>
      <c r="EQ639" s="1361"/>
      <c r="ER639" s="1361" t="e">
        <f t="shared" si="6"/>
        <v>#VALUE!</v>
      </c>
      <c r="ES639" s="1361"/>
      <c r="ET639" s="1361"/>
      <c r="EU639" s="1361"/>
      <c r="EV639" s="1361"/>
      <c r="EW639" s="1361" t="e">
        <f t="shared" si="7"/>
        <v>#VALUE!</v>
      </c>
      <c r="EX639" s="1361"/>
      <c r="EY639" s="1361"/>
      <c r="EZ639" s="1361"/>
      <c r="FA639" s="1361"/>
    </row>
    <row r="640" spans="2:157" ht="12.95" customHeight="1">
      <c r="B640" s="1472" t="s">
        <v>267</v>
      </c>
      <c r="C640" s="1473"/>
      <c r="D640" s="1473"/>
      <c r="E640" s="1473"/>
      <c r="F640" s="1473"/>
      <c r="G640" s="1473"/>
      <c r="H640" s="1473"/>
      <c r="I640" s="1473"/>
      <c r="J640" s="1473"/>
      <c r="K640" s="1473"/>
      <c r="L640" s="1473"/>
      <c r="M640" s="1473"/>
      <c r="N640" s="1473"/>
      <c r="O640" s="1473"/>
      <c r="P640" s="1473"/>
      <c r="Q640" s="1473"/>
      <c r="R640" s="1473"/>
      <c r="S640" s="1473"/>
      <c r="T640" s="1473"/>
      <c r="U640" s="1473"/>
      <c r="V640" s="1473"/>
      <c r="W640" s="1473"/>
      <c r="X640" s="1473"/>
      <c r="Y640" s="1473"/>
      <c r="Z640" s="1473"/>
      <c r="AA640" s="1473"/>
      <c r="AB640" s="1473"/>
      <c r="AC640" s="1473"/>
      <c r="AD640" s="1473"/>
      <c r="AE640" s="1473"/>
      <c r="AF640" s="1473"/>
      <c r="AG640" s="1473"/>
      <c r="AH640" s="1473"/>
      <c r="AI640" s="1473"/>
      <c r="AJ640" s="1473"/>
      <c r="AK640" s="1473"/>
      <c r="AL640" s="1473"/>
      <c r="AM640" s="1473"/>
      <c r="AN640" s="1475"/>
      <c r="AO640" s="1468">
        <v>27738016</v>
      </c>
      <c r="AP640" s="1356"/>
      <c r="AQ640" s="1356"/>
      <c r="AR640" s="1356"/>
      <c r="AS640" s="135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1" t="e">
        <f t="shared" si="2"/>
        <v>#VALUE!</v>
      </c>
      <c r="DY640" s="1361"/>
      <c r="DZ640" s="1361"/>
      <c r="EA640" s="1361"/>
      <c r="EB640" s="1361"/>
      <c r="EC640" s="1361" t="e">
        <f t="shared" si="3"/>
        <v>#VALUE!</v>
      </c>
      <c r="ED640" s="1361"/>
      <c r="EE640" s="1361"/>
      <c r="EF640" s="1361"/>
      <c r="EG640" s="1361"/>
      <c r="EH640" s="1361" t="e">
        <f t="shared" si="4"/>
        <v>#VALUE!</v>
      </c>
      <c r="EI640" s="1361"/>
      <c r="EJ640" s="1361"/>
      <c r="EK640" s="1361"/>
      <c r="EL640" s="1361"/>
      <c r="EM640" s="1361">
        <f t="shared" si="5"/>
        <v>83.742857142857147</v>
      </c>
      <c r="EN640" s="1361"/>
      <c r="EO640" s="1361"/>
      <c r="EP640" s="1361"/>
      <c r="EQ640" s="1361"/>
      <c r="ER640" s="1361" t="e">
        <f t="shared" si="6"/>
        <v>#VALUE!</v>
      </c>
      <c r="ES640" s="1361"/>
      <c r="ET640" s="1361"/>
      <c r="EU640" s="1361"/>
      <c r="EV640" s="1361"/>
      <c r="EW640" s="1361" t="e">
        <f t="shared" si="7"/>
        <v>#VALUE!</v>
      </c>
      <c r="EX640" s="1361"/>
      <c r="EY640" s="1361"/>
      <c r="EZ640" s="1361"/>
      <c r="FA640" s="1361"/>
    </row>
    <row r="641" spans="1:157" ht="12.95" customHeight="1">
      <c r="B641" s="1728" t="s">
        <v>268</v>
      </c>
      <c r="C641" s="1474"/>
      <c r="D641" s="1474"/>
      <c r="E641" s="1474"/>
      <c r="F641" s="1474"/>
      <c r="G641" s="1474"/>
      <c r="H641" s="1474"/>
      <c r="I641" s="1474"/>
      <c r="J641" s="1474"/>
      <c r="K641" s="1474"/>
      <c r="L641" s="1474"/>
      <c r="M641" s="1474"/>
      <c r="N641" s="1474"/>
      <c r="O641" s="1474"/>
      <c r="P641" s="1474"/>
      <c r="Q641" s="1474"/>
      <c r="R641" s="1474"/>
      <c r="S641" s="1474"/>
      <c r="T641" s="1474"/>
      <c r="U641" s="1474"/>
      <c r="V641" s="1474"/>
      <c r="W641" s="1474"/>
      <c r="X641" s="1474"/>
      <c r="Y641" s="1474"/>
      <c r="Z641" s="1474"/>
      <c r="AA641" s="1474"/>
      <c r="AB641" s="1474"/>
      <c r="AC641" s="1474"/>
      <c r="AD641" s="1474"/>
      <c r="AE641" s="1474"/>
      <c r="AF641" s="1474"/>
      <c r="AG641" s="1474"/>
      <c r="AH641" s="1474"/>
      <c r="AI641" s="1474"/>
      <c r="AJ641" s="1474"/>
      <c r="AK641" s="1474"/>
      <c r="AL641" s="1474"/>
      <c r="AM641" s="1474"/>
      <c r="AN641" s="1729"/>
      <c r="AO641" s="1465">
        <f>AO639+AO640</f>
        <v>71780116</v>
      </c>
      <c r="AP641" s="1466"/>
      <c r="AQ641" s="1466"/>
      <c r="AR641" s="1466"/>
      <c r="AS641" s="146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1" t="e">
        <f t="shared" si="2"/>
        <v>#VALUE!</v>
      </c>
      <c r="DY641" s="1361"/>
      <c r="DZ641" s="1361"/>
      <c r="EA641" s="1361"/>
      <c r="EB641" s="1361"/>
      <c r="EC641" s="1361">
        <f t="shared" si="3"/>
        <v>26.425000000000001</v>
      </c>
      <c r="ED641" s="1361"/>
      <c r="EE641" s="1361"/>
      <c r="EF641" s="1361"/>
      <c r="EG641" s="1361"/>
      <c r="EH641" s="1361" t="e">
        <f t="shared" si="4"/>
        <v>#VALUE!</v>
      </c>
      <c r="EI641" s="1361"/>
      <c r="EJ641" s="1361"/>
      <c r="EK641" s="1361"/>
      <c r="EL641" s="1361"/>
      <c r="EM641" s="1361" t="e">
        <f t="shared" si="5"/>
        <v>#VALUE!</v>
      </c>
      <c r="EN641" s="1361"/>
      <c r="EO641" s="1361"/>
      <c r="EP641" s="1361"/>
      <c r="EQ641" s="1361"/>
      <c r="ER641" s="1361" t="e">
        <f t="shared" si="6"/>
        <v>#VALUE!</v>
      </c>
      <c r="ES641" s="1361"/>
      <c r="ET641" s="1361"/>
      <c r="EU641" s="1361"/>
      <c r="EV641" s="1361"/>
      <c r="EW641" s="1361" t="e">
        <f t="shared" si="7"/>
        <v>#VALUE!</v>
      </c>
      <c r="EX641" s="1361"/>
      <c r="EY641" s="1361"/>
      <c r="EZ641" s="1361"/>
      <c r="FA641" s="1361"/>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1" t="e">
        <f t="shared" si="2"/>
        <v>#VALUE!</v>
      </c>
      <c r="DY642" s="1361"/>
      <c r="DZ642" s="1361"/>
      <c r="EA642" s="1361"/>
      <c r="EB642" s="1361"/>
      <c r="EC642" s="1361" t="e">
        <f t="shared" si="3"/>
        <v>#VALUE!</v>
      </c>
      <c r="ED642" s="1361"/>
      <c r="EE642" s="1361"/>
      <c r="EF642" s="1361"/>
      <c r="EG642" s="1361"/>
      <c r="EH642" s="1361">
        <f t="shared" si="4"/>
        <v>94</v>
      </c>
      <c r="EI642" s="1361"/>
      <c r="EJ642" s="1361"/>
      <c r="EK642" s="1361"/>
      <c r="EL642" s="1361"/>
      <c r="EM642" s="1361" t="e">
        <f t="shared" si="5"/>
        <v>#VALUE!</v>
      </c>
      <c r="EN642" s="1361"/>
      <c r="EO642" s="1361"/>
      <c r="EP642" s="1361"/>
      <c r="EQ642" s="1361"/>
      <c r="ER642" s="1361" t="e">
        <f t="shared" si="6"/>
        <v>#VALUE!</v>
      </c>
      <c r="ES642" s="1361"/>
      <c r="ET642" s="1361"/>
      <c r="EU642" s="1361"/>
      <c r="EV642" s="1361"/>
      <c r="EW642" s="1361" t="e">
        <f t="shared" si="7"/>
        <v>#VALUE!</v>
      </c>
      <c r="EX642" s="1361"/>
      <c r="EY642" s="1361"/>
      <c r="EZ642" s="1361"/>
      <c r="FA642" s="1361"/>
    </row>
    <row r="643" spans="1:157" ht="12.95" customHeight="1">
      <c r="A643" s="55" t="s">
        <v>112</v>
      </c>
      <c r="B643" t="s">
        <v>464</v>
      </c>
      <c r="G643" s="1482" t="str">
        <f>C627</f>
        <v>R4 Capital Permanent Loan</v>
      </c>
      <c r="H643" s="1482"/>
      <c r="I643" s="1482"/>
      <c r="J643" s="1482"/>
      <c r="K643" s="1482"/>
      <c r="L643" s="1482"/>
      <c r="M643" s="1482"/>
      <c r="N643" s="1482"/>
      <c r="O643" s="1482"/>
      <c r="P643" s="1482"/>
      <c r="Q643" s="1482"/>
      <c r="R643" s="1482"/>
      <c r="S643" s="8"/>
      <c r="T643" s="55" t="s">
        <v>113</v>
      </c>
      <c r="U643" t="s">
        <v>464</v>
      </c>
      <c r="Z643" s="1482" t="str">
        <f>C628</f>
        <v>HCD Infill Insfrastructure Grant</v>
      </c>
      <c r="AA643" s="1482"/>
      <c r="AB643" s="1482"/>
      <c r="AC643" s="1482"/>
      <c r="AD643" s="1482"/>
      <c r="AE643" s="1482"/>
      <c r="AF643" s="1482"/>
      <c r="AG643" s="1482"/>
      <c r="AH643" s="1482"/>
      <c r="AI643" s="1482"/>
      <c r="AJ643" s="1482"/>
      <c r="AK643" s="1482"/>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1" t="e">
        <f t="shared" si="2"/>
        <v>#VALUE!</v>
      </c>
      <c r="DY643" s="1361"/>
      <c r="DZ643" s="1361"/>
      <c r="EA643" s="1361"/>
      <c r="EB643" s="1361"/>
      <c r="EC643" s="1361" t="e">
        <f t="shared" si="3"/>
        <v>#VALUE!</v>
      </c>
      <c r="ED643" s="1361"/>
      <c r="EE643" s="1361"/>
      <c r="EF643" s="1361"/>
      <c r="EG643" s="1361"/>
      <c r="EH643" s="1361" t="e">
        <f t="shared" si="4"/>
        <v>#VALUE!</v>
      </c>
      <c r="EI643" s="1361"/>
      <c r="EJ643" s="1361"/>
      <c r="EK643" s="1361"/>
      <c r="EL643" s="1361"/>
      <c r="EM643" s="1361">
        <f t="shared" si="5"/>
        <v>125.57142857142857</v>
      </c>
      <c r="EN643" s="1361"/>
      <c r="EO643" s="1361"/>
      <c r="EP643" s="1361"/>
      <c r="EQ643" s="1361"/>
      <c r="ER643" s="1361" t="e">
        <f t="shared" si="6"/>
        <v>#VALUE!</v>
      </c>
      <c r="ES643" s="1361"/>
      <c r="ET643" s="1361"/>
      <c r="EU643" s="1361"/>
      <c r="EV643" s="1361"/>
      <c r="EW643" s="1361" t="e">
        <f t="shared" si="7"/>
        <v>#VALUE!</v>
      </c>
      <c r="EX643" s="1361"/>
      <c r="EY643" s="1361"/>
      <c r="EZ643" s="1361"/>
      <c r="FA643" s="1361"/>
    </row>
    <row r="644" spans="1:157" ht="12.95" customHeight="1">
      <c r="A644" s="22"/>
      <c r="B644" t="s">
        <v>85</v>
      </c>
      <c r="G644" s="1333" t="s">
        <v>2679</v>
      </c>
      <c r="H644" s="1333"/>
      <c r="I644" s="1333"/>
      <c r="J644" s="1333"/>
      <c r="K644" s="1333"/>
      <c r="L644" s="1333"/>
      <c r="M644" s="1333"/>
      <c r="N644" s="1333"/>
      <c r="O644" s="1333"/>
      <c r="P644" s="1333"/>
      <c r="Q644" s="1333"/>
      <c r="R644" s="1333"/>
      <c r="S644" s="8"/>
      <c r="T644" s="22"/>
      <c r="U644" t="s">
        <v>85</v>
      </c>
      <c r="Z644" s="1333" t="s">
        <v>2722</v>
      </c>
      <c r="AA644" s="1333"/>
      <c r="AB644" s="1333"/>
      <c r="AC644" s="1333"/>
      <c r="AD644" s="1333"/>
      <c r="AE644" s="1333"/>
      <c r="AF644" s="1333"/>
      <c r="AG644" s="1333"/>
      <c r="AH644" s="1333"/>
      <c r="AI644" s="1333"/>
      <c r="AJ644" s="1333"/>
      <c r="AK644" s="1333"/>
      <c r="AV644" s="3"/>
      <c r="AW644" s="3"/>
      <c r="AX644" s="3"/>
      <c r="AY644" s="3"/>
      <c r="AZ644" s="3"/>
      <c r="BA644" s="3"/>
      <c r="BB644" s="3"/>
      <c r="BC644" s="3"/>
      <c r="BD644" s="3"/>
      <c r="BE644" s="3"/>
      <c r="BF644" s="3"/>
      <c r="BG644" s="3"/>
      <c r="BH644" s="3"/>
      <c r="BI644" s="3"/>
      <c r="BJ644" s="3"/>
      <c r="BK644" s="3"/>
      <c r="BL644" s="3"/>
      <c r="BM644" s="3"/>
      <c r="DX644" s="1361" t="e">
        <f t="shared" si="2"/>
        <v>#VALUE!</v>
      </c>
      <c r="DY644" s="1361"/>
      <c r="DZ644" s="1361"/>
      <c r="EA644" s="1361"/>
      <c r="EB644" s="1361"/>
      <c r="EC644" s="1361">
        <f t="shared" si="3"/>
        <v>449.22499999999997</v>
      </c>
      <c r="ED644" s="1361"/>
      <c r="EE644" s="1361"/>
      <c r="EF644" s="1361"/>
      <c r="EG644" s="1361"/>
      <c r="EH644" s="1361" t="e">
        <f t="shared" si="4"/>
        <v>#VALUE!</v>
      </c>
      <c r="EI644" s="1361"/>
      <c r="EJ644" s="1361"/>
      <c r="EK644" s="1361"/>
      <c r="EL644" s="1361"/>
      <c r="EM644" s="1361" t="e">
        <f t="shared" si="5"/>
        <v>#VALUE!</v>
      </c>
      <c r="EN644" s="1361"/>
      <c r="EO644" s="1361"/>
      <c r="EP644" s="1361"/>
      <c r="EQ644" s="1361"/>
      <c r="ER644" s="1361" t="e">
        <f t="shared" si="6"/>
        <v>#VALUE!</v>
      </c>
      <c r="ES644" s="1361"/>
      <c r="ET644" s="1361"/>
      <c r="EU644" s="1361"/>
      <c r="EV644" s="1361"/>
      <c r="EW644" s="1361" t="e">
        <f t="shared" si="7"/>
        <v>#VALUE!</v>
      </c>
      <c r="EX644" s="1361"/>
      <c r="EY644" s="1361"/>
      <c r="EZ644" s="1361"/>
      <c r="FA644" s="1361"/>
    </row>
    <row r="645" spans="1:157" ht="12.95" customHeight="1">
      <c r="A645" s="22"/>
      <c r="B645" t="s">
        <v>581</v>
      </c>
      <c r="G645" s="1333" t="s">
        <v>2719</v>
      </c>
      <c r="H645" s="1333"/>
      <c r="I645" s="1333"/>
      <c r="J645" s="1333"/>
      <c r="K645" s="1333"/>
      <c r="L645" s="1333"/>
      <c r="M645" s="1333"/>
      <c r="N645" s="1333"/>
      <c r="O645" s="1333"/>
      <c r="P645" s="1333"/>
      <c r="Q645" s="1333"/>
      <c r="R645" s="1333"/>
      <c r="T645" s="22"/>
      <c r="U645" t="s">
        <v>581</v>
      </c>
      <c r="Z645" s="1332" t="s">
        <v>68</v>
      </c>
      <c r="AA645" s="1332"/>
      <c r="AB645" s="1332"/>
      <c r="AC645" s="1332"/>
      <c r="AD645" s="1332"/>
      <c r="AE645" s="1332"/>
      <c r="AF645" s="1332"/>
      <c r="AG645" s="1332"/>
      <c r="AH645" s="1332"/>
      <c r="AI645" s="1332"/>
      <c r="AJ645" s="1332"/>
      <c r="AK645" s="1332"/>
      <c r="AV645" s="3"/>
      <c r="AW645" s="3"/>
      <c r="AX645" s="3"/>
      <c r="AY645" s="3"/>
      <c r="AZ645" s="3"/>
      <c r="BA645" s="3"/>
      <c r="BB645" s="3"/>
      <c r="BC645" s="3"/>
      <c r="BD645" s="3"/>
      <c r="BE645" s="3"/>
      <c r="BF645" s="3"/>
      <c r="BG645" s="3"/>
      <c r="BH645" s="3"/>
      <c r="BI645" s="3"/>
      <c r="BJ645" s="3"/>
      <c r="BK645" s="3"/>
      <c r="BL645" s="3"/>
      <c r="BM645" s="3"/>
      <c r="DX645" s="1361" t="e">
        <f t="shared" si="2"/>
        <v>#VALUE!</v>
      </c>
      <c r="DY645" s="1361"/>
      <c r="DZ645" s="1361"/>
      <c r="EA645" s="1361"/>
      <c r="EB645" s="1361"/>
      <c r="EC645" s="1361" t="e">
        <f t="shared" si="3"/>
        <v>#VALUE!</v>
      </c>
      <c r="ED645" s="1361"/>
      <c r="EE645" s="1361"/>
      <c r="EF645" s="1361"/>
      <c r="EG645" s="1361"/>
      <c r="EH645" s="1361">
        <f t="shared" si="4"/>
        <v>987</v>
      </c>
      <c r="EI645" s="1361"/>
      <c r="EJ645" s="1361"/>
      <c r="EK645" s="1361"/>
      <c r="EL645" s="1361"/>
      <c r="EM645" s="1361" t="e">
        <f t="shared" si="5"/>
        <v>#VALUE!</v>
      </c>
      <c r="EN645" s="1361"/>
      <c r="EO645" s="1361"/>
      <c r="EP645" s="1361"/>
      <c r="EQ645" s="1361"/>
      <c r="ER645" s="1361" t="e">
        <f t="shared" si="6"/>
        <v>#VALUE!</v>
      </c>
      <c r="ES645" s="1361"/>
      <c r="ET645" s="1361"/>
      <c r="EU645" s="1361"/>
      <c r="EV645" s="1361"/>
      <c r="EW645" s="1361" t="e">
        <f t="shared" si="7"/>
        <v>#VALUE!</v>
      </c>
      <c r="EX645" s="1361"/>
      <c r="EY645" s="1361"/>
      <c r="EZ645" s="1361"/>
      <c r="FA645" s="1361"/>
    </row>
    <row r="646" spans="1:157" ht="12.95" customHeight="1">
      <c r="A646" s="22"/>
      <c r="B646" t="s">
        <v>17</v>
      </c>
      <c r="G646" s="1333" t="s">
        <v>2681</v>
      </c>
      <c r="H646" s="1333"/>
      <c r="I646" s="1333"/>
      <c r="J646" s="1333"/>
      <c r="K646" s="1333"/>
      <c r="L646" s="1333"/>
      <c r="M646" s="1333"/>
      <c r="N646" s="1333"/>
      <c r="O646" s="1333"/>
      <c r="P646" s="1333"/>
      <c r="Q646" s="1333"/>
      <c r="R646" s="1333"/>
      <c r="S646" s="8"/>
      <c r="T646" s="22"/>
      <c r="U646" t="s">
        <v>17</v>
      </c>
      <c r="Z646" s="1332" t="s">
        <v>2728</v>
      </c>
      <c r="AA646" s="1332"/>
      <c r="AB646" s="1332"/>
      <c r="AC646" s="1332"/>
      <c r="AD646" s="1332"/>
      <c r="AE646" s="1332"/>
      <c r="AF646" s="1332"/>
      <c r="AG646" s="1332"/>
      <c r="AH646" s="1332"/>
      <c r="AI646" s="1332"/>
      <c r="AJ646" s="1332"/>
      <c r="AK646" s="1332"/>
      <c r="AZ646" s="3"/>
      <c r="BA646" s="3"/>
      <c r="BB646" s="3"/>
      <c r="BC646" s="3"/>
      <c r="BD646" s="3"/>
      <c r="BE646" s="3"/>
      <c r="BF646" s="3"/>
      <c r="BG646" s="3"/>
      <c r="BH646" s="3"/>
      <c r="BI646" s="3"/>
      <c r="BJ646" s="3"/>
      <c r="BK646" s="3"/>
      <c r="BL646" s="3"/>
      <c r="BM646" s="3"/>
      <c r="DX646" s="1361" t="e">
        <f t="shared" si="2"/>
        <v>#VALUE!</v>
      </c>
      <c r="DY646" s="1361"/>
      <c r="DZ646" s="1361"/>
      <c r="EA646" s="1361"/>
      <c r="EB646" s="1361"/>
      <c r="EC646" s="1361" t="e">
        <f t="shared" si="3"/>
        <v>#VALUE!</v>
      </c>
      <c r="ED646" s="1361"/>
      <c r="EE646" s="1361"/>
      <c r="EF646" s="1361"/>
      <c r="EG646" s="1361"/>
      <c r="EH646" s="1361" t="e">
        <f t="shared" si="4"/>
        <v>#VALUE!</v>
      </c>
      <c r="EI646" s="1361"/>
      <c r="EJ646" s="1361"/>
      <c r="EK646" s="1361"/>
      <c r="EL646" s="1361"/>
      <c r="EM646" s="1361">
        <f t="shared" si="5"/>
        <v>1004.5714285714286</v>
      </c>
      <c r="EN646" s="1361"/>
      <c r="EO646" s="1361"/>
      <c r="EP646" s="1361"/>
      <c r="EQ646" s="1361"/>
      <c r="ER646" s="1361" t="e">
        <f t="shared" si="6"/>
        <v>#VALUE!</v>
      </c>
      <c r="ES646" s="1361"/>
      <c r="ET646" s="1361"/>
      <c r="EU646" s="1361"/>
      <c r="EV646" s="1361"/>
      <c r="EW646" s="1361" t="e">
        <f t="shared" si="7"/>
        <v>#VALUE!</v>
      </c>
      <c r="EX646" s="1361"/>
      <c r="EY646" s="1361"/>
      <c r="EZ646" s="1361"/>
      <c r="FA646" s="1361"/>
    </row>
    <row r="647" spans="1:157" ht="12.95" customHeight="1">
      <c r="A647" s="22"/>
      <c r="B647" t="s">
        <v>316</v>
      </c>
      <c r="G647" s="1494" t="s">
        <v>2682</v>
      </c>
      <c r="H647" s="1494"/>
      <c r="I647" s="1494"/>
      <c r="J647" s="1494"/>
      <c r="K647" s="1494"/>
      <c r="L647" s="1494"/>
      <c r="O647" s="33" t="s">
        <v>206</v>
      </c>
      <c r="P647" s="1464"/>
      <c r="Q647" s="1464"/>
      <c r="R647" s="1464"/>
      <c r="S647" s="10"/>
      <c r="T647" s="22"/>
      <c r="U647" t="s">
        <v>316</v>
      </c>
      <c r="Z647" s="1494" t="s">
        <v>2724</v>
      </c>
      <c r="AA647" s="1494"/>
      <c r="AB647" s="1494"/>
      <c r="AC647" s="1494"/>
      <c r="AD647" s="1494"/>
      <c r="AE647" s="1494"/>
      <c r="AH647" s="33" t="s">
        <v>206</v>
      </c>
      <c r="AI647" s="1464"/>
      <c r="AJ647" s="1464"/>
      <c r="AK647" s="1464"/>
      <c r="AZ647" s="34"/>
      <c r="BA647" s="34"/>
      <c r="BB647" s="34"/>
      <c r="BC647" s="34"/>
      <c r="BD647" s="34"/>
      <c r="BE647" s="34"/>
      <c r="BF647" s="34"/>
      <c r="BG647" s="34"/>
      <c r="BH647" s="34"/>
      <c r="BI647" s="34"/>
      <c r="BJ647" s="34"/>
      <c r="BK647" s="34"/>
      <c r="BL647" s="34"/>
      <c r="BM647" s="34"/>
      <c r="DX647" s="1361" t="e">
        <f t="shared" si="2"/>
        <v>#VALUE!</v>
      </c>
      <c r="DY647" s="1361"/>
      <c r="DZ647" s="1361"/>
      <c r="EA647" s="1361"/>
      <c r="EB647" s="1361"/>
      <c r="EC647" s="1361" t="e">
        <f t="shared" si="3"/>
        <v>#VALUE!</v>
      </c>
      <c r="ED647" s="1361"/>
      <c r="EE647" s="1361"/>
      <c r="EF647" s="1361"/>
      <c r="EG647" s="1361"/>
      <c r="EH647" s="1361" t="e">
        <f t="shared" si="4"/>
        <v>#VALUE!</v>
      </c>
      <c r="EI647" s="1361"/>
      <c r="EJ647" s="1361"/>
      <c r="EK647" s="1361"/>
      <c r="EL647" s="1361"/>
      <c r="EM647" s="1361" t="e">
        <f t="shared" si="5"/>
        <v>#VALUE!</v>
      </c>
      <c r="EN647" s="1361"/>
      <c r="EO647" s="1361"/>
      <c r="EP647" s="1361"/>
      <c r="EQ647" s="1361"/>
      <c r="ER647" s="1361">
        <f t="shared" si="6"/>
        <v>1635</v>
      </c>
      <c r="ES647" s="1361"/>
      <c r="ET647" s="1361"/>
      <c r="EU647" s="1361"/>
      <c r="EV647" s="1361"/>
      <c r="EW647" s="1361" t="e">
        <f t="shared" si="7"/>
        <v>#VALUE!</v>
      </c>
      <c r="EX647" s="1361"/>
      <c r="EY647" s="1361"/>
      <c r="EZ647" s="1361"/>
      <c r="FA647" s="1361"/>
    </row>
    <row r="648" spans="1:157" ht="12.95" customHeight="1">
      <c r="A648" s="22"/>
      <c r="B648" t="s">
        <v>18</v>
      </c>
      <c r="H648" s="1333" t="s">
        <v>2729</v>
      </c>
      <c r="I648" s="1333"/>
      <c r="J648" s="1333"/>
      <c r="K648" s="1333"/>
      <c r="L648" s="1333"/>
      <c r="M648" s="1333"/>
      <c r="N648" s="1333"/>
      <c r="O648" s="1333"/>
      <c r="P648" s="1333"/>
      <c r="Q648" s="1333"/>
      <c r="R648" s="1333"/>
      <c r="S648" s="8"/>
      <c r="T648" s="22"/>
      <c r="U648" t="s">
        <v>18</v>
      </c>
      <c r="AA648" s="1333" t="s">
        <v>2113</v>
      </c>
      <c r="AB648" s="1333"/>
      <c r="AC648" s="1333"/>
      <c r="AD648" s="1333"/>
      <c r="AE648" s="1333"/>
      <c r="AF648" s="1333"/>
      <c r="AG648" s="1333"/>
      <c r="AH648" s="1333"/>
      <c r="AI648" s="1333"/>
      <c r="AJ648" s="1333"/>
      <c r="AK648" s="1333"/>
      <c r="AZ648" s="34"/>
      <c r="BA648" s="34"/>
      <c r="BB648" s="34"/>
      <c r="BC648" s="34"/>
      <c r="BD648" s="34"/>
      <c r="BE648" s="34"/>
      <c r="BF648" s="34"/>
      <c r="BG648" s="34"/>
      <c r="BH648" s="34"/>
      <c r="BI648" s="34"/>
      <c r="BJ648" s="34"/>
      <c r="BK648" s="34"/>
      <c r="BL648" s="34"/>
      <c r="BM648" s="34"/>
      <c r="DX648" s="1361" t="e">
        <f t="shared" si="2"/>
        <v>#VALUE!</v>
      </c>
      <c r="DY648" s="1361"/>
      <c r="DZ648" s="1361"/>
      <c r="EA648" s="1361"/>
      <c r="EB648" s="1361"/>
      <c r="EC648" s="1361">
        <f t="shared" si="3"/>
        <v>52.875</v>
      </c>
      <c r="ED648" s="1361"/>
      <c r="EE648" s="1361"/>
      <c r="EF648" s="1361"/>
      <c r="EG648" s="1361"/>
      <c r="EH648" s="1361" t="e">
        <f t="shared" si="4"/>
        <v>#VALUE!</v>
      </c>
      <c r="EI648" s="1361"/>
      <c r="EJ648" s="1361"/>
      <c r="EK648" s="1361"/>
      <c r="EL648" s="1361"/>
      <c r="EM648" s="1361" t="e">
        <f t="shared" si="5"/>
        <v>#VALUE!</v>
      </c>
      <c r="EN648" s="1361"/>
      <c r="EO648" s="1361"/>
      <c r="EP648" s="1361"/>
      <c r="EQ648" s="1361"/>
      <c r="ER648" s="1361" t="e">
        <f t="shared" si="6"/>
        <v>#VALUE!</v>
      </c>
      <c r="ES648" s="1361"/>
      <c r="ET648" s="1361"/>
      <c r="EU648" s="1361"/>
      <c r="EV648" s="1361"/>
      <c r="EW648" s="1361" t="e">
        <f t="shared" si="7"/>
        <v>#VALUE!</v>
      </c>
      <c r="EX648" s="1361"/>
      <c r="EY648" s="1361"/>
      <c r="EZ648" s="1361"/>
      <c r="FA648" s="1361"/>
    </row>
    <row r="649" spans="1:157" ht="12.95" customHeight="1">
      <c r="A649" s="22"/>
      <c r="B649" t="s">
        <v>20</v>
      </c>
      <c r="N649" s="1433" t="s">
        <v>546</v>
      </c>
      <c r="O649" s="1433"/>
      <c r="T649" s="22"/>
      <c r="U649" t="s">
        <v>20</v>
      </c>
      <c r="AG649" s="1433" t="s">
        <v>546</v>
      </c>
      <c r="AH649" s="1433"/>
      <c r="AZ649" s="34"/>
      <c r="BA649" s="34"/>
      <c r="BB649" s="34"/>
      <c r="BC649" s="34"/>
      <c r="BD649" s="34"/>
      <c r="BE649" s="34"/>
      <c r="BF649" s="34"/>
      <c r="BG649" s="34"/>
      <c r="BH649" s="34"/>
      <c r="BI649" s="34"/>
      <c r="BJ649" s="34"/>
      <c r="BK649" s="34"/>
      <c r="BL649" s="34"/>
      <c r="BM649" s="34"/>
      <c r="DX649" s="1361" t="e">
        <f t="shared" si="2"/>
        <v>#VALUE!</v>
      </c>
      <c r="DY649" s="1361"/>
      <c r="DZ649" s="1361"/>
      <c r="EA649" s="1361"/>
      <c r="EB649" s="1361"/>
      <c r="EC649" s="1361" t="e">
        <f t="shared" si="3"/>
        <v>#VALUE!</v>
      </c>
      <c r="ED649" s="1361"/>
      <c r="EE649" s="1361"/>
      <c r="EF649" s="1361"/>
      <c r="EG649" s="1361"/>
      <c r="EH649" s="1361" t="e">
        <f t="shared" si="4"/>
        <v>#VALUE!</v>
      </c>
      <c r="EI649" s="1361"/>
      <c r="EJ649" s="1361"/>
      <c r="EK649" s="1361"/>
      <c r="EL649" s="1361"/>
      <c r="EM649" s="1361" t="e">
        <f t="shared" si="5"/>
        <v>#VALUE!</v>
      </c>
      <c r="EN649" s="1361"/>
      <c r="EO649" s="1361"/>
      <c r="EP649" s="1361"/>
      <c r="EQ649" s="1361"/>
      <c r="ER649" s="1361" t="e">
        <f t="shared" si="6"/>
        <v>#VALUE!</v>
      </c>
      <c r="ES649" s="1361"/>
      <c r="ET649" s="1361"/>
      <c r="EU649" s="1361"/>
      <c r="EV649" s="1361"/>
      <c r="EW649" s="1361" t="e">
        <f t="shared" si="7"/>
        <v>#VALUE!</v>
      </c>
      <c r="EX649" s="1361"/>
      <c r="EY649" s="1361"/>
      <c r="EZ649" s="1361"/>
      <c r="FA649" s="1361"/>
    </row>
    <row r="650" spans="1:157" ht="12.95" customHeight="1">
      <c r="A650" s="22"/>
      <c r="T650" s="22"/>
      <c r="AZ650" s="34"/>
      <c r="BA650" s="34"/>
      <c r="BB650" s="34"/>
      <c r="BC650" s="34"/>
      <c r="BD650" s="34"/>
      <c r="BE650" s="34"/>
      <c r="BF650" s="34"/>
      <c r="BG650" s="34"/>
      <c r="BH650" s="34"/>
      <c r="BI650" s="34"/>
      <c r="BJ650" s="34"/>
      <c r="BK650" s="34"/>
      <c r="BL650" s="34"/>
      <c r="BM650" s="34"/>
      <c r="DX650" s="1361" t="e">
        <f t="shared" si="2"/>
        <v>#VALUE!</v>
      </c>
      <c r="DY650" s="1361"/>
      <c r="DZ650" s="1361"/>
      <c r="EA650" s="1361"/>
      <c r="EB650" s="1361"/>
      <c r="EC650" s="1361" t="e">
        <f t="shared" si="3"/>
        <v>#VALUE!</v>
      </c>
      <c r="ED650" s="1361"/>
      <c r="EE650" s="1361"/>
      <c r="EF650" s="1361"/>
      <c r="EG650" s="1361"/>
      <c r="EH650" s="1361" t="e">
        <f t="shared" si="4"/>
        <v>#VALUE!</v>
      </c>
      <c r="EI650" s="1361"/>
      <c r="EJ650" s="1361"/>
      <c r="EK650" s="1361"/>
      <c r="EL650" s="1361"/>
      <c r="EM650" s="1361" t="e">
        <f t="shared" si="5"/>
        <v>#VALUE!</v>
      </c>
      <c r="EN650" s="1361"/>
      <c r="EO650" s="1361"/>
      <c r="EP650" s="1361"/>
      <c r="EQ650" s="1361"/>
      <c r="ER650" s="1361" t="e">
        <f t="shared" si="6"/>
        <v>#VALUE!</v>
      </c>
      <c r="ES650" s="1361"/>
      <c r="ET650" s="1361"/>
      <c r="EU650" s="1361"/>
      <c r="EV650" s="1361"/>
      <c r="EW650" s="1361" t="e">
        <f t="shared" si="7"/>
        <v>#VALUE!</v>
      </c>
      <c r="EX650" s="1361"/>
      <c r="EY650" s="1361"/>
      <c r="EZ650" s="1361"/>
      <c r="FA650" s="1361"/>
    </row>
    <row r="651" spans="1:157" ht="12.95" customHeight="1">
      <c r="A651" s="55" t="s">
        <v>119</v>
      </c>
      <c r="B651" t="s">
        <v>464</v>
      </c>
      <c r="G651" s="1482" t="str">
        <f>C629</f>
        <v>Deferred Developer Fee</v>
      </c>
      <c r="H651" s="1482"/>
      <c r="I651" s="1482"/>
      <c r="J651" s="1482"/>
      <c r="K651" s="1482"/>
      <c r="L651" s="1482"/>
      <c r="M651" s="1482"/>
      <c r="N651" s="1482"/>
      <c r="O651" s="1482"/>
      <c r="P651" s="1482"/>
      <c r="Q651" s="1482"/>
      <c r="R651" s="1482"/>
      <c r="T651" s="55" t="s">
        <v>582</v>
      </c>
      <c r="U651" t="s">
        <v>464</v>
      </c>
      <c r="Z651" s="1482" t="str">
        <f>C630</f>
        <v>Seller Note</v>
      </c>
      <c r="AA651" s="1482"/>
      <c r="AB651" s="1482"/>
      <c r="AC651" s="1482"/>
      <c r="AD651" s="1482"/>
      <c r="AE651" s="1482"/>
      <c r="AF651" s="1482"/>
      <c r="AG651" s="1482"/>
      <c r="AH651" s="1482"/>
      <c r="AI651" s="1482"/>
      <c r="AJ651" s="1482"/>
      <c r="AK651" s="1482"/>
      <c r="AZ651" s="34"/>
      <c r="BA651" s="34"/>
      <c r="BB651" s="34"/>
      <c r="BC651" s="34"/>
      <c r="BD651" s="34"/>
      <c r="BE651" s="34"/>
      <c r="BF651" s="34"/>
      <c r="BG651" s="34"/>
      <c r="BH651" s="34"/>
      <c r="BI651" s="34"/>
      <c r="BJ651" s="34"/>
      <c r="BK651" s="34"/>
      <c r="BL651" s="34"/>
      <c r="BM651" s="34"/>
      <c r="DX651" s="1361" t="e">
        <f t="shared" si="2"/>
        <v>#VALUE!</v>
      </c>
      <c r="DY651" s="1361"/>
      <c r="DZ651" s="1361"/>
      <c r="EA651" s="1361"/>
      <c r="EB651" s="1361"/>
      <c r="EC651" s="1361" t="e">
        <f t="shared" si="3"/>
        <v>#VALUE!</v>
      </c>
      <c r="ED651" s="1361"/>
      <c r="EE651" s="1361"/>
      <c r="EF651" s="1361"/>
      <c r="EG651" s="1361"/>
      <c r="EH651" s="1361" t="e">
        <f t="shared" si="4"/>
        <v>#VALUE!</v>
      </c>
      <c r="EI651" s="1361"/>
      <c r="EJ651" s="1361"/>
      <c r="EK651" s="1361"/>
      <c r="EL651" s="1361"/>
      <c r="EM651" s="1361" t="e">
        <f t="shared" si="5"/>
        <v>#VALUE!</v>
      </c>
      <c r="EN651" s="1361"/>
      <c r="EO651" s="1361"/>
      <c r="EP651" s="1361"/>
      <c r="EQ651" s="1361"/>
      <c r="ER651" s="1361" t="e">
        <f t="shared" si="6"/>
        <v>#VALUE!</v>
      </c>
      <c r="ES651" s="1361"/>
      <c r="ET651" s="1361"/>
      <c r="EU651" s="1361"/>
      <c r="EV651" s="1361"/>
      <c r="EW651" s="1361" t="e">
        <f t="shared" si="7"/>
        <v>#VALUE!</v>
      </c>
      <c r="EX651" s="1361"/>
      <c r="EY651" s="1361"/>
      <c r="EZ651" s="1361"/>
      <c r="FA651" s="1361"/>
    </row>
    <row r="652" spans="1:157" ht="12.95" customHeight="1">
      <c r="A652" s="22"/>
      <c r="B652" t="s">
        <v>85</v>
      </c>
      <c r="G652" s="1333" t="s">
        <v>2631</v>
      </c>
      <c r="H652" s="1333"/>
      <c r="I652" s="1333"/>
      <c r="J652" s="1333"/>
      <c r="K652" s="1333"/>
      <c r="L652" s="1333"/>
      <c r="M652" s="1333"/>
      <c r="N652" s="1333"/>
      <c r="O652" s="1333"/>
      <c r="P652" s="1333"/>
      <c r="Q652" s="1333"/>
      <c r="R652" s="1333"/>
      <c r="T652" s="22"/>
      <c r="U652" t="s">
        <v>85</v>
      </c>
      <c r="Z652" s="1333" t="s">
        <v>2622</v>
      </c>
      <c r="AA652" s="1333"/>
      <c r="AB652" s="1333"/>
      <c r="AC652" s="1333"/>
      <c r="AD652" s="1333"/>
      <c r="AE652" s="1333"/>
      <c r="AF652" s="1333"/>
      <c r="AG652" s="1333"/>
      <c r="AH652" s="1333"/>
      <c r="AI652" s="1333"/>
      <c r="AJ652" s="1333"/>
      <c r="AK652" s="1333"/>
      <c r="AZ652" s="34"/>
      <c r="BA652" s="34"/>
      <c r="BB652" s="34"/>
      <c r="BC652" s="34"/>
      <c r="BD652" s="34"/>
      <c r="BE652" s="34"/>
      <c r="BF652" s="34"/>
      <c r="BG652" s="34"/>
      <c r="BH652" s="34"/>
      <c r="BI652" s="34"/>
      <c r="BJ652" s="34"/>
      <c r="BK652" s="34"/>
      <c r="BL652" s="34"/>
      <c r="BM652" s="34"/>
      <c r="DX652" s="1361" t="e">
        <f t="shared" si="2"/>
        <v>#VALUE!</v>
      </c>
      <c r="DY652" s="1361"/>
      <c r="DZ652" s="1361"/>
      <c r="EA652" s="1361"/>
      <c r="EB652" s="1361"/>
      <c r="EC652" s="1361" t="e">
        <f t="shared" si="3"/>
        <v>#VALUE!</v>
      </c>
      <c r="ED652" s="1361"/>
      <c r="EE652" s="1361"/>
      <c r="EF652" s="1361"/>
      <c r="EG652" s="1361"/>
      <c r="EH652" s="1361" t="e">
        <f t="shared" si="4"/>
        <v>#VALUE!</v>
      </c>
      <c r="EI652" s="1361"/>
      <c r="EJ652" s="1361"/>
      <c r="EK652" s="1361"/>
      <c r="EL652" s="1361"/>
      <c r="EM652" s="1361" t="e">
        <f t="shared" si="5"/>
        <v>#VALUE!</v>
      </c>
      <c r="EN652" s="1361"/>
      <c r="EO652" s="1361"/>
      <c r="EP652" s="1361"/>
      <c r="EQ652" s="1361"/>
      <c r="ER652" s="1361" t="e">
        <f t="shared" si="6"/>
        <v>#VALUE!</v>
      </c>
      <c r="ES652" s="1361"/>
      <c r="ET652" s="1361"/>
      <c r="EU652" s="1361"/>
      <c r="EV652" s="1361"/>
      <c r="EW652" s="1361" t="e">
        <f t="shared" si="7"/>
        <v>#VALUE!</v>
      </c>
      <c r="EX652" s="1361"/>
      <c r="EY652" s="1361"/>
      <c r="EZ652" s="1361"/>
      <c r="FA652" s="1361"/>
    </row>
    <row r="653" spans="1:157" ht="12.95" customHeight="1">
      <c r="A653" s="22"/>
      <c r="B653" t="s">
        <v>581</v>
      </c>
      <c r="G653" s="1332" t="s">
        <v>2632</v>
      </c>
      <c r="H653" s="1332"/>
      <c r="I653" s="1332"/>
      <c r="J653" s="1332"/>
      <c r="K653" s="1332"/>
      <c r="L653" s="1332"/>
      <c r="M653" s="1332"/>
      <c r="N653" s="1332"/>
      <c r="O653" s="1332"/>
      <c r="P653" s="1332"/>
      <c r="Q653" s="1332"/>
      <c r="R653" s="1332"/>
      <c r="T653" s="22"/>
      <c r="U653" t="s">
        <v>581</v>
      </c>
      <c r="Z653" s="1332" t="s">
        <v>2617</v>
      </c>
      <c r="AA653" s="1332"/>
      <c r="AB653" s="1332"/>
      <c r="AC653" s="1332"/>
      <c r="AD653" s="1332"/>
      <c r="AE653" s="1332"/>
      <c r="AF653" s="1332"/>
      <c r="AG653" s="1332"/>
      <c r="AH653" s="1332"/>
      <c r="AI653" s="1332"/>
      <c r="AJ653" s="1332"/>
      <c r="AK653" s="1332"/>
      <c r="AZ653" s="34"/>
      <c r="BA653" s="34"/>
      <c r="BB653" s="34"/>
      <c r="BC653" s="34"/>
      <c r="BD653" s="34"/>
      <c r="BE653" s="34"/>
      <c r="BF653" s="34"/>
      <c r="BG653" s="34"/>
      <c r="BH653" s="34"/>
      <c r="BI653" s="34"/>
      <c r="BJ653" s="34"/>
      <c r="BK653" s="34"/>
      <c r="BL653" s="34"/>
      <c r="BM653" s="34"/>
      <c r="DX653" s="1361" t="e">
        <f t="shared" si="2"/>
        <v>#VALUE!</v>
      </c>
      <c r="DY653" s="1361"/>
      <c r="DZ653" s="1361"/>
      <c r="EA653" s="1361"/>
      <c r="EB653" s="1361"/>
      <c r="EC653" s="1361" t="e">
        <f t="shared" si="3"/>
        <v>#VALUE!</v>
      </c>
      <c r="ED653" s="1361"/>
      <c r="EE653" s="1361"/>
      <c r="EF653" s="1361"/>
      <c r="EG653" s="1361"/>
      <c r="EH653" s="1361" t="e">
        <f t="shared" si="4"/>
        <v>#VALUE!</v>
      </c>
      <c r="EI653" s="1361"/>
      <c r="EJ653" s="1361"/>
      <c r="EK653" s="1361"/>
      <c r="EL653" s="1361"/>
      <c r="EM653" s="1361" t="e">
        <f t="shared" si="5"/>
        <v>#VALUE!</v>
      </c>
      <c r="EN653" s="1361"/>
      <c r="EO653" s="1361"/>
      <c r="EP653" s="1361"/>
      <c r="EQ653" s="1361"/>
      <c r="ER653" s="1361" t="e">
        <f t="shared" si="6"/>
        <v>#VALUE!</v>
      </c>
      <c r="ES653" s="1361"/>
      <c r="ET653" s="1361"/>
      <c r="EU653" s="1361"/>
      <c r="EV653" s="1361"/>
      <c r="EW653" s="1361" t="e">
        <f t="shared" si="7"/>
        <v>#VALUE!</v>
      </c>
      <c r="EX653" s="1361"/>
      <c r="EY653" s="1361"/>
      <c r="EZ653" s="1361"/>
      <c r="FA653" s="1361"/>
    </row>
    <row r="654" spans="1:157" ht="12.95" customHeight="1">
      <c r="A654" s="22"/>
      <c r="B654" t="s">
        <v>17</v>
      </c>
      <c r="G654" s="1332" t="s">
        <v>2633</v>
      </c>
      <c r="H654" s="1332"/>
      <c r="I654" s="1332"/>
      <c r="J654" s="1332"/>
      <c r="K654" s="1332"/>
      <c r="L654" s="1332"/>
      <c r="M654" s="1332"/>
      <c r="N654" s="1332"/>
      <c r="O654" s="1332"/>
      <c r="P654" s="1332"/>
      <c r="Q654" s="1332"/>
      <c r="R654" s="1332"/>
      <c r="T654" s="22"/>
      <c r="U654" t="s">
        <v>17</v>
      </c>
      <c r="Z654" s="1332" t="s">
        <v>2624</v>
      </c>
      <c r="AA654" s="1332"/>
      <c r="AB654" s="1332"/>
      <c r="AC654" s="1332"/>
      <c r="AD654" s="1332"/>
      <c r="AE654" s="1332"/>
      <c r="AF654" s="1332"/>
      <c r="AG654" s="1332"/>
      <c r="AH654" s="1332"/>
      <c r="AI654" s="1332"/>
      <c r="AJ654" s="1332"/>
      <c r="AK654" s="1332"/>
      <c r="AZ654" s="34"/>
      <c r="BA654" s="34"/>
      <c r="BB654" s="34"/>
      <c r="BC654" s="34"/>
      <c r="BD654" s="34"/>
      <c r="BE654" s="34"/>
      <c r="BF654" s="34"/>
      <c r="BG654" s="34"/>
      <c r="BH654" s="34"/>
      <c r="BI654" s="34"/>
      <c r="BJ654" s="34"/>
      <c r="BK654" s="34"/>
      <c r="BL654" s="34"/>
      <c r="BM654" s="34"/>
      <c r="DX654" s="1361" t="e">
        <f t="shared" si="2"/>
        <v>#VALUE!</v>
      </c>
      <c r="DY654" s="1361"/>
      <c r="DZ654" s="1361"/>
      <c r="EA654" s="1361"/>
      <c r="EB654" s="1361"/>
      <c r="EC654" s="1361" t="e">
        <f t="shared" si="3"/>
        <v>#VALUE!</v>
      </c>
      <c r="ED654" s="1361"/>
      <c r="EE654" s="1361"/>
      <c r="EF654" s="1361"/>
      <c r="EG654" s="1361"/>
      <c r="EH654" s="1361" t="e">
        <f t="shared" si="4"/>
        <v>#VALUE!</v>
      </c>
      <c r="EI654" s="1361"/>
      <c r="EJ654" s="1361"/>
      <c r="EK654" s="1361"/>
      <c r="EL654" s="1361"/>
      <c r="EM654" s="1361" t="e">
        <f t="shared" si="5"/>
        <v>#VALUE!</v>
      </c>
      <c r="EN654" s="1361"/>
      <c r="EO654" s="1361"/>
      <c r="EP654" s="1361"/>
      <c r="EQ654" s="1361"/>
      <c r="ER654" s="1361" t="e">
        <f t="shared" si="6"/>
        <v>#VALUE!</v>
      </c>
      <c r="ES654" s="1361"/>
      <c r="ET654" s="1361"/>
      <c r="EU654" s="1361"/>
      <c r="EV654" s="1361"/>
      <c r="EW654" s="1361" t="e">
        <f t="shared" si="7"/>
        <v>#VALUE!</v>
      </c>
      <c r="EX654" s="1361"/>
      <c r="EY654" s="1361"/>
      <c r="EZ654" s="1361"/>
      <c r="FA654" s="1361"/>
    </row>
    <row r="655" spans="1:157" ht="12.95" customHeight="1">
      <c r="A655" s="22"/>
      <c r="B655" t="s">
        <v>316</v>
      </c>
      <c r="G655" s="1494" t="s">
        <v>2634</v>
      </c>
      <c r="H655" s="1494"/>
      <c r="I655" s="1494"/>
      <c r="J655" s="1494"/>
      <c r="K655" s="1494"/>
      <c r="L655" s="1494"/>
      <c r="O655" s="33" t="s">
        <v>206</v>
      </c>
      <c r="P655" s="1464"/>
      <c r="Q655" s="1464"/>
      <c r="R655" s="1464"/>
      <c r="T655" s="22"/>
      <c r="U655" t="s">
        <v>316</v>
      </c>
      <c r="Z655" s="1494" t="s">
        <v>2625</v>
      </c>
      <c r="AA655" s="1494"/>
      <c r="AB655" s="1494"/>
      <c r="AC655" s="1494"/>
      <c r="AD655" s="1494"/>
      <c r="AE655" s="1494"/>
      <c r="AH655" s="33" t="s">
        <v>206</v>
      </c>
      <c r="AI655" s="1464">
        <v>224</v>
      </c>
      <c r="AJ655" s="1464"/>
      <c r="AK655" s="1464"/>
      <c r="AZ655" s="34"/>
      <c r="BA655" s="34"/>
      <c r="BB655" s="34"/>
      <c r="BC655" s="34"/>
      <c r="BD655" s="34"/>
      <c r="BE655" s="34"/>
      <c r="BF655" s="34"/>
      <c r="BG655" s="34"/>
      <c r="BH655" s="34"/>
      <c r="BI655" s="34"/>
      <c r="BJ655" s="34"/>
      <c r="BK655" s="34"/>
      <c r="BL655" s="34"/>
      <c r="BM655" s="34"/>
      <c r="DX655" s="1361" t="e">
        <f t="shared" si="2"/>
        <v>#VALUE!</v>
      </c>
      <c r="DY655" s="1361"/>
      <c r="DZ655" s="1361"/>
      <c r="EA655" s="1361"/>
      <c r="EB655" s="1361"/>
      <c r="EC655" s="1361" t="e">
        <f t="shared" si="3"/>
        <v>#VALUE!</v>
      </c>
      <c r="ED655" s="1361"/>
      <c r="EE655" s="1361"/>
      <c r="EF655" s="1361"/>
      <c r="EG655" s="1361"/>
      <c r="EH655" s="1361" t="e">
        <f t="shared" si="4"/>
        <v>#VALUE!</v>
      </c>
      <c r="EI655" s="1361"/>
      <c r="EJ655" s="1361"/>
      <c r="EK655" s="1361"/>
      <c r="EL655" s="1361"/>
      <c r="EM655" s="1361" t="e">
        <f t="shared" si="5"/>
        <v>#VALUE!</v>
      </c>
      <c r="EN655" s="1361"/>
      <c r="EO655" s="1361"/>
      <c r="EP655" s="1361"/>
      <c r="EQ655" s="1361"/>
      <c r="ER655" s="1361" t="e">
        <f t="shared" si="6"/>
        <v>#VALUE!</v>
      </c>
      <c r="ES655" s="1361"/>
      <c r="ET655" s="1361"/>
      <c r="EU655" s="1361"/>
      <c r="EV655" s="1361"/>
      <c r="EW655" s="1361" t="e">
        <f t="shared" si="7"/>
        <v>#VALUE!</v>
      </c>
      <c r="EX655" s="1361"/>
      <c r="EY655" s="1361"/>
      <c r="EZ655" s="1361"/>
      <c r="FA655" s="1361"/>
    </row>
    <row r="656" spans="1:157" ht="12.95" customHeight="1">
      <c r="A656" s="22"/>
      <c r="B656" t="s">
        <v>18</v>
      </c>
      <c r="H656" s="1333" t="s">
        <v>2320</v>
      </c>
      <c r="I656" s="1333"/>
      <c r="J656" s="1333"/>
      <c r="K656" s="1333"/>
      <c r="L656" s="1333"/>
      <c r="M656" s="1333"/>
      <c r="N656" s="1333"/>
      <c r="O656" s="1333"/>
      <c r="P656" s="1333"/>
      <c r="Q656" s="1333"/>
      <c r="R656" s="1333"/>
      <c r="T656" s="22"/>
      <c r="U656" t="s">
        <v>18</v>
      </c>
      <c r="AA656" s="1333" t="s">
        <v>2757</v>
      </c>
      <c r="AB656" s="1333"/>
      <c r="AC656" s="1333"/>
      <c r="AD656" s="1333"/>
      <c r="AE656" s="1333"/>
      <c r="AF656" s="1333"/>
      <c r="AG656" s="1333"/>
      <c r="AH656" s="1333"/>
      <c r="AI656" s="1333"/>
      <c r="AJ656" s="1333"/>
      <c r="AK656" s="1333"/>
      <c r="AZ656" s="34"/>
      <c r="BA656" s="34"/>
      <c r="BB656" s="34"/>
      <c r="BC656" s="34"/>
      <c r="BD656" s="34"/>
      <c r="BE656" s="34"/>
      <c r="BF656" s="34"/>
      <c r="BG656" s="34"/>
      <c r="BH656" s="34"/>
      <c r="BI656" s="34"/>
      <c r="BJ656" s="34"/>
      <c r="BK656" s="34"/>
      <c r="BL656" s="34"/>
      <c r="BM656" s="34"/>
      <c r="DX656" s="1361" t="e">
        <f t="shared" si="2"/>
        <v>#VALUE!</v>
      </c>
      <c r="DY656" s="1361"/>
      <c r="DZ656" s="1361"/>
      <c r="EA656" s="1361"/>
      <c r="EB656" s="1361"/>
      <c r="EC656" s="1361" t="e">
        <f t="shared" si="3"/>
        <v>#VALUE!</v>
      </c>
      <c r="ED656" s="1361"/>
      <c r="EE656" s="1361"/>
      <c r="EF656" s="1361"/>
      <c r="EG656" s="1361"/>
      <c r="EH656" s="1361" t="e">
        <f t="shared" si="4"/>
        <v>#VALUE!</v>
      </c>
      <c r="EI656" s="1361"/>
      <c r="EJ656" s="1361"/>
      <c r="EK656" s="1361"/>
      <c r="EL656" s="1361"/>
      <c r="EM656" s="1361" t="e">
        <f t="shared" si="5"/>
        <v>#VALUE!</v>
      </c>
      <c r="EN656" s="1361"/>
      <c r="EO656" s="1361"/>
      <c r="EP656" s="1361"/>
      <c r="EQ656" s="1361"/>
      <c r="ER656" s="1361" t="e">
        <f t="shared" si="6"/>
        <v>#VALUE!</v>
      </c>
      <c r="ES656" s="1361"/>
      <c r="ET656" s="1361"/>
      <c r="EU656" s="1361"/>
      <c r="EV656" s="1361"/>
      <c r="EW656" s="1361" t="e">
        <f t="shared" si="7"/>
        <v>#VALUE!</v>
      </c>
      <c r="EX656" s="1361"/>
      <c r="EY656" s="1361"/>
      <c r="EZ656" s="1361"/>
      <c r="FA656" s="1361"/>
    </row>
    <row r="657" spans="1:157" ht="12.95" customHeight="1">
      <c r="A657" s="22"/>
      <c r="B657" t="s">
        <v>20</v>
      </c>
      <c r="N657" s="1433" t="s">
        <v>546</v>
      </c>
      <c r="O657" s="1433"/>
      <c r="T657" s="22"/>
      <c r="U657" t="s">
        <v>20</v>
      </c>
      <c r="AG657" s="1433" t="s">
        <v>546</v>
      </c>
      <c r="AH657" s="1433"/>
      <c r="AZ657" s="34"/>
      <c r="BA657" s="34"/>
      <c r="BB657" s="34"/>
      <c r="BC657" s="34"/>
      <c r="BD657" s="34"/>
      <c r="BE657" s="34"/>
      <c r="BF657" s="34"/>
      <c r="BG657" s="34"/>
      <c r="BH657" s="34"/>
      <c r="BI657" s="34"/>
      <c r="BJ657" s="34"/>
      <c r="BK657" s="34"/>
      <c r="BL657" s="34"/>
      <c r="BM657" s="34"/>
      <c r="DX657" s="1361" t="e">
        <f t="shared" si="2"/>
        <v>#VALUE!</v>
      </c>
      <c r="DY657" s="1361"/>
      <c r="DZ657" s="1361"/>
      <c r="EA657" s="1361"/>
      <c r="EB657" s="1361"/>
      <c r="EC657" s="1361" t="e">
        <f t="shared" si="3"/>
        <v>#VALUE!</v>
      </c>
      <c r="ED657" s="1361"/>
      <c r="EE657" s="1361"/>
      <c r="EF657" s="1361"/>
      <c r="EG657" s="1361"/>
      <c r="EH657" s="1361" t="e">
        <f t="shared" si="4"/>
        <v>#VALUE!</v>
      </c>
      <c r="EI657" s="1361"/>
      <c r="EJ657" s="1361"/>
      <c r="EK657" s="1361"/>
      <c r="EL657" s="1361"/>
      <c r="EM657" s="1361" t="e">
        <f t="shared" si="5"/>
        <v>#VALUE!</v>
      </c>
      <c r="EN657" s="1361"/>
      <c r="EO657" s="1361"/>
      <c r="EP657" s="1361"/>
      <c r="EQ657" s="1361"/>
      <c r="ER657" s="1361" t="e">
        <f t="shared" si="6"/>
        <v>#VALUE!</v>
      </c>
      <c r="ES657" s="1361"/>
      <c r="ET657" s="1361"/>
      <c r="EU657" s="1361"/>
      <c r="EV657" s="1361"/>
      <c r="EW657" s="1361" t="e">
        <f t="shared" si="7"/>
        <v>#VALUE!</v>
      </c>
      <c r="EX657" s="1361"/>
      <c r="EY657" s="1361"/>
      <c r="EZ657" s="1361"/>
      <c r="FA657" s="1361"/>
    </row>
    <row r="658" spans="1:157" ht="12.95" customHeight="1">
      <c r="A658" s="22"/>
      <c r="T658" s="22"/>
      <c r="AZ658" s="34"/>
      <c r="BA658" s="34"/>
      <c r="BB658" s="34"/>
      <c r="BC658" s="34"/>
      <c r="BD658" s="34"/>
      <c r="BE658" s="34"/>
      <c r="BF658" s="34"/>
      <c r="BG658" s="34"/>
      <c r="BH658" s="34"/>
      <c r="BI658" s="34"/>
      <c r="BJ658" s="34"/>
      <c r="BK658" s="34"/>
      <c r="BL658" s="34"/>
      <c r="BM658" s="34"/>
      <c r="DX658" s="1361" t="e">
        <f t="shared" si="2"/>
        <v>#VALUE!</v>
      </c>
      <c r="DY658" s="1361"/>
      <c r="DZ658" s="1361"/>
      <c r="EA658" s="1361"/>
      <c r="EB658" s="1361"/>
      <c r="EC658" s="1361" t="e">
        <f t="shared" si="3"/>
        <v>#VALUE!</v>
      </c>
      <c r="ED658" s="1361"/>
      <c r="EE658" s="1361"/>
      <c r="EF658" s="1361"/>
      <c r="EG658" s="1361"/>
      <c r="EH658" s="1361" t="e">
        <f t="shared" si="4"/>
        <v>#VALUE!</v>
      </c>
      <c r="EI658" s="1361"/>
      <c r="EJ658" s="1361"/>
      <c r="EK658" s="1361"/>
      <c r="EL658" s="1361"/>
      <c r="EM658" s="1361" t="e">
        <f t="shared" si="5"/>
        <v>#VALUE!</v>
      </c>
      <c r="EN658" s="1361"/>
      <c r="EO658" s="1361"/>
      <c r="EP658" s="1361"/>
      <c r="EQ658" s="1361"/>
      <c r="ER658" s="1361" t="e">
        <f t="shared" si="6"/>
        <v>#VALUE!</v>
      </c>
      <c r="ES658" s="1361"/>
      <c r="ET658" s="1361"/>
      <c r="EU658" s="1361"/>
      <c r="EV658" s="1361"/>
      <c r="EW658" s="1361" t="e">
        <f t="shared" si="7"/>
        <v>#VALUE!</v>
      </c>
      <c r="EX658" s="1361"/>
      <c r="EY658" s="1361"/>
      <c r="EZ658" s="1361"/>
      <c r="FA658" s="1361"/>
    </row>
    <row r="659" spans="1:157" ht="12.95" customHeight="1">
      <c r="A659" s="55" t="s">
        <v>764</v>
      </c>
      <c r="B659" t="s">
        <v>464</v>
      </c>
      <c r="G659" s="1482" t="str">
        <f>C631</f>
        <v>GP Equity - Hiler I AGP LLC</v>
      </c>
      <c r="H659" s="1482"/>
      <c r="I659" s="1482"/>
      <c r="J659" s="1482"/>
      <c r="K659" s="1482"/>
      <c r="L659" s="1482"/>
      <c r="M659" s="1482"/>
      <c r="N659" s="1482"/>
      <c r="O659" s="1482"/>
      <c r="P659" s="1482"/>
      <c r="Q659" s="1482"/>
      <c r="R659" s="1482"/>
      <c r="T659" s="55" t="s">
        <v>585</v>
      </c>
      <c r="U659" t="s">
        <v>464</v>
      </c>
      <c r="Z659" s="1482">
        <f>C632</f>
        <v>0</v>
      </c>
      <c r="AA659" s="1482"/>
      <c r="AB659" s="1482"/>
      <c r="AC659" s="1482"/>
      <c r="AD659" s="1482"/>
      <c r="AE659" s="1482"/>
      <c r="AF659" s="1482"/>
      <c r="AG659" s="1482"/>
      <c r="AH659" s="1482"/>
      <c r="AI659" s="1482"/>
      <c r="AJ659" s="1482"/>
      <c r="AK659" s="1482"/>
      <c r="AZ659" s="34"/>
      <c r="BA659" s="34"/>
      <c r="BB659" s="34"/>
      <c r="BC659" s="34"/>
      <c r="BD659" s="34"/>
      <c r="BE659" s="34"/>
      <c r="BF659" s="34"/>
      <c r="BG659" s="34"/>
      <c r="BH659" s="34"/>
      <c r="BI659" s="34"/>
      <c r="BJ659" s="34"/>
      <c r="BK659" s="34"/>
      <c r="BL659" s="34"/>
      <c r="BM659" s="34"/>
      <c r="DX659" s="1361" t="e">
        <f t="shared" si="2"/>
        <v>#VALUE!</v>
      </c>
      <c r="DY659" s="1361"/>
      <c r="DZ659" s="1361"/>
      <c r="EA659" s="1361"/>
      <c r="EB659" s="1361"/>
      <c r="EC659" s="1361" t="e">
        <f t="shared" si="3"/>
        <v>#VALUE!</v>
      </c>
      <c r="ED659" s="1361"/>
      <c r="EE659" s="1361"/>
      <c r="EF659" s="1361"/>
      <c r="EG659" s="1361"/>
      <c r="EH659" s="1361" t="e">
        <f t="shared" si="4"/>
        <v>#VALUE!</v>
      </c>
      <c r="EI659" s="1361"/>
      <c r="EJ659" s="1361"/>
      <c r="EK659" s="1361"/>
      <c r="EL659" s="1361"/>
      <c r="EM659" s="1361" t="e">
        <f t="shared" si="5"/>
        <v>#VALUE!</v>
      </c>
      <c r="EN659" s="1361"/>
      <c r="EO659" s="1361"/>
      <c r="EP659" s="1361"/>
      <c r="EQ659" s="1361"/>
      <c r="ER659" s="1361" t="e">
        <f t="shared" si="6"/>
        <v>#VALUE!</v>
      </c>
      <c r="ES659" s="1361"/>
      <c r="ET659" s="1361"/>
      <c r="EU659" s="1361"/>
      <c r="EV659" s="1361"/>
      <c r="EW659" s="1361" t="e">
        <f t="shared" si="7"/>
        <v>#VALUE!</v>
      </c>
      <c r="EX659" s="1361"/>
      <c r="EY659" s="1361"/>
      <c r="EZ659" s="1361"/>
      <c r="FA659" s="1361"/>
    </row>
    <row r="660" spans="1:157" ht="12.95" customHeight="1">
      <c r="A660" s="22"/>
      <c r="B660" t="s">
        <v>85</v>
      </c>
      <c r="G660" s="1333" t="str">
        <f>M252</f>
        <v>1603 Orrington Avenue, Suite 450</v>
      </c>
      <c r="H660" s="1333"/>
      <c r="I660" s="1333"/>
      <c r="J660" s="1333"/>
      <c r="K660" s="1333"/>
      <c r="L660" s="1333"/>
      <c r="M660" s="1333"/>
      <c r="N660" s="1333"/>
      <c r="O660" s="1333"/>
      <c r="P660" s="1333"/>
      <c r="Q660" s="1333"/>
      <c r="R660" s="1333"/>
      <c r="T660" s="22"/>
      <c r="U660" t="s">
        <v>85</v>
      </c>
      <c r="Z660" s="1333"/>
      <c r="AA660" s="1333"/>
      <c r="AB660" s="1333"/>
      <c r="AC660" s="1333"/>
      <c r="AD660" s="1333"/>
      <c r="AE660" s="1333"/>
      <c r="AF660" s="1333"/>
      <c r="AG660" s="1333"/>
      <c r="AH660" s="1333"/>
      <c r="AI660" s="1333"/>
      <c r="AJ660" s="1333"/>
      <c r="AK660" s="1333"/>
      <c r="AZ660" s="34"/>
      <c r="BA660" s="34"/>
      <c r="BB660" s="34"/>
      <c r="BC660" s="34"/>
      <c r="BD660" s="34"/>
      <c r="BE660" s="34"/>
      <c r="BF660" s="34"/>
      <c r="BG660" s="34"/>
      <c r="BH660" s="34"/>
      <c r="BI660" s="34"/>
      <c r="BJ660" s="34"/>
      <c r="BK660" s="34"/>
      <c r="BL660" s="34"/>
      <c r="BM660" s="34"/>
      <c r="DX660" s="1361" t="e">
        <f t="shared" si="2"/>
        <v>#VALUE!</v>
      </c>
      <c r="DY660" s="1361"/>
      <c r="DZ660" s="1361"/>
      <c r="EA660" s="1361"/>
      <c r="EB660" s="1361"/>
      <c r="EC660" s="1361" t="e">
        <f t="shared" si="3"/>
        <v>#VALUE!</v>
      </c>
      <c r="ED660" s="1361"/>
      <c r="EE660" s="1361"/>
      <c r="EF660" s="1361"/>
      <c r="EG660" s="1361"/>
      <c r="EH660" s="1361" t="e">
        <f t="shared" si="4"/>
        <v>#VALUE!</v>
      </c>
      <c r="EI660" s="1361"/>
      <c r="EJ660" s="1361"/>
      <c r="EK660" s="1361"/>
      <c r="EL660" s="1361"/>
      <c r="EM660" s="1361" t="e">
        <f t="shared" si="5"/>
        <v>#VALUE!</v>
      </c>
      <c r="EN660" s="1361"/>
      <c r="EO660" s="1361"/>
      <c r="EP660" s="1361"/>
      <c r="EQ660" s="1361"/>
      <c r="ER660" s="1361" t="e">
        <f t="shared" si="6"/>
        <v>#VALUE!</v>
      </c>
      <c r="ES660" s="1361"/>
      <c r="ET660" s="1361"/>
      <c r="EU660" s="1361"/>
      <c r="EV660" s="1361"/>
      <c r="EW660" s="1361" t="e">
        <f t="shared" si="7"/>
        <v>#VALUE!</v>
      </c>
      <c r="EX660" s="1361"/>
      <c r="EY660" s="1361"/>
      <c r="EZ660" s="1361"/>
      <c r="FA660" s="1361"/>
    </row>
    <row r="661" spans="1:157" ht="12.95" customHeight="1">
      <c r="A661" s="22"/>
      <c r="B661" t="s">
        <v>581</v>
      </c>
      <c r="G661" s="1333" t="str">
        <f>M253</f>
        <v>Evanston</v>
      </c>
      <c r="H661" s="1333"/>
      <c r="I661" s="1333"/>
      <c r="J661" s="1333"/>
      <c r="K661" s="1333"/>
      <c r="L661" s="1333"/>
      <c r="M661" s="1333"/>
      <c r="N661" s="1333"/>
      <c r="O661" s="1333"/>
      <c r="P661" s="1333"/>
      <c r="Q661" s="1333"/>
      <c r="R661" s="1333"/>
      <c r="T661" s="22"/>
      <c r="U661" t="s">
        <v>581</v>
      </c>
      <c r="Z661" s="1332"/>
      <c r="AA661" s="1332"/>
      <c r="AB661" s="1332"/>
      <c r="AC661" s="1332"/>
      <c r="AD661" s="1332"/>
      <c r="AE661" s="1332"/>
      <c r="AF661" s="1332"/>
      <c r="AG661" s="1332"/>
      <c r="AH661" s="1332"/>
      <c r="AI661" s="1332"/>
      <c r="AJ661" s="1332"/>
      <c r="AK661" s="1332"/>
      <c r="AZ661" s="34"/>
      <c r="BA661" s="34"/>
      <c r="BB661" s="34"/>
      <c r="BC661" s="34"/>
      <c r="BD661" s="34"/>
      <c r="BE661" s="34"/>
      <c r="BF661" s="34"/>
      <c r="BG661" s="34"/>
      <c r="BH661" s="34"/>
      <c r="BI661" s="34"/>
      <c r="BJ661" s="34"/>
      <c r="BK661" s="34"/>
      <c r="BL661" s="34"/>
      <c r="BM661" s="34"/>
      <c r="DX661" s="1361" t="e">
        <f t="shared" si="2"/>
        <v>#VALUE!</v>
      </c>
      <c r="DY661" s="1361"/>
      <c r="DZ661" s="1361"/>
      <c r="EA661" s="1361"/>
      <c r="EB661" s="1361"/>
      <c r="EC661" s="1361" t="e">
        <f t="shared" si="3"/>
        <v>#VALUE!</v>
      </c>
      <c r="ED661" s="1361"/>
      <c r="EE661" s="1361"/>
      <c r="EF661" s="1361"/>
      <c r="EG661" s="1361"/>
      <c r="EH661" s="1361" t="e">
        <f t="shared" si="4"/>
        <v>#VALUE!</v>
      </c>
      <c r="EI661" s="1361"/>
      <c r="EJ661" s="1361"/>
      <c r="EK661" s="1361"/>
      <c r="EL661" s="1361"/>
      <c r="EM661" s="1361" t="e">
        <f t="shared" si="5"/>
        <v>#VALUE!</v>
      </c>
      <c r="EN661" s="1361"/>
      <c r="EO661" s="1361"/>
      <c r="EP661" s="1361"/>
      <c r="EQ661" s="1361"/>
      <c r="ER661" s="1361" t="e">
        <f t="shared" si="6"/>
        <v>#VALUE!</v>
      </c>
      <c r="ES661" s="1361"/>
      <c r="ET661" s="1361"/>
      <c r="EU661" s="1361"/>
      <c r="EV661" s="1361"/>
      <c r="EW661" s="1361" t="e">
        <f t="shared" si="7"/>
        <v>#VALUE!</v>
      </c>
      <c r="EX661" s="1361"/>
      <c r="EY661" s="1361"/>
      <c r="EZ661" s="1361"/>
      <c r="FA661" s="1361"/>
    </row>
    <row r="662" spans="1:157" ht="12.95" customHeight="1">
      <c r="A662" s="22"/>
      <c r="B662" t="s">
        <v>17</v>
      </c>
      <c r="G662" s="1333" t="str">
        <f>M254</f>
        <v>Karly Brinla</v>
      </c>
      <c r="H662" s="1333"/>
      <c r="I662" s="1333"/>
      <c r="J662" s="1333"/>
      <c r="K662" s="1333"/>
      <c r="L662" s="1333"/>
      <c r="M662" s="1333"/>
      <c r="N662" s="1333"/>
      <c r="O662" s="1333"/>
      <c r="P662" s="1333"/>
      <c r="Q662" s="1333"/>
      <c r="R662" s="1333"/>
      <c r="T662" s="22"/>
      <c r="U662" t="s">
        <v>17</v>
      </c>
      <c r="Z662" s="1332"/>
      <c r="AA662" s="1332"/>
      <c r="AB662" s="1332"/>
      <c r="AC662" s="1332"/>
      <c r="AD662" s="1332"/>
      <c r="AE662" s="1332"/>
      <c r="AF662" s="1332"/>
      <c r="AG662" s="1332"/>
      <c r="AH662" s="1332"/>
      <c r="AI662" s="1332"/>
      <c r="AJ662" s="1332"/>
      <c r="AK662" s="133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1" t="e">
        <f t="shared" si="2"/>
        <v>#VALUE!</v>
      </c>
      <c r="DY662" s="1361"/>
      <c r="DZ662" s="1361"/>
      <c r="EA662" s="1361"/>
      <c r="EB662" s="1361"/>
      <c r="EC662" s="1361" t="e">
        <f t="shared" si="3"/>
        <v>#VALUE!</v>
      </c>
      <c r="ED662" s="1361"/>
      <c r="EE662" s="1361"/>
      <c r="EF662" s="1361"/>
      <c r="EG662" s="1361"/>
      <c r="EH662" s="1361" t="e">
        <f t="shared" si="4"/>
        <v>#VALUE!</v>
      </c>
      <c r="EI662" s="1361"/>
      <c r="EJ662" s="1361"/>
      <c r="EK662" s="1361"/>
      <c r="EL662" s="1361"/>
      <c r="EM662" s="1361" t="e">
        <f t="shared" si="5"/>
        <v>#VALUE!</v>
      </c>
      <c r="EN662" s="1361"/>
      <c r="EO662" s="1361"/>
      <c r="EP662" s="1361"/>
      <c r="EQ662" s="1361"/>
      <c r="ER662" s="1361" t="e">
        <f t="shared" si="6"/>
        <v>#VALUE!</v>
      </c>
      <c r="ES662" s="1361"/>
      <c r="ET662" s="1361"/>
      <c r="EU662" s="1361"/>
      <c r="EV662" s="1361"/>
      <c r="EW662" s="1361" t="e">
        <f t="shared" si="7"/>
        <v>#VALUE!</v>
      </c>
      <c r="EX662" s="1361"/>
      <c r="EY662" s="1361"/>
      <c r="EZ662" s="1361"/>
      <c r="FA662" s="1361"/>
    </row>
    <row r="663" spans="1:157" ht="12.95" customHeight="1">
      <c r="A663" s="22"/>
      <c r="B663" t="s">
        <v>316</v>
      </c>
      <c r="G663" s="1494" t="str">
        <f>M255</f>
        <v>847-363-5202</v>
      </c>
      <c r="H663" s="1494"/>
      <c r="I663" s="1494"/>
      <c r="J663" s="1494"/>
      <c r="K663" s="1494"/>
      <c r="L663" s="1494"/>
      <c r="O663" s="33" t="s">
        <v>206</v>
      </c>
      <c r="P663" s="1464"/>
      <c r="Q663" s="1464"/>
      <c r="R663" s="1464"/>
      <c r="T663" s="22"/>
      <c r="U663" t="s">
        <v>316</v>
      </c>
      <c r="Z663" s="1494"/>
      <c r="AA663" s="1494"/>
      <c r="AB663" s="1494"/>
      <c r="AC663" s="1494"/>
      <c r="AD663" s="1494"/>
      <c r="AE663" s="1494"/>
      <c r="AH663" s="33" t="s">
        <v>206</v>
      </c>
      <c r="AI663" s="1464"/>
      <c r="AJ663" s="1464"/>
      <c r="AK663" s="146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1" t="e">
        <f t="shared" si="2"/>
        <v>#VALUE!</v>
      </c>
      <c r="DY663" s="1361"/>
      <c r="DZ663" s="1361"/>
      <c r="EA663" s="1361"/>
      <c r="EB663" s="1361"/>
      <c r="EC663" s="1361" t="e">
        <f t="shared" si="3"/>
        <v>#VALUE!</v>
      </c>
      <c r="ED663" s="1361"/>
      <c r="EE663" s="1361"/>
      <c r="EF663" s="1361"/>
      <c r="EG663" s="1361"/>
      <c r="EH663" s="1361" t="e">
        <f t="shared" si="4"/>
        <v>#VALUE!</v>
      </c>
      <c r="EI663" s="1361"/>
      <c r="EJ663" s="1361"/>
      <c r="EK663" s="1361"/>
      <c r="EL663" s="1361"/>
      <c r="EM663" s="1361" t="e">
        <f t="shared" si="5"/>
        <v>#VALUE!</v>
      </c>
      <c r="EN663" s="1361"/>
      <c r="EO663" s="1361"/>
      <c r="EP663" s="1361"/>
      <c r="EQ663" s="1361"/>
      <c r="ER663" s="1361" t="e">
        <f t="shared" si="6"/>
        <v>#VALUE!</v>
      </c>
      <c r="ES663" s="1361"/>
      <c r="ET663" s="1361"/>
      <c r="EU663" s="1361"/>
      <c r="EV663" s="1361"/>
      <c r="EW663" s="1361" t="e">
        <f t="shared" si="7"/>
        <v>#VALUE!</v>
      </c>
      <c r="EX663" s="1361"/>
      <c r="EY663" s="1361"/>
      <c r="EZ663" s="1361"/>
      <c r="FA663" s="1361"/>
    </row>
    <row r="664" spans="1:157" ht="12.95" customHeight="1">
      <c r="A664" s="22"/>
      <c r="B664" t="s">
        <v>18</v>
      </c>
      <c r="H664" s="1333" t="s">
        <v>2730</v>
      </c>
      <c r="I664" s="1333"/>
      <c r="J664" s="1333"/>
      <c r="K664" s="1333"/>
      <c r="L664" s="1333"/>
      <c r="M664" s="1333"/>
      <c r="N664" s="1333"/>
      <c r="O664" s="1333"/>
      <c r="P664" s="1333"/>
      <c r="Q664" s="1333"/>
      <c r="R664" s="1333"/>
      <c r="T664" s="22"/>
      <c r="U664" t="s">
        <v>18</v>
      </c>
      <c r="AA664" s="1333"/>
      <c r="AB664" s="1333"/>
      <c r="AC664" s="1333"/>
      <c r="AD664" s="1333"/>
      <c r="AE664" s="1333"/>
      <c r="AF664" s="1333"/>
      <c r="AG664" s="1333"/>
      <c r="AH664" s="1333"/>
      <c r="AI664" s="1333"/>
      <c r="AJ664" s="1333"/>
      <c r="AK664" s="133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1" t="e">
        <f t="shared" si="2"/>
        <v>#VALUE!</v>
      </c>
      <c r="DY664" s="1361"/>
      <c r="DZ664" s="1361"/>
      <c r="EA664" s="1361"/>
      <c r="EB664" s="1361"/>
      <c r="EC664" s="1361" t="e">
        <f t="shared" si="3"/>
        <v>#VALUE!</v>
      </c>
      <c r="ED664" s="1361"/>
      <c r="EE664" s="1361"/>
      <c r="EF664" s="1361"/>
      <c r="EG664" s="1361"/>
      <c r="EH664" s="1361" t="e">
        <f t="shared" si="4"/>
        <v>#VALUE!</v>
      </c>
      <c r="EI664" s="1361"/>
      <c r="EJ664" s="1361"/>
      <c r="EK664" s="1361"/>
      <c r="EL664" s="1361"/>
      <c r="EM664" s="1361" t="e">
        <f t="shared" si="5"/>
        <v>#VALUE!</v>
      </c>
      <c r="EN664" s="1361"/>
      <c r="EO664" s="1361"/>
      <c r="EP664" s="1361"/>
      <c r="EQ664" s="1361"/>
      <c r="ER664" s="1361" t="e">
        <f t="shared" si="6"/>
        <v>#VALUE!</v>
      </c>
      <c r="ES664" s="1361"/>
      <c r="ET664" s="1361"/>
      <c r="EU664" s="1361"/>
      <c r="EV664" s="1361"/>
      <c r="EW664" s="1361" t="e">
        <f t="shared" si="7"/>
        <v>#VALUE!</v>
      </c>
      <c r="EX664" s="1361"/>
      <c r="EY664" s="1361"/>
      <c r="EZ664" s="1361"/>
      <c r="FA664" s="1361"/>
    </row>
    <row r="665" spans="1:157" ht="12.95" customHeight="1">
      <c r="A665" s="22"/>
      <c r="B665" t="s">
        <v>20</v>
      </c>
      <c r="N665" s="1433" t="s">
        <v>546</v>
      </c>
      <c r="O665" s="1433"/>
      <c r="T665" s="22"/>
      <c r="U665" t="s">
        <v>20</v>
      </c>
      <c r="AG665" s="1433"/>
      <c r="AH665" s="143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1" t="e">
        <f t="shared" si="2"/>
        <v>#VALUE!</v>
      </c>
      <c r="DY665" s="1361"/>
      <c r="DZ665" s="1361"/>
      <c r="EA665" s="1361"/>
      <c r="EB665" s="1361"/>
      <c r="EC665" s="1361" t="e">
        <f t="shared" si="3"/>
        <v>#VALUE!</v>
      </c>
      <c r="ED665" s="1361"/>
      <c r="EE665" s="1361"/>
      <c r="EF665" s="1361"/>
      <c r="EG665" s="1361"/>
      <c r="EH665" s="1361" t="e">
        <f t="shared" si="4"/>
        <v>#VALUE!</v>
      </c>
      <c r="EI665" s="1361"/>
      <c r="EJ665" s="1361"/>
      <c r="EK665" s="1361"/>
      <c r="EL665" s="1361"/>
      <c r="EM665" s="1361" t="e">
        <f t="shared" si="5"/>
        <v>#VALUE!</v>
      </c>
      <c r="EN665" s="1361"/>
      <c r="EO665" s="1361"/>
      <c r="EP665" s="1361"/>
      <c r="EQ665" s="1361"/>
      <c r="ER665" s="1361" t="e">
        <f t="shared" si="6"/>
        <v>#VALUE!</v>
      </c>
      <c r="ES665" s="1361"/>
      <c r="ET665" s="1361"/>
      <c r="EU665" s="1361"/>
      <c r="EV665" s="1361"/>
      <c r="EW665" s="1361" t="e">
        <f t="shared" si="7"/>
        <v>#VALUE!</v>
      </c>
      <c r="EX665" s="1361"/>
      <c r="EY665" s="1361"/>
      <c r="EZ665" s="1361"/>
      <c r="FA665" s="1361"/>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1" t="e">
        <f t="shared" si="2"/>
        <v>#VALUE!</v>
      </c>
      <c r="DY666" s="1361"/>
      <c r="DZ666" s="1361"/>
      <c r="EA666" s="1361"/>
      <c r="EB666" s="1361"/>
      <c r="EC666" s="1361" t="e">
        <f t="shared" si="3"/>
        <v>#VALUE!</v>
      </c>
      <c r="ED666" s="1361"/>
      <c r="EE666" s="1361"/>
      <c r="EF666" s="1361"/>
      <c r="EG666" s="1361"/>
      <c r="EH666" s="1361" t="e">
        <f t="shared" si="4"/>
        <v>#VALUE!</v>
      </c>
      <c r="EI666" s="1361"/>
      <c r="EJ666" s="1361"/>
      <c r="EK666" s="1361"/>
      <c r="EL666" s="1361"/>
      <c r="EM666" s="1361" t="e">
        <f t="shared" si="5"/>
        <v>#VALUE!</v>
      </c>
      <c r="EN666" s="1361"/>
      <c r="EO666" s="1361"/>
      <c r="EP666" s="1361"/>
      <c r="EQ666" s="1361"/>
      <c r="ER666" s="1361" t="e">
        <f t="shared" si="6"/>
        <v>#VALUE!</v>
      </c>
      <c r="ES666" s="1361"/>
      <c r="ET666" s="1361"/>
      <c r="EU666" s="1361"/>
      <c r="EV666" s="1361"/>
      <c r="EW666" s="1361" t="e">
        <f t="shared" si="7"/>
        <v>#VALUE!</v>
      </c>
      <c r="EX666" s="1361"/>
      <c r="EY666" s="1361"/>
      <c r="EZ666" s="1361"/>
      <c r="FA666" s="1361"/>
    </row>
    <row r="667" spans="1:157" ht="12.95" customHeight="1">
      <c r="A667" s="55" t="s">
        <v>456</v>
      </c>
      <c r="B667" t="s">
        <v>464</v>
      </c>
      <c r="G667" s="1482">
        <f>C633</f>
        <v>0</v>
      </c>
      <c r="H667" s="1482"/>
      <c r="I667" s="1482"/>
      <c r="J667" s="1482"/>
      <c r="K667" s="1482"/>
      <c r="L667" s="1482"/>
      <c r="M667" s="1482"/>
      <c r="N667" s="1482"/>
      <c r="O667" s="1482"/>
      <c r="P667" s="1482"/>
      <c r="Q667" s="1482"/>
      <c r="R667" s="1482"/>
      <c r="T667" s="55" t="s">
        <v>457</v>
      </c>
      <c r="U667" t="s">
        <v>464</v>
      </c>
      <c r="Z667" s="1482">
        <f>C634</f>
        <v>0</v>
      </c>
      <c r="AA667" s="1482"/>
      <c r="AB667" s="1482"/>
      <c r="AC667" s="1482"/>
      <c r="AD667" s="1482"/>
      <c r="AE667" s="1482"/>
      <c r="AF667" s="1482"/>
      <c r="AG667" s="1482"/>
      <c r="AH667" s="1482"/>
      <c r="AI667" s="1482"/>
      <c r="AJ667" s="1482"/>
      <c r="AK667" s="1482"/>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1" t="e">
        <f t="shared" si="2"/>
        <v>#VALUE!</v>
      </c>
      <c r="DY667" s="1361"/>
      <c r="DZ667" s="1361"/>
      <c r="EA667" s="1361"/>
      <c r="EB667" s="1361"/>
      <c r="EC667" s="1361" t="e">
        <f t="shared" si="3"/>
        <v>#VALUE!</v>
      </c>
      <c r="ED667" s="1361"/>
      <c r="EE667" s="1361"/>
      <c r="EF667" s="1361"/>
      <c r="EG667" s="1361"/>
      <c r="EH667" s="1361" t="e">
        <f t="shared" si="4"/>
        <v>#VALUE!</v>
      </c>
      <c r="EI667" s="1361"/>
      <c r="EJ667" s="1361"/>
      <c r="EK667" s="1361"/>
      <c r="EL667" s="1361"/>
      <c r="EM667" s="1361" t="e">
        <f t="shared" si="5"/>
        <v>#VALUE!</v>
      </c>
      <c r="EN667" s="1361"/>
      <c r="EO667" s="1361"/>
      <c r="EP667" s="1361"/>
      <c r="EQ667" s="1361"/>
      <c r="ER667" s="1361" t="e">
        <f t="shared" si="6"/>
        <v>#VALUE!</v>
      </c>
      <c r="ES667" s="1361"/>
      <c r="ET667" s="1361"/>
      <c r="EU667" s="1361"/>
      <c r="EV667" s="1361"/>
      <c r="EW667" s="1361" t="e">
        <f t="shared" si="7"/>
        <v>#VALUE!</v>
      </c>
      <c r="EX667" s="1361"/>
      <c r="EY667" s="1361"/>
      <c r="EZ667" s="1361"/>
      <c r="FA667" s="1361"/>
    </row>
    <row r="668" spans="1:157" ht="12.95" customHeight="1">
      <c r="A668" s="22"/>
      <c r="B668" t="s">
        <v>85</v>
      </c>
      <c r="G668" s="1333"/>
      <c r="H668" s="1333"/>
      <c r="I668" s="1333"/>
      <c r="J668" s="1333"/>
      <c r="K668" s="1333"/>
      <c r="L668" s="1333"/>
      <c r="M668" s="1333"/>
      <c r="N668" s="1333"/>
      <c r="O668" s="1333"/>
      <c r="P668" s="1333"/>
      <c r="Q668" s="1333"/>
      <c r="R668" s="1333"/>
      <c r="T668" s="22"/>
      <c r="U668" t="s">
        <v>85</v>
      </c>
      <c r="Z668" s="1333"/>
      <c r="AA668" s="1333"/>
      <c r="AB668" s="1333"/>
      <c r="AC668" s="1333"/>
      <c r="AD668" s="1333"/>
      <c r="AE668" s="1333"/>
      <c r="AF668" s="1333"/>
      <c r="AG668" s="1333"/>
      <c r="AH668" s="1333"/>
      <c r="AI668" s="1333"/>
      <c r="AJ668" s="1333"/>
      <c r="AK668" s="133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1" t="e">
        <f t="shared" si="2"/>
        <v>#VALUE!</v>
      </c>
      <c r="DY668" s="1361"/>
      <c r="DZ668" s="1361"/>
      <c r="EA668" s="1361"/>
      <c r="EB668" s="1361"/>
      <c r="EC668" s="1361" t="e">
        <f t="shared" si="3"/>
        <v>#VALUE!</v>
      </c>
      <c r="ED668" s="1361"/>
      <c r="EE668" s="1361"/>
      <c r="EF668" s="1361"/>
      <c r="EG668" s="1361"/>
      <c r="EH668" s="1361" t="e">
        <f t="shared" si="4"/>
        <v>#VALUE!</v>
      </c>
      <c r="EI668" s="1361"/>
      <c r="EJ668" s="1361"/>
      <c r="EK668" s="1361"/>
      <c r="EL668" s="1361"/>
      <c r="EM668" s="1361" t="e">
        <f t="shared" si="5"/>
        <v>#VALUE!</v>
      </c>
      <c r="EN668" s="1361"/>
      <c r="EO668" s="1361"/>
      <c r="EP668" s="1361"/>
      <c r="EQ668" s="1361"/>
      <c r="ER668" s="1361" t="e">
        <f t="shared" si="6"/>
        <v>#VALUE!</v>
      </c>
      <c r="ES668" s="1361"/>
      <c r="ET668" s="1361"/>
      <c r="EU668" s="1361"/>
      <c r="EV668" s="1361"/>
      <c r="EW668" s="1361" t="e">
        <f t="shared" si="7"/>
        <v>#VALUE!</v>
      </c>
      <c r="EX668" s="1361"/>
      <c r="EY668" s="1361"/>
      <c r="EZ668" s="1361"/>
      <c r="FA668" s="1361"/>
    </row>
    <row r="669" spans="1:157" ht="12.95" customHeight="1">
      <c r="A669" s="22"/>
      <c r="B669" t="s">
        <v>581</v>
      </c>
      <c r="G669" s="1333"/>
      <c r="H669" s="1333"/>
      <c r="I669" s="1333"/>
      <c r="J669" s="1333"/>
      <c r="K669" s="1333"/>
      <c r="L669" s="1333"/>
      <c r="M669" s="1333"/>
      <c r="N669" s="1333"/>
      <c r="O669" s="1333"/>
      <c r="P669" s="1333"/>
      <c r="Q669" s="1333"/>
      <c r="R669" s="1333"/>
      <c r="T669" s="22"/>
      <c r="U669" t="s">
        <v>581</v>
      </c>
      <c r="Z669" s="1332"/>
      <c r="AA669" s="1332"/>
      <c r="AB669" s="1332"/>
      <c r="AC669" s="1332"/>
      <c r="AD669" s="1332"/>
      <c r="AE669" s="1332"/>
      <c r="AF669" s="1332"/>
      <c r="AG669" s="1332"/>
      <c r="AH669" s="1332"/>
      <c r="AI669" s="1332"/>
      <c r="AJ669" s="1332"/>
      <c r="AK669" s="1332"/>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1" t="e">
        <f t="shared" si="2"/>
        <v>#VALUE!</v>
      </c>
      <c r="DY669" s="1361"/>
      <c r="DZ669" s="1361"/>
      <c r="EA669" s="1361"/>
      <c r="EB669" s="1361"/>
      <c r="EC669" s="1361" t="e">
        <f t="shared" si="3"/>
        <v>#VALUE!</v>
      </c>
      <c r="ED669" s="1361"/>
      <c r="EE669" s="1361"/>
      <c r="EF669" s="1361"/>
      <c r="EG669" s="1361"/>
      <c r="EH669" s="1361" t="e">
        <f t="shared" si="4"/>
        <v>#VALUE!</v>
      </c>
      <c r="EI669" s="1361"/>
      <c r="EJ669" s="1361"/>
      <c r="EK669" s="1361"/>
      <c r="EL669" s="1361"/>
      <c r="EM669" s="1361" t="e">
        <f t="shared" si="5"/>
        <v>#VALUE!</v>
      </c>
      <c r="EN669" s="1361"/>
      <c r="EO669" s="1361"/>
      <c r="EP669" s="1361"/>
      <c r="EQ669" s="1361"/>
      <c r="ER669" s="1361" t="e">
        <f t="shared" si="6"/>
        <v>#VALUE!</v>
      </c>
      <c r="ES669" s="1361"/>
      <c r="ET669" s="1361"/>
      <c r="EU669" s="1361"/>
      <c r="EV669" s="1361"/>
      <c r="EW669" s="1361" t="e">
        <f t="shared" si="7"/>
        <v>#VALUE!</v>
      </c>
      <c r="EX669" s="1361"/>
      <c r="EY669" s="1361"/>
      <c r="EZ669" s="1361"/>
      <c r="FA669" s="1361"/>
    </row>
    <row r="670" spans="1:157" ht="12.95" customHeight="1">
      <c r="A670" s="22"/>
      <c r="B670" t="s">
        <v>17</v>
      </c>
      <c r="G670" s="1333"/>
      <c r="H670" s="1333"/>
      <c r="I670" s="1333"/>
      <c r="J670" s="1333"/>
      <c r="K670" s="1333"/>
      <c r="L670" s="1333"/>
      <c r="M670" s="1333"/>
      <c r="N670" s="1333"/>
      <c r="O670" s="1333"/>
      <c r="P670" s="1333"/>
      <c r="Q670" s="1333"/>
      <c r="R670" s="1333"/>
      <c r="T670" s="22"/>
      <c r="U670" t="s">
        <v>17</v>
      </c>
      <c r="Z670" s="1332"/>
      <c r="AA670" s="1332"/>
      <c r="AB670" s="1332"/>
      <c r="AC670" s="1332"/>
      <c r="AD670" s="1332"/>
      <c r="AE670" s="1332"/>
      <c r="AF670" s="1332"/>
      <c r="AG670" s="1332"/>
      <c r="AH670" s="1332"/>
      <c r="AI670" s="1332"/>
      <c r="AJ670" s="1332"/>
      <c r="AK670" s="1332"/>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1">
        <f>SUMIF(DX635:EB669,"&gt;0")</f>
        <v>0</v>
      </c>
      <c r="DY670" s="1361"/>
      <c r="DZ670" s="1361"/>
      <c r="EA670" s="1361"/>
      <c r="EB670" s="1361"/>
      <c r="EC670" s="1361">
        <f>SUMIF(EC635:EG669,"&gt;0")</f>
        <v>783.75</v>
      </c>
      <c r="ED670" s="1361"/>
      <c r="EE670" s="1361"/>
      <c r="EF670" s="1361"/>
      <c r="EG670" s="1361"/>
      <c r="EH670" s="1361">
        <f>SUMIF(EH635:EL669,"&gt;0")</f>
        <v>1186.7037037037037</v>
      </c>
      <c r="EI670" s="1361"/>
      <c r="EJ670" s="1361"/>
      <c r="EK670" s="1361"/>
      <c r="EL670" s="1361"/>
      <c r="EM670" s="1361">
        <f>SUMIF(EM635:EQ669,"&gt;0")</f>
        <v>1318.4571428571428</v>
      </c>
      <c r="EN670" s="1361"/>
      <c r="EO670" s="1361"/>
      <c r="EP670" s="1361"/>
      <c r="EQ670" s="1361"/>
      <c r="ER670" s="1361">
        <f>SUMIF(ER635:EV669,"&gt;0")</f>
        <v>1635</v>
      </c>
      <c r="ES670" s="1361"/>
      <c r="ET670" s="1361"/>
      <c r="EU670" s="1361"/>
      <c r="EV670" s="1361"/>
      <c r="EW670" s="1361">
        <f>SUMIF(EW635:FA669,"&gt;0")</f>
        <v>0</v>
      </c>
      <c r="EX670" s="1361"/>
      <c r="EY670" s="1361"/>
      <c r="EZ670" s="1361"/>
      <c r="FA670" s="1361"/>
    </row>
    <row r="671" spans="1:157" ht="12.95" customHeight="1">
      <c r="A671" s="22"/>
      <c r="B671" t="s">
        <v>316</v>
      </c>
      <c r="G671" s="1494"/>
      <c r="H671" s="1494"/>
      <c r="I671" s="1494"/>
      <c r="J671" s="1494"/>
      <c r="K671" s="1494"/>
      <c r="L671" s="1494"/>
      <c r="O671" s="33" t="s">
        <v>206</v>
      </c>
      <c r="P671" s="1464"/>
      <c r="Q671" s="1464"/>
      <c r="R671" s="1464"/>
      <c r="T671" s="22"/>
      <c r="U671" t="s">
        <v>316</v>
      </c>
      <c r="Z671" s="1494"/>
      <c r="AA671" s="1494"/>
      <c r="AB671" s="1494"/>
      <c r="AC671" s="1494"/>
      <c r="AD671" s="1494"/>
      <c r="AE671" s="1494"/>
      <c r="AH671" s="33" t="s">
        <v>206</v>
      </c>
      <c r="AI671" s="1464"/>
      <c r="AJ671" s="1464"/>
      <c r="AK671" s="1464"/>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33"/>
      <c r="I672" s="1333"/>
      <c r="J672" s="1333"/>
      <c r="K672" s="1333"/>
      <c r="L672" s="1333"/>
      <c r="M672" s="1333"/>
      <c r="N672" s="1333"/>
      <c r="O672" s="1333"/>
      <c r="P672" s="1333"/>
      <c r="Q672" s="1333"/>
      <c r="R672" s="1333"/>
      <c r="T672" s="22"/>
      <c r="U672" t="s">
        <v>18</v>
      </c>
      <c r="AA672" s="1333"/>
      <c r="AB672" s="1333"/>
      <c r="AC672" s="1333"/>
      <c r="AD672" s="1333"/>
      <c r="AE672" s="1333"/>
      <c r="AF672" s="1333"/>
      <c r="AG672" s="1333"/>
      <c r="AH672" s="1333"/>
      <c r="AI672" s="1333"/>
      <c r="AJ672" s="1333"/>
      <c r="AK672" s="133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33" t="s">
        <v>670</v>
      </c>
      <c r="O673" s="1433"/>
      <c r="T673" s="22"/>
      <c r="U673" t="s">
        <v>20</v>
      </c>
      <c r="AG673" s="1433" t="s">
        <v>670</v>
      </c>
      <c r="AH673" s="1433"/>
      <c r="AZ673" s="3"/>
    </row>
    <row r="674" spans="1:52" ht="12.95" customHeight="1">
      <c r="A674" s="22"/>
      <c r="T674" s="22"/>
      <c r="AZ674" s="3"/>
    </row>
    <row r="675" spans="1:52" ht="12.95" customHeight="1">
      <c r="A675" s="55" t="s">
        <v>462</v>
      </c>
      <c r="B675" t="s">
        <v>464</v>
      </c>
      <c r="G675" s="1482">
        <f>C635</f>
        <v>0</v>
      </c>
      <c r="H675" s="1482"/>
      <c r="I675" s="1482"/>
      <c r="J675" s="1482"/>
      <c r="K675" s="1482"/>
      <c r="L675" s="1482"/>
      <c r="M675" s="1482"/>
      <c r="N675" s="1482"/>
      <c r="O675" s="1482"/>
      <c r="P675" s="1482"/>
      <c r="Q675" s="1482"/>
      <c r="R675" s="1482"/>
      <c r="T675" s="55" t="s">
        <v>647</v>
      </c>
      <c r="U675" t="s">
        <v>464</v>
      </c>
      <c r="Z675" s="1482">
        <f>C636</f>
        <v>0</v>
      </c>
      <c r="AA675" s="1482"/>
      <c r="AB675" s="1482"/>
      <c r="AC675" s="1482"/>
      <c r="AD675" s="1482"/>
      <c r="AE675" s="1482"/>
      <c r="AF675" s="1482"/>
      <c r="AG675" s="1482"/>
      <c r="AH675" s="1482"/>
      <c r="AI675" s="1482"/>
      <c r="AJ675" s="1482"/>
      <c r="AK675" s="1482"/>
      <c r="AZ675" s="3"/>
    </row>
    <row r="676" spans="1:52" ht="12.95" customHeight="1">
      <c r="A676" s="22"/>
      <c r="B676" t="s">
        <v>85</v>
      </c>
      <c r="G676" s="1333"/>
      <c r="H676" s="1333"/>
      <c r="I676" s="1333"/>
      <c r="J676" s="1333"/>
      <c r="K676" s="1333"/>
      <c r="L676" s="1333"/>
      <c r="M676" s="1333"/>
      <c r="N676" s="1333"/>
      <c r="O676" s="1333"/>
      <c r="P676" s="1333"/>
      <c r="Q676" s="1333"/>
      <c r="R676" s="1333"/>
      <c r="T676" s="22"/>
      <c r="U676" t="s">
        <v>85</v>
      </c>
      <c r="Z676" s="1333"/>
      <c r="AA676" s="1333"/>
      <c r="AB676" s="1333"/>
      <c r="AC676" s="1333"/>
      <c r="AD676" s="1333"/>
      <c r="AE676" s="1333"/>
      <c r="AF676" s="1333"/>
      <c r="AG676" s="1333"/>
      <c r="AH676" s="1333"/>
      <c r="AI676" s="1333"/>
      <c r="AJ676" s="1333"/>
      <c r="AK676" s="1333"/>
      <c r="AZ676" s="3"/>
    </row>
    <row r="677" spans="1:52" ht="12.95" customHeight="1">
      <c r="A677" s="22"/>
      <c r="B677" t="s">
        <v>581</v>
      </c>
      <c r="G677" s="1333"/>
      <c r="H677" s="1333"/>
      <c r="I677" s="1333"/>
      <c r="J677" s="1333"/>
      <c r="K677" s="1333"/>
      <c r="L677" s="1333"/>
      <c r="M677" s="1333"/>
      <c r="N677" s="1333"/>
      <c r="O677" s="1333"/>
      <c r="P677" s="1333"/>
      <c r="Q677" s="1333"/>
      <c r="R677" s="1333"/>
      <c r="T677" s="22"/>
      <c r="U677" t="s">
        <v>581</v>
      </c>
      <c r="Z677" s="1332"/>
      <c r="AA677" s="1332"/>
      <c r="AB677" s="1332"/>
      <c r="AC677" s="1332"/>
      <c r="AD677" s="1332"/>
      <c r="AE677" s="1332"/>
      <c r="AF677" s="1332"/>
      <c r="AG677" s="1332"/>
      <c r="AH677" s="1332"/>
      <c r="AI677" s="1332"/>
      <c r="AJ677" s="1332"/>
      <c r="AK677" s="1332"/>
      <c r="AZ677" s="3"/>
    </row>
    <row r="678" spans="1:52" ht="12.95" customHeight="1">
      <c r="A678" s="22"/>
      <c r="B678" t="s">
        <v>17</v>
      </c>
      <c r="G678" s="1333"/>
      <c r="H678" s="1333"/>
      <c r="I678" s="1333"/>
      <c r="J678" s="1333"/>
      <c r="K678" s="1333"/>
      <c r="L678" s="1333"/>
      <c r="M678" s="1333"/>
      <c r="N678" s="1333"/>
      <c r="O678" s="1333"/>
      <c r="P678" s="1333"/>
      <c r="Q678" s="1333"/>
      <c r="R678" s="1333"/>
      <c r="T678" s="22"/>
      <c r="U678" t="s">
        <v>17</v>
      </c>
      <c r="Z678" s="1332"/>
      <c r="AA678" s="1332"/>
      <c r="AB678" s="1332"/>
      <c r="AC678" s="1332"/>
      <c r="AD678" s="1332"/>
      <c r="AE678" s="1332"/>
      <c r="AF678" s="1332"/>
      <c r="AG678" s="1332"/>
      <c r="AH678" s="1332"/>
      <c r="AI678" s="1332"/>
      <c r="AJ678" s="1332"/>
      <c r="AK678" s="1332"/>
      <c r="AZ678" s="3"/>
    </row>
    <row r="679" spans="1:52" ht="12.95" customHeight="1">
      <c r="A679" s="22"/>
      <c r="B679" t="s">
        <v>316</v>
      </c>
      <c r="G679" s="1494"/>
      <c r="H679" s="1494"/>
      <c r="I679" s="1494"/>
      <c r="J679" s="1494"/>
      <c r="K679" s="1494"/>
      <c r="L679" s="1494"/>
      <c r="O679" s="33" t="s">
        <v>206</v>
      </c>
      <c r="P679" s="1464"/>
      <c r="Q679" s="1464"/>
      <c r="R679" s="1464"/>
      <c r="T679" s="22"/>
      <c r="U679" t="s">
        <v>316</v>
      </c>
      <c r="Z679" s="1494"/>
      <c r="AA679" s="1494"/>
      <c r="AB679" s="1494"/>
      <c r="AC679" s="1494"/>
      <c r="AD679" s="1494"/>
      <c r="AE679" s="1494"/>
      <c r="AH679" s="33" t="s">
        <v>206</v>
      </c>
      <c r="AI679" s="1464"/>
      <c r="AJ679" s="1464"/>
      <c r="AK679" s="1464"/>
      <c r="AZ679" s="3"/>
    </row>
    <row r="680" spans="1:52" ht="12.95" customHeight="1">
      <c r="A680" s="22"/>
      <c r="B680" t="s">
        <v>18</v>
      </c>
      <c r="H680" s="1333"/>
      <c r="I680" s="1333"/>
      <c r="J680" s="1333"/>
      <c r="K680" s="1333"/>
      <c r="L680" s="1333"/>
      <c r="M680" s="1333"/>
      <c r="N680" s="1333"/>
      <c r="O680" s="1333"/>
      <c r="P680" s="1333"/>
      <c r="Q680" s="1333"/>
      <c r="R680" s="1333"/>
      <c r="T680" s="22"/>
      <c r="U680" t="s">
        <v>18</v>
      </c>
      <c r="AA680" s="1333"/>
      <c r="AB680" s="1333"/>
      <c r="AC680" s="1333"/>
      <c r="AD680" s="1333"/>
      <c r="AE680" s="1333"/>
      <c r="AF680" s="1333"/>
      <c r="AG680" s="1333"/>
      <c r="AH680" s="1333"/>
      <c r="AI680" s="1333"/>
      <c r="AJ680" s="1333"/>
      <c r="AK680" s="1333"/>
      <c r="AZ680" s="3"/>
    </row>
    <row r="681" spans="1:52" ht="12.95" customHeight="1">
      <c r="A681" s="22"/>
      <c r="B681" t="s">
        <v>20</v>
      </c>
      <c r="N681" s="1433" t="s">
        <v>670</v>
      </c>
      <c r="O681" s="1433"/>
      <c r="T681" s="22"/>
      <c r="U681" t="s">
        <v>20</v>
      </c>
      <c r="AG681" s="1433" t="s">
        <v>670</v>
      </c>
      <c r="AH681" s="1433"/>
      <c r="AZ681" s="3"/>
    </row>
    <row r="682" spans="1:52" ht="12.95" customHeight="1">
      <c r="A682" s="22"/>
      <c r="T682" s="22"/>
      <c r="AZ682" s="3"/>
    </row>
    <row r="683" spans="1:52" ht="12.95" customHeight="1">
      <c r="A683" s="55" t="s">
        <v>362</v>
      </c>
      <c r="B683" t="s">
        <v>464</v>
      </c>
      <c r="G683" s="1482">
        <f>C637</f>
        <v>0</v>
      </c>
      <c r="H683" s="1482"/>
      <c r="I683" s="1482"/>
      <c r="J683" s="1482"/>
      <c r="K683" s="1482"/>
      <c r="L683" s="1482"/>
      <c r="M683" s="1482"/>
      <c r="N683" s="1482"/>
      <c r="O683" s="1482"/>
      <c r="P683" s="1482"/>
      <c r="Q683" s="1482"/>
      <c r="R683" s="1482"/>
      <c r="T683" s="55" t="s">
        <v>363</v>
      </c>
      <c r="U683" t="s">
        <v>464</v>
      </c>
      <c r="Z683" s="1482">
        <f>C638</f>
        <v>0</v>
      </c>
      <c r="AA683" s="1482"/>
      <c r="AB683" s="1482"/>
      <c r="AC683" s="1482"/>
      <c r="AD683" s="1482"/>
      <c r="AE683" s="1482"/>
      <c r="AF683" s="1482"/>
      <c r="AG683" s="1482"/>
      <c r="AH683" s="1482"/>
      <c r="AI683" s="1482"/>
      <c r="AJ683" s="1482"/>
      <c r="AK683" s="1482"/>
      <c r="AZ683" s="3"/>
    </row>
    <row r="684" spans="1:52" ht="12.95" customHeight="1">
      <c r="B684" t="s">
        <v>85</v>
      </c>
      <c r="G684" s="1333"/>
      <c r="H684" s="1333"/>
      <c r="I684" s="1333"/>
      <c r="J684" s="1333"/>
      <c r="K684" s="1333"/>
      <c r="L684" s="1333"/>
      <c r="M684" s="1333"/>
      <c r="N684" s="1333"/>
      <c r="O684" s="1333"/>
      <c r="P684" s="1333"/>
      <c r="Q684" s="1333"/>
      <c r="R684" s="1333"/>
      <c r="T684" s="22"/>
      <c r="U684" t="s">
        <v>85</v>
      </c>
      <c r="Z684" s="1333"/>
      <c r="AA684" s="1333"/>
      <c r="AB684" s="1333"/>
      <c r="AC684" s="1333"/>
      <c r="AD684" s="1333"/>
      <c r="AE684" s="1333"/>
      <c r="AF684" s="1333"/>
      <c r="AG684" s="1333"/>
      <c r="AH684" s="1333"/>
      <c r="AI684" s="1333"/>
      <c r="AJ684" s="1333"/>
      <c r="AK684" s="1333"/>
      <c r="AZ684" s="3"/>
    </row>
    <row r="685" spans="1:52" ht="12.95" customHeight="1">
      <c r="B685" t="s">
        <v>581</v>
      </c>
      <c r="G685" s="1333"/>
      <c r="H685" s="1333"/>
      <c r="I685" s="1333"/>
      <c r="J685" s="1333"/>
      <c r="K685" s="1333"/>
      <c r="L685" s="1333"/>
      <c r="M685" s="1333"/>
      <c r="N685" s="1333"/>
      <c r="O685" s="1333"/>
      <c r="P685" s="1333"/>
      <c r="Q685" s="1333"/>
      <c r="R685" s="1333"/>
      <c r="U685" t="s">
        <v>581</v>
      </c>
      <c r="Z685" s="1332"/>
      <c r="AA685" s="1332"/>
      <c r="AB685" s="1332"/>
      <c r="AC685" s="1332"/>
      <c r="AD685" s="1332"/>
      <c r="AE685" s="1332"/>
      <c r="AF685" s="1332"/>
      <c r="AG685" s="1332"/>
      <c r="AH685" s="1332"/>
      <c r="AI685" s="1332"/>
      <c r="AJ685" s="1332"/>
      <c r="AK685" s="1332"/>
      <c r="AZ685" s="3"/>
    </row>
    <row r="686" spans="1:52" ht="12.95" customHeight="1">
      <c r="B686" t="s">
        <v>17</v>
      </c>
      <c r="G686" s="1333"/>
      <c r="H686" s="1333"/>
      <c r="I686" s="1333"/>
      <c r="J686" s="1333"/>
      <c r="K686" s="1333"/>
      <c r="L686" s="1333"/>
      <c r="M686" s="1333"/>
      <c r="N686" s="1333"/>
      <c r="O686" s="1333"/>
      <c r="P686" s="1333"/>
      <c r="Q686" s="1333"/>
      <c r="R686" s="1333"/>
      <c r="U686" t="s">
        <v>17</v>
      </c>
      <c r="Z686" s="1332"/>
      <c r="AA686" s="1332"/>
      <c r="AB686" s="1332"/>
      <c r="AC686" s="1332"/>
      <c r="AD686" s="1332"/>
      <c r="AE686" s="1332"/>
      <c r="AF686" s="1332"/>
      <c r="AG686" s="1332"/>
      <c r="AH686" s="1332"/>
      <c r="AI686" s="1332"/>
      <c r="AJ686" s="1332"/>
      <c r="AK686" s="1332"/>
      <c r="AZ686" s="3"/>
    </row>
    <row r="687" spans="1:52" ht="12.95" customHeight="1">
      <c r="B687" t="s">
        <v>316</v>
      </c>
      <c r="G687" s="1494"/>
      <c r="H687" s="1494"/>
      <c r="I687" s="1494"/>
      <c r="J687" s="1494"/>
      <c r="K687" s="1494"/>
      <c r="L687" s="1494"/>
      <c r="O687" s="33" t="s">
        <v>206</v>
      </c>
      <c r="P687" s="1464"/>
      <c r="Q687" s="1464"/>
      <c r="R687" s="1464"/>
      <c r="U687" t="s">
        <v>316</v>
      </c>
      <c r="Z687" s="1494"/>
      <c r="AA687" s="1494"/>
      <c r="AB687" s="1494"/>
      <c r="AC687" s="1494"/>
      <c r="AD687" s="1494"/>
      <c r="AE687" s="1494"/>
      <c r="AH687" s="33" t="s">
        <v>206</v>
      </c>
      <c r="AI687" s="1464"/>
      <c r="AJ687" s="1464"/>
      <c r="AK687" s="1464"/>
      <c r="AZ687" s="3"/>
    </row>
    <row r="688" spans="1:52" ht="12.95" customHeight="1">
      <c r="B688" t="s">
        <v>18</v>
      </c>
      <c r="H688" s="1333"/>
      <c r="I688" s="1333"/>
      <c r="J688" s="1333"/>
      <c r="K688" s="1333"/>
      <c r="L688" s="1333"/>
      <c r="M688" s="1333"/>
      <c r="N688" s="1333"/>
      <c r="O688" s="1333"/>
      <c r="P688" s="1333"/>
      <c r="Q688" s="1333"/>
      <c r="R688" s="1333"/>
      <c r="U688" t="s">
        <v>18</v>
      </c>
      <c r="AA688" s="1333"/>
      <c r="AB688" s="1333"/>
      <c r="AC688" s="1333"/>
      <c r="AD688" s="1333"/>
      <c r="AE688" s="1333"/>
      <c r="AF688" s="1333"/>
      <c r="AG688" s="1333"/>
      <c r="AH688" s="1333"/>
      <c r="AI688" s="1333"/>
      <c r="AJ688" s="1333"/>
      <c r="AK688" s="1333"/>
      <c r="AZ688" s="3"/>
    </row>
    <row r="689" spans="1:67" ht="12.95" customHeight="1">
      <c r="B689" t="s">
        <v>20</v>
      </c>
      <c r="N689" s="1433" t="s">
        <v>670</v>
      </c>
      <c r="O689" s="1433"/>
      <c r="U689" t="s">
        <v>20</v>
      </c>
      <c r="AG689" s="1433" t="s">
        <v>670</v>
      </c>
      <c r="AH689" s="1433"/>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33" t="s">
        <v>670</v>
      </c>
      <c r="AF693" s="1433"/>
      <c r="AZ693" s="3"/>
    </row>
    <row r="694" spans="1:67" ht="12.95" customHeight="1">
      <c r="B694" s="135"/>
      <c r="C694" s="135"/>
      <c r="D694" s="136" t="s">
        <v>438</v>
      </c>
      <c r="E694" s="135"/>
      <c r="F694" s="135"/>
      <c r="G694" s="135"/>
      <c r="H694" s="135"/>
      <c r="AE694" s="1433" t="s">
        <v>546</v>
      </c>
      <c r="AF694" s="1433"/>
      <c r="AZ694" s="3"/>
    </row>
    <row r="695" spans="1:67" ht="12.95" customHeight="1">
      <c r="B695" s="135"/>
      <c r="C695" s="135"/>
      <c r="D695" s="136" t="s">
        <v>921</v>
      </c>
      <c r="E695" s="135"/>
      <c r="F695" s="135"/>
      <c r="G695" s="135"/>
      <c r="H695" s="135"/>
      <c r="AE695" s="1541">
        <v>45909</v>
      </c>
      <c r="AF695" s="1541"/>
      <c r="AG695" s="1541"/>
      <c r="AH695" s="1541"/>
      <c r="AI695" s="1541"/>
    </row>
    <row r="696" spans="1:67" ht="12.95" customHeight="1">
      <c r="B696" s="135"/>
      <c r="C696" s="135"/>
      <c r="D696" s="317" t="s">
        <v>984</v>
      </c>
      <c r="E696" s="135"/>
      <c r="F696" s="135"/>
      <c r="G696" s="135"/>
      <c r="H696" s="135"/>
      <c r="AE696" s="1666">
        <v>45919</v>
      </c>
      <c r="AF696" s="1666"/>
      <c r="AG696" s="1666"/>
      <c r="AH696" s="1666"/>
      <c r="AI696" s="1666"/>
    </row>
    <row r="697" spans="1:67" ht="12.95" customHeight="1">
      <c r="B697" s="135"/>
      <c r="C697" s="135"/>
    </row>
    <row r="698" spans="1:67" ht="12.95" customHeight="1">
      <c r="B698" s="135"/>
      <c r="C698" s="135"/>
      <c r="D698" s="136" t="s">
        <v>817</v>
      </c>
      <c r="E698" s="135"/>
      <c r="F698" s="135"/>
      <c r="G698" s="135"/>
      <c r="H698" s="135"/>
      <c r="AE698" s="1541">
        <v>46143</v>
      </c>
      <c r="AF698" s="1541"/>
      <c r="AG698" s="1541"/>
      <c r="AH698" s="1541"/>
      <c r="AI698" s="1541"/>
    </row>
    <row r="699" spans="1:67" ht="12.95" customHeight="1">
      <c r="B699" s="135"/>
      <c r="C699" s="135"/>
      <c r="D699" s="136" t="s">
        <v>436</v>
      </c>
      <c r="E699" s="135"/>
      <c r="F699" s="135"/>
      <c r="G699" s="135"/>
      <c r="H699" s="135"/>
      <c r="AE699" s="1858">
        <v>0.3</v>
      </c>
      <c r="AF699" s="1858"/>
      <c r="AG699" s="1858"/>
      <c r="AH699" s="1858"/>
      <c r="AI699" s="1858"/>
    </row>
    <row r="700" spans="1:67" ht="12.95" customHeight="1">
      <c r="B700" s="135"/>
      <c r="C700" s="135"/>
      <c r="D700" s="136" t="s">
        <v>437</v>
      </c>
      <c r="E700" s="135"/>
      <c r="F700" s="135"/>
      <c r="G700" s="135"/>
      <c r="H700" s="135"/>
      <c r="W700" s="1482" t="str">
        <f>H335</f>
        <v>California Municipal Finance Authority</v>
      </c>
      <c r="X700" s="1482"/>
      <c r="Y700" s="1482"/>
      <c r="Z700" s="1482"/>
      <c r="AA700" s="1482"/>
      <c r="AB700" s="1482"/>
      <c r="AC700" s="1482"/>
      <c r="AD700" s="1482"/>
      <c r="AE700" s="1482"/>
      <c r="AF700" s="1482"/>
      <c r="AG700" s="1482"/>
      <c r="AH700" s="1482"/>
      <c r="AI700" s="1482"/>
      <c r="AJ700" s="1482"/>
      <c r="AK700" s="1482"/>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33" t="s">
        <v>670</v>
      </c>
      <c r="AF702" s="1433"/>
      <c r="AZ702" s="4" t="s">
        <v>324</v>
      </c>
    </row>
    <row r="703" spans="1:67" ht="12.95" customHeight="1">
      <c r="B703" s="135"/>
      <c r="C703" s="135"/>
      <c r="D703" s="136" t="s">
        <v>443</v>
      </c>
      <c r="E703" s="135"/>
      <c r="F703" s="135"/>
      <c r="G703" s="135"/>
      <c r="H703" s="135"/>
      <c r="W703" s="1333" t="s">
        <v>592</v>
      </c>
      <c r="X703" s="1333"/>
      <c r="Y703" s="1333"/>
      <c r="Z703" s="1333"/>
      <c r="AA703" s="1333"/>
      <c r="AB703" s="1333"/>
      <c r="AC703" s="1333"/>
      <c r="AD703" s="1333"/>
      <c r="AE703" s="1333"/>
      <c r="AF703" s="1333"/>
      <c r="AG703" s="1333"/>
      <c r="AH703" s="1333"/>
      <c r="AI703" s="1333"/>
      <c r="AJ703" s="1333"/>
      <c r="AK703" s="1333"/>
      <c r="AZ703" s="4" t="s">
        <v>325</v>
      </c>
    </row>
    <row r="704" spans="1:67" ht="12.95" customHeight="1">
      <c r="B704" s="135"/>
      <c r="C704" s="135"/>
      <c r="D704" s="136" t="s">
        <v>87</v>
      </c>
      <c r="E704" s="135"/>
      <c r="F704" s="135"/>
      <c r="G704" s="135"/>
      <c r="H704" s="135"/>
      <c r="J704" s="1333" t="s">
        <v>592</v>
      </c>
      <c r="K704" s="1333"/>
      <c r="L704" s="1333"/>
      <c r="M704" s="1333"/>
      <c r="N704" s="1333"/>
      <c r="O704" s="1333"/>
      <c r="P704" s="1333"/>
      <c r="Q704" s="1333"/>
      <c r="R704" s="1333"/>
      <c r="S704" s="1333"/>
      <c r="T704" s="1333"/>
      <c r="U704" s="1333"/>
      <c r="V704" s="1333"/>
      <c r="W704" s="1333"/>
      <c r="X704" s="1333"/>
      <c r="AZ704" s="4" t="s">
        <v>163</v>
      </c>
      <c r="BB704" s="34"/>
      <c r="BC704" s="34"/>
      <c r="BD704" s="34"/>
      <c r="BE704" s="3"/>
      <c r="BF704" s="3"/>
      <c r="BJ704" s="3"/>
      <c r="BK704" s="3"/>
      <c r="BL704" s="3"/>
      <c r="BM704" s="3"/>
      <c r="BN704" s="34"/>
      <c r="BO704" s="34"/>
    </row>
    <row r="705" spans="1:185" ht="12.95" customHeight="1">
      <c r="B705" s="135"/>
      <c r="C705" s="135"/>
      <c r="D705" s="136" t="s">
        <v>88</v>
      </c>
      <c r="J705" s="1494"/>
      <c r="K705" s="1494"/>
      <c r="L705" s="1494"/>
      <c r="M705" s="1494"/>
      <c r="N705" s="1494"/>
      <c r="O705" s="1494"/>
      <c r="P705" s="4" t="s">
        <v>206</v>
      </c>
      <c r="Q705" s="4"/>
      <c r="R705" s="1464"/>
      <c r="S705" s="1464"/>
      <c r="T705" s="1464"/>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33" t="s">
        <v>307</v>
      </c>
      <c r="X706" s="1333"/>
      <c r="Y706" s="1333"/>
      <c r="Z706" s="1333"/>
      <c r="AA706" s="1333"/>
      <c r="AB706" s="1333"/>
      <c r="AC706" s="1333"/>
      <c r="AD706" s="1333"/>
      <c r="AE706" s="1333"/>
      <c r="AF706" s="1333"/>
      <c r="AG706" s="1333"/>
      <c r="AH706" s="1333"/>
      <c r="AI706" s="1333"/>
      <c r="AJ706" s="1333"/>
      <c r="AK706" s="133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33" t="s">
        <v>334</v>
      </c>
      <c r="F707" s="1333"/>
      <c r="G707" s="1333"/>
      <c r="H707" s="1333"/>
      <c r="I707" s="1333"/>
      <c r="J707" s="1333"/>
      <c r="K707" s="1333"/>
      <c r="L707" s="1333"/>
      <c r="M707" s="1333"/>
      <c r="N707" s="1333"/>
      <c r="O707" s="1333"/>
      <c r="P707" s="1333"/>
      <c r="Q707" s="1333"/>
      <c r="R707" s="1333"/>
      <c r="S707" s="1333"/>
      <c r="T707" s="1333"/>
      <c r="U707" s="1333"/>
      <c r="V707" s="1333"/>
      <c r="W707" s="1333"/>
      <c r="X707" s="1333"/>
      <c r="Y707" s="1333"/>
      <c r="Z707" s="1333"/>
      <c r="AA707" s="1333"/>
      <c r="AB707" s="1333"/>
      <c r="AC707" s="1333"/>
      <c r="AD707" s="1333"/>
      <c r="AE707" s="1333"/>
      <c r="AF707" s="1333"/>
      <c r="AG707" s="1333"/>
      <c r="AH707" s="1333"/>
      <c r="AI707" s="1333"/>
      <c r="AJ707" s="1333"/>
      <c r="AK707" s="133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9" t="s">
        <v>389</v>
      </c>
      <c r="C714" s="1500"/>
      <c r="D714" s="1500"/>
      <c r="E714" s="1500"/>
      <c r="F714" s="1501"/>
      <c r="G714" s="1499" t="s">
        <v>285</v>
      </c>
      <c r="H714" s="1500"/>
      <c r="I714" s="1500"/>
      <c r="J714" s="1501"/>
      <c r="K714" s="1486" t="s">
        <v>1680</v>
      </c>
      <c r="L714" s="1487"/>
      <c r="M714" s="1487"/>
      <c r="N714" s="1488"/>
      <c r="O714" s="1499" t="s">
        <v>448</v>
      </c>
      <c r="P714" s="1500"/>
      <c r="Q714" s="1500"/>
      <c r="R714" s="1500"/>
      <c r="S714" s="1501"/>
      <c r="T714" s="1596" t="s">
        <v>1950</v>
      </c>
      <c r="U714" s="1500"/>
      <c r="V714" s="1500"/>
      <c r="W714" s="1501"/>
      <c r="X714" s="1596" t="s">
        <v>1952</v>
      </c>
      <c r="Y714" s="1500"/>
      <c r="Z714" s="1500"/>
      <c r="AA714" s="1500"/>
      <c r="AB714" s="1501"/>
      <c r="AC714" s="1596" t="s">
        <v>1951</v>
      </c>
      <c r="AD714" s="1500"/>
      <c r="AE714" s="1500"/>
      <c r="AF714" s="1500"/>
      <c r="AG714" s="1501"/>
      <c r="AH714" s="1596" t="s">
        <v>1953</v>
      </c>
      <c r="AI714" s="1500"/>
      <c r="AJ714" s="1501"/>
      <c r="AK714" s="1596" t="s">
        <v>1980</v>
      </c>
      <c r="AL714" s="1500"/>
      <c r="AM714" s="1500"/>
      <c r="AN714" s="1500"/>
      <c r="AO714" s="150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502"/>
      <c r="C715" s="1503"/>
      <c r="D715" s="1503"/>
      <c r="E715" s="1503"/>
      <c r="F715" s="1504"/>
      <c r="G715" s="1502"/>
      <c r="H715" s="1503"/>
      <c r="I715" s="1503"/>
      <c r="J715" s="1504"/>
      <c r="K715" s="1489"/>
      <c r="L715" s="1490"/>
      <c r="M715" s="1490"/>
      <c r="N715" s="1491"/>
      <c r="O715" s="1502"/>
      <c r="P715" s="1503"/>
      <c r="Q715" s="1503"/>
      <c r="R715" s="1503"/>
      <c r="S715" s="1504"/>
      <c r="T715" s="1502"/>
      <c r="U715" s="1503"/>
      <c r="V715" s="1503"/>
      <c r="W715" s="1504"/>
      <c r="X715" s="1502"/>
      <c r="Y715" s="1503"/>
      <c r="Z715" s="1503"/>
      <c r="AA715" s="1503"/>
      <c r="AB715" s="1504"/>
      <c r="AC715" s="1502"/>
      <c r="AD715" s="1503"/>
      <c r="AE715" s="1503"/>
      <c r="AF715" s="1503"/>
      <c r="AG715" s="1504"/>
      <c r="AH715" s="1502"/>
      <c r="AI715" s="1503"/>
      <c r="AJ715" s="1504"/>
      <c r="AK715" s="1502"/>
      <c r="AL715" s="1503"/>
      <c r="AM715" s="1503"/>
      <c r="AN715" s="1503"/>
      <c r="AO715" s="150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502"/>
      <c r="C716" s="1503"/>
      <c r="D716" s="1503"/>
      <c r="E716" s="1503"/>
      <c r="F716" s="1504"/>
      <c r="G716" s="1502"/>
      <c r="H716" s="1503"/>
      <c r="I716" s="1503"/>
      <c r="J716" s="1504"/>
      <c r="K716" s="1489"/>
      <c r="L716" s="1490"/>
      <c r="M716" s="1490"/>
      <c r="N716" s="1491"/>
      <c r="O716" s="1502"/>
      <c r="P716" s="1503"/>
      <c r="Q716" s="1503"/>
      <c r="R716" s="1503"/>
      <c r="S716" s="1504"/>
      <c r="T716" s="1502"/>
      <c r="U716" s="1503"/>
      <c r="V716" s="1503"/>
      <c r="W716" s="1504"/>
      <c r="X716" s="1502"/>
      <c r="Y716" s="1503"/>
      <c r="Z716" s="1503"/>
      <c r="AA716" s="1503"/>
      <c r="AB716" s="1504"/>
      <c r="AC716" s="1502"/>
      <c r="AD716" s="1503"/>
      <c r="AE716" s="1503"/>
      <c r="AF716" s="1503"/>
      <c r="AG716" s="1504"/>
      <c r="AH716" s="1502"/>
      <c r="AI716" s="1503"/>
      <c r="AJ716" s="1504"/>
      <c r="AK716" s="1502"/>
      <c r="AL716" s="1503"/>
      <c r="AM716" s="1503"/>
      <c r="AN716" s="1503"/>
      <c r="AO716" s="1504"/>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5"/>
      <c r="C717" s="1506"/>
      <c r="D717" s="1506"/>
      <c r="E717" s="1506"/>
      <c r="F717" s="1507"/>
      <c r="G717" s="1505"/>
      <c r="H717" s="1506"/>
      <c r="I717" s="1506"/>
      <c r="J717" s="1507"/>
      <c r="K717" s="1489"/>
      <c r="L717" s="1490"/>
      <c r="M717" s="1490"/>
      <c r="N717" s="1491"/>
      <c r="O717" s="1505"/>
      <c r="P717" s="1506"/>
      <c r="Q717" s="1506"/>
      <c r="R717" s="1506"/>
      <c r="S717" s="1507"/>
      <c r="T717" s="1505"/>
      <c r="U717" s="1506"/>
      <c r="V717" s="1506"/>
      <c r="W717" s="1507"/>
      <c r="X717" s="1505"/>
      <c r="Y717" s="1506"/>
      <c r="Z717" s="1506"/>
      <c r="AA717" s="1506"/>
      <c r="AB717" s="1507"/>
      <c r="AC717" s="1505"/>
      <c r="AD717" s="1506"/>
      <c r="AE717" s="1506"/>
      <c r="AF717" s="1506"/>
      <c r="AG717" s="1507"/>
      <c r="AH717" s="1505"/>
      <c r="AI717" s="1506"/>
      <c r="AJ717" s="1507"/>
      <c r="AK717" s="1505"/>
      <c r="AL717" s="1506"/>
      <c r="AM717" s="1506"/>
      <c r="AN717" s="1506"/>
      <c r="AO717" s="1507"/>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8"/>
      <c r="CJ717" s="1340"/>
      <c r="CK717" s="121" t="s">
        <v>476</v>
      </c>
      <c r="CL717" s="122"/>
      <c r="CM717" s="1338"/>
      <c r="CN717" s="1340"/>
      <c r="CO717" s="3"/>
      <c r="CP717" s="1801" t="s">
        <v>634</v>
      </c>
      <c r="CQ717" s="1802"/>
      <c r="CR717" s="1802"/>
      <c r="CS717" s="1802"/>
      <c r="CT717" s="1803"/>
      <c r="CU717" s="1684" t="s">
        <v>325</v>
      </c>
      <c r="CV717" s="1684"/>
      <c r="CW717" s="1684"/>
      <c r="CX717" s="1684"/>
      <c r="CY717" s="1684"/>
      <c r="CZ717" s="1684" t="s">
        <v>163</v>
      </c>
      <c r="DA717" s="1684"/>
      <c r="DB717" s="1684"/>
      <c r="DC717" s="1684"/>
      <c r="DD717" s="1684"/>
      <c r="DE717" s="1684" t="s">
        <v>164</v>
      </c>
      <c r="DF717" s="1684"/>
      <c r="DG717" s="1684"/>
      <c r="DH717" s="1684"/>
      <c r="DI717" s="1684"/>
      <c r="DJ717" s="1684" t="s">
        <v>461</v>
      </c>
      <c r="DK717" s="1684"/>
      <c r="DL717" s="1684"/>
      <c r="DM717" s="1684"/>
      <c r="DN717" s="1684"/>
      <c r="DO717" s="1684" t="s">
        <v>30</v>
      </c>
      <c r="DP717" s="1684"/>
      <c r="DQ717" s="1684"/>
      <c r="DR717" s="1684"/>
      <c r="DS717" s="1684"/>
      <c r="DT717" s="89"/>
      <c r="DU717" s="1684" t="s">
        <v>634</v>
      </c>
      <c r="DV717" s="1684"/>
      <c r="DW717" s="1684"/>
      <c r="DX717" s="1684"/>
      <c r="DY717" s="1684"/>
      <c r="DZ717" s="1684" t="s">
        <v>325</v>
      </c>
      <c r="EA717" s="1684"/>
      <c r="EB717" s="1684"/>
      <c r="EC717" s="1684"/>
      <c r="ED717" s="1684"/>
      <c r="EE717" s="1684" t="s">
        <v>163</v>
      </c>
      <c r="EF717" s="1684"/>
      <c r="EG717" s="1684"/>
      <c r="EH717" s="1684"/>
      <c r="EI717" s="1684"/>
      <c r="EJ717" s="1684" t="s">
        <v>164</v>
      </c>
      <c r="EK717" s="1684"/>
      <c r="EL717" s="1684"/>
      <c r="EM717" s="1684"/>
      <c r="EN717" s="1684"/>
      <c r="EO717" s="1684" t="s">
        <v>461</v>
      </c>
      <c r="EP717" s="1684"/>
      <c r="EQ717" s="1684"/>
      <c r="ER717" s="1684"/>
      <c r="ES717" s="1684"/>
      <c r="ET717" s="1684" t="s">
        <v>30</v>
      </c>
      <c r="EU717" s="1684"/>
      <c r="EV717" s="1684"/>
      <c r="EW717" s="1684"/>
      <c r="EX717" s="1684"/>
      <c r="EY717" s="4"/>
      <c r="EZ717" s="1684" t="s">
        <v>634</v>
      </c>
      <c r="FA717" s="1684"/>
      <c r="FB717" s="1684"/>
      <c r="FC717" s="1684"/>
      <c r="FD717" s="1684"/>
      <c r="FE717" s="1684" t="s">
        <v>325</v>
      </c>
      <c r="FF717" s="1684"/>
      <c r="FG717" s="1684"/>
      <c r="FH717" s="1684"/>
      <c r="FI717" s="1684"/>
      <c r="FJ717" s="1684" t="s">
        <v>163</v>
      </c>
      <c r="FK717" s="1684"/>
      <c r="FL717" s="1684"/>
      <c r="FM717" s="1684"/>
      <c r="FN717" s="1684"/>
      <c r="FO717" s="1684" t="s">
        <v>164</v>
      </c>
      <c r="FP717" s="1684"/>
      <c r="FQ717" s="1684"/>
      <c r="FR717" s="1684"/>
      <c r="FS717" s="1684"/>
      <c r="FT717" s="1684" t="s">
        <v>461</v>
      </c>
      <c r="FU717" s="1684"/>
      <c r="FV717" s="1684"/>
      <c r="FW717" s="1684"/>
      <c r="FX717" s="1684"/>
      <c r="FY717" s="1684" t="s">
        <v>30</v>
      </c>
      <c r="FZ717" s="1684"/>
      <c r="GA717" s="1684"/>
      <c r="GB717" s="1684"/>
      <c r="GC717" s="1684"/>
    </row>
    <row r="718" spans="1:185" ht="12.95" customHeight="1">
      <c r="A718" s="4"/>
      <c r="B718" s="1404" t="s">
        <v>325</v>
      </c>
      <c r="C718" s="1405"/>
      <c r="D718" s="1405"/>
      <c r="E718" s="1405"/>
      <c r="F718" s="1406"/>
      <c r="G718" s="1476">
        <v>18</v>
      </c>
      <c r="H718" s="1477"/>
      <c r="I718" s="1477"/>
      <c r="J718" s="1478"/>
      <c r="K718" s="1597">
        <v>553</v>
      </c>
      <c r="L718" s="1598"/>
      <c r="M718" s="1598"/>
      <c r="N718" s="1599"/>
      <c r="O718" s="1379">
        <v>528</v>
      </c>
      <c r="P718" s="1380"/>
      <c r="Q718" s="1380"/>
      <c r="R718" s="1380"/>
      <c r="S718" s="1381"/>
      <c r="T718" s="1379">
        <v>0</v>
      </c>
      <c r="U718" s="1380"/>
      <c r="V718" s="1380"/>
      <c r="W718" s="1381"/>
      <c r="X718" s="1382">
        <f t="shared" ref="X718:X741" si="8">O718+T718</f>
        <v>528</v>
      </c>
      <c r="Y718" s="1383"/>
      <c r="Z718" s="1383"/>
      <c r="AA718" s="1383"/>
      <c r="AB718" s="1384"/>
      <c r="AC718" s="1606">
        <v>0.3</v>
      </c>
      <c r="AD718" s="1607"/>
      <c r="AE718" s="1607"/>
      <c r="AF718" s="1607"/>
      <c r="AG718" s="1608"/>
      <c r="AH718" s="1407">
        <f>IF($AC718&gt;0,($X718/$AZ718), "")</f>
        <v>0.29965947786606129</v>
      </c>
      <c r="AI718" s="1408"/>
      <c r="AJ718" s="1409"/>
      <c r="AK718" s="1404" t="s">
        <v>592</v>
      </c>
      <c r="AL718" s="1405"/>
      <c r="AM718" s="1405"/>
      <c r="AN718" s="1405"/>
      <c r="AO718" s="1406"/>
      <c r="AP718" s="3"/>
      <c r="AQ718" s="3"/>
      <c r="AR718" s="3"/>
      <c r="AS718" s="3"/>
      <c r="AZ718" s="118">
        <f t="shared" ref="AZ718:AZ752" si="9">IF($G718=0,"N/A",VLOOKUP($T$189,TC_Rent,(MATCH($B718,bedrooms,FALSE)),FALSE))</f>
        <v>1762</v>
      </c>
      <c r="BA718" s="3"/>
      <c r="BB718" s="3"/>
      <c r="BC718" s="3"/>
      <c r="BD718" s="3"/>
      <c r="BE718" s="204"/>
      <c r="BF718" s="293">
        <f t="shared" ref="BF718:BF752" si="10">G718</f>
        <v>18</v>
      </c>
      <c r="BG718" s="297">
        <f t="shared" ref="BG718:BG752" si="11">IF($BF$753=0,0,BF718/$BF$753)</f>
        <v>0.1276595744680851</v>
      </c>
      <c r="BH718" s="298">
        <f t="shared" ref="BH718:BH752" si="12">IF(BG718=0,"",BG718*AC718)</f>
        <v>3.8297872340425525E-2</v>
      </c>
      <c r="BI718" s="3"/>
      <c r="BJ718" s="3"/>
      <c r="BK718" s="3"/>
      <c r="BL718" s="3"/>
      <c r="BM718" s="3"/>
      <c r="BN718" s="3"/>
      <c r="BS718" s="293">
        <f t="shared" ref="BS718:BS752" si="13">G718</f>
        <v>18</v>
      </c>
      <c r="BT718" s="297">
        <f t="shared" ref="BT718:BT752" si="14">IF($BS$753=0,0,BS718/$BS$753)</f>
        <v>0.1276595744680851</v>
      </c>
      <c r="BU718" s="298">
        <f t="shared" ref="BU718:BU752" si="15">IF(BT718=0,"",BT718*AH718)</f>
        <v>3.8254401429709949E-2</v>
      </c>
      <c r="CC718" s="3"/>
      <c r="CD718" s="3"/>
      <c r="CE718" s="3"/>
      <c r="CF718" s="3"/>
      <c r="CG718" s="1353">
        <f>IF(AND(AC718&lt;=0.5,AC718&gt;=0.36),1,0)</f>
        <v>0</v>
      </c>
      <c r="CH718" s="1355"/>
      <c r="CI718" s="1338">
        <f>IF(CG718=1,G718,0)</f>
        <v>0</v>
      </c>
      <c r="CJ718" s="1340"/>
      <c r="CK718" s="1353">
        <f t="shared" ref="CK718:CK752" si="16">IF(AND(AC718&lt;=0.35,AC718&gt;0),1,0)</f>
        <v>1</v>
      </c>
      <c r="CL718" s="1355"/>
      <c r="CM718" s="1338">
        <f t="shared" ref="CM718:CM752" si="17">IF(CK718=1,G718,0)</f>
        <v>18</v>
      </c>
      <c r="CN718" s="1340"/>
      <c r="CO718" s="3"/>
      <c r="CP718" s="1335">
        <f t="shared" ref="CP718:CP752" si="18">IF(B718="SRO/Studio",G718,0)</f>
        <v>0</v>
      </c>
      <c r="CQ718" s="1336"/>
      <c r="CR718" s="1336"/>
      <c r="CS718" s="1336"/>
      <c r="CT718" s="1337"/>
      <c r="CU718" s="1344">
        <f t="shared" ref="CU718:CU752" si="19">IF(B718="1 Bedroom",G718,0)</f>
        <v>18</v>
      </c>
      <c r="CV718" s="1344"/>
      <c r="CW718" s="1344"/>
      <c r="CX718" s="1344"/>
      <c r="CY718" s="1344"/>
      <c r="CZ718" s="1344">
        <f t="shared" ref="CZ718:CZ752" si="20">IF(B718="2 Bedrooms",G718,0)</f>
        <v>0</v>
      </c>
      <c r="DA718" s="1344"/>
      <c r="DB718" s="1344"/>
      <c r="DC718" s="1344"/>
      <c r="DD718" s="1344"/>
      <c r="DE718" s="1344">
        <f t="shared" ref="DE718:DE752" si="21">IF(B718="3 Bedrooms",G718,0)</f>
        <v>0</v>
      </c>
      <c r="DF718" s="1344"/>
      <c r="DG718" s="1344"/>
      <c r="DH718" s="1344"/>
      <c r="DI718" s="1344"/>
      <c r="DJ718" s="1344">
        <f t="shared" ref="DJ718:DJ752" si="22">IF(B718="4 Bedrooms",G718,0)</f>
        <v>0</v>
      </c>
      <c r="DK718" s="1344"/>
      <c r="DL718" s="1344"/>
      <c r="DM718" s="1344"/>
      <c r="DN718" s="1344"/>
      <c r="DO718" s="1344">
        <f t="shared" ref="DO718:DO752" si="23">IF(B718="5 Bedrooms",G718,0)</f>
        <v>0</v>
      </c>
      <c r="DP718" s="1344"/>
      <c r="DQ718" s="1344"/>
      <c r="DR718" s="1344"/>
      <c r="DS718" s="1344"/>
      <c r="DT718" s="6"/>
      <c r="DU718" s="1360">
        <f t="shared" ref="DU718:DU752" si="24">IF(AND(B718="SRO/Studio",AC718&lt;=0.3),G718,0)</f>
        <v>0</v>
      </c>
      <c r="DV718" s="1360"/>
      <c r="DW718" s="1360"/>
      <c r="DX718" s="1360"/>
      <c r="DY718" s="1360"/>
      <c r="DZ718" s="1360">
        <f t="shared" ref="DZ718:DZ752" si="25">IF(AND(B718="1 Bedroom",AC718&lt;=0.3),G718,0)</f>
        <v>18</v>
      </c>
      <c r="EA718" s="1360"/>
      <c r="EB718" s="1360"/>
      <c r="EC718" s="1360"/>
      <c r="ED718" s="1360"/>
      <c r="EE718" s="1360">
        <f t="shared" ref="EE718:EE752" si="26">IF(AND(B718="2 Bedrooms",AC718&lt;=0.3),G718,0)</f>
        <v>0</v>
      </c>
      <c r="EF718" s="1360"/>
      <c r="EG718" s="1360"/>
      <c r="EH718" s="1360"/>
      <c r="EI718" s="1360"/>
      <c r="EJ718" s="1360">
        <f t="shared" ref="EJ718:EJ752" si="27">IF(AND(B718="3 Bedrooms",AC718&lt;=0.3),G718,0)</f>
        <v>0</v>
      </c>
      <c r="EK718" s="1360"/>
      <c r="EL718" s="1360"/>
      <c r="EM718" s="1360"/>
      <c r="EN718" s="1360"/>
      <c r="EO718" s="1360">
        <f t="shared" ref="EO718:EO752" si="28">IF(AND(B718="4 Bedrooms",AC718&lt;=0.3),G718,0)</f>
        <v>0</v>
      </c>
      <c r="EP718" s="1360"/>
      <c r="EQ718" s="1360"/>
      <c r="ER718" s="1360"/>
      <c r="ES718" s="1360"/>
      <c r="ET718" s="1360">
        <f t="shared" ref="ET718:ET752" si="29">IF(AND(B718="5 Bedrooms",AC718&lt;=0.3),G718,0)</f>
        <v>0</v>
      </c>
      <c r="EU718" s="1360"/>
      <c r="EV718" s="1360"/>
      <c r="EW718" s="1360"/>
      <c r="EX718" s="1360"/>
      <c r="EY718" s="4"/>
      <c r="EZ718" s="1353" t="str">
        <f t="shared" ref="EZ718:EZ752" si="30">IF(CP718&gt;0,O718,"")</f>
        <v/>
      </c>
      <c r="FA718" s="1354"/>
      <c r="FB718" s="1354"/>
      <c r="FC718" s="1354"/>
      <c r="FD718" s="1355"/>
      <c r="FE718" s="1353">
        <f t="shared" ref="FE718:FE752" si="31">IF(CU718&gt;0,O718,"")</f>
        <v>528</v>
      </c>
      <c r="FF718" s="1354"/>
      <c r="FG718" s="1354"/>
      <c r="FH718" s="1354"/>
      <c r="FI718" s="1355"/>
      <c r="FJ718" s="1353" t="str">
        <f t="shared" ref="FJ718:FJ752" si="32">IF(CZ718&gt;0,O718,"")</f>
        <v/>
      </c>
      <c r="FK718" s="1354"/>
      <c r="FL718" s="1354"/>
      <c r="FM718" s="1354"/>
      <c r="FN718" s="1355"/>
      <c r="FO718" s="1353" t="str">
        <f t="shared" ref="FO718:FO752" si="33">IF(DE718&gt;0,O718,"")</f>
        <v/>
      </c>
      <c r="FP718" s="1354"/>
      <c r="FQ718" s="1354"/>
      <c r="FR718" s="1354"/>
      <c r="FS718" s="1355"/>
      <c r="FT718" s="1353" t="str">
        <f t="shared" ref="FT718:FT752" si="34">IF(DJ718&gt;0,O718,"")</f>
        <v/>
      </c>
      <c r="FU718" s="1354"/>
      <c r="FV718" s="1354"/>
      <c r="FW718" s="1354"/>
      <c r="FX718" s="1355"/>
      <c r="FY718" s="1353" t="str">
        <f t="shared" ref="FY718:FY752" si="35">IF(DO718&gt;0,O718,"")</f>
        <v/>
      </c>
      <c r="FZ718" s="1354"/>
      <c r="GA718" s="1354"/>
      <c r="GB718" s="1354"/>
      <c r="GC718" s="1355"/>
    </row>
    <row r="719" spans="1:185" ht="12.95" customHeight="1">
      <c r="A719" s="4"/>
      <c r="B719" s="1404" t="s">
        <v>163</v>
      </c>
      <c r="C719" s="1405"/>
      <c r="D719" s="1405"/>
      <c r="E719" s="1405"/>
      <c r="F719" s="1406"/>
      <c r="G719" s="1476">
        <v>5</v>
      </c>
      <c r="H719" s="1477"/>
      <c r="I719" s="1477"/>
      <c r="J719" s="1478"/>
      <c r="K719" s="1597">
        <v>734</v>
      </c>
      <c r="L719" s="1598"/>
      <c r="M719" s="1598"/>
      <c r="N719" s="1599"/>
      <c r="O719" s="1379">
        <v>634</v>
      </c>
      <c r="P719" s="1380"/>
      <c r="Q719" s="1380"/>
      <c r="R719" s="1380"/>
      <c r="S719" s="1381"/>
      <c r="T719" s="1379">
        <v>0</v>
      </c>
      <c r="U719" s="1380"/>
      <c r="V719" s="1380"/>
      <c r="W719" s="1381"/>
      <c r="X719" s="1382">
        <f t="shared" si="8"/>
        <v>634</v>
      </c>
      <c r="Y719" s="1383"/>
      <c r="Z719" s="1383"/>
      <c r="AA719" s="1383"/>
      <c r="AB719" s="1384"/>
      <c r="AC719" s="1606">
        <v>0.3</v>
      </c>
      <c r="AD719" s="1607"/>
      <c r="AE719" s="1607"/>
      <c r="AF719" s="1607"/>
      <c r="AG719" s="1608"/>
      <c r="AH719" s="1407">
        <f t="shared" ref="AH719:AH752" si="36">IF($AC719&gt;0,($X719/$AZ719), "")</f>
        <v>0.29990539262062443</v>
      </c>
      <c r="AI719" s="1408"/>
      <c r="AJ719" s="1409"/>
      <c r="AK719" s="1404" t="s">
        <v>592</v>
      </c>
      <c r="AL719" s="1405"/>
      <c r="AM719" s="1405"/>
      <c r="AN719" s="1405"/>
      <c r="AO719" s="1406"/>
      <c r="AP719" s="3"/>
      <c r="AQ719" s="3"/>
      <c r="AR719" s="3"/>
      <c r="AS719" s="3"/>
      <c r="AZ719" s="118">
        <f t="shared" si="9"/>
        <v>2114</v>
      </c>
      <c r="BA719" s="3"/>
      <c r="BB719" s="3"/>
      <c r="BC719" s="3"/>
      <c r="BD719" s="3"/>
      <c r="BE719" s="204"/>
      <c r="BF719" s="294">
        <f t="shared" si="10"/>
        <v>5</v>
      </c>
      <c r="BG719" s="297">
        <f t="shared" si="11"/>
        <v>3.5460992907801421E-2</v>
      </c>
      <c r="BH719" s="298">
        <f t="shared" si="12"/>
        <v>1.0638297872340425E-2</v>
      </c>
      <c r="BI719" s="3"/>
      <c r="BJ719" s="3"/>
      <c r="BK719" s="3"/>
      <c r="BL719" s="3"/>
      <c r="BM719" s="3"/>
      <c r="BN719" s="3"/>
      <c r="BS719" s="294">
        <f t="shared" si="13"/>
        <v>5</v>
      </c>
      <c r="BT719" s="297">
        <f t="shared" si="14"/>
        <v>3.5460992907801421E-2</v>
      </c>
      <c r="BU719" s="298">
        <f t="shared" si="15"/>
        <v>1.0634943000731364E-2</v>
      </c>
      <c r="CC719" s="3"/>
      <c r="CD719" s="3"/>
      <c r="CE719" s="3"/>
      <c r="CF719" s="3"/>
      <c r="CG719" s="1353">
        <f t="shared" ref="CG719:CG752" si="37">IF(AND(AC719&lt;=0.5,AC719&gt;=0.36),1,0)</f>
        <v>0</v>
      </c>
      <c r="CH719" s="1355"/>
      <c r="CI719" s="1338">
        <f t="shared" ref="CI719:CI752" si="38">IF(CG719=1,G719,0)</f>
        <v>0</v>
      </c>
      <c r="CJ719" s="1340"/>
      <c r="CK719" s="1353">
        <f t="shared" si="16"/>
        <v>1</v>
      </c>
      <c r="CL719" s="1355"/>
      <c r="CM719" s="1338">
        <f t="shared" si="17"/>
        <v>5</v>
      </c>
      <c r="CN719" s="1340"/>
      <c r="CO719" s="3"/>
      <c r="CP719" s="1335">
        <f t="shared" si="18"/>
        <v>0</v>
      </c>
      <c r="CQ719" s="1336"/>
      <c r="CR719" s="1336"/>
      <c r="CS719" s="1336"/>
      <c r="CT719" s="1337"/>
      <c r="CU719" s="1344">
        <f t="shared" si="19"/>
        <v>0</v>
      </c>
      <c r="CV719" s="1344"/>
      <c r="CW719" s="1344"/>
      <c r="CX719" s="1344"/>
      <c r="CY719" s="1344"/>
      <c r="CZ719" s="1344">
        <f t="shared" si="20"/>
        <v>5</v>
      </c>
      <c r="DA719" s="1344"/>
      <c r="DB719" s="1344"/>
      <c r="DC719" s="1344"/>
      <c r="DD719" s="1344"/>
      <c r="DE719" s="1344">
        <f t="shared" si="21"/>
        <v>0</v>
      </c>
      <c r="DF719" s="1344"/>
      <c r="DG719" s="1344"/>
      <c r="DH719" s="1344"/>
      <c r="DI719" s="1344"/>
      <c r="DJ719" s="1344">
        <f t="shared" si="22"/>
        <v>0</v>
      </c>
      <c r="DK719" s="1344"/>
      <c r="DL719" s="1344"/>
      <c r="DM719" s="1344"/>
      <c r="DN719" s="1344"/>
      <c r="DO719" s="1344">
        <f t="shared" si="23"/>
        <v>0</v>
      </c>
      <c r="DP719" s="1344"/>
      <c r="DQ719" s="1344"/>
      <c r="DR719" s="1344"/>
      <c r="DS719" s="1344"/>
      <c r="DT719" s="6"/>
      <c r="DU719" s="1360">
        <f t="shared" si="24"/>
        <v>0</v>
      </c>
      <c r="DV719" s="1360"/>
      <c r="DW719" s="1360"/>
      <c r="DX719" s="1360"/>
      <c r="DY719" s="1360"/>
      <c r="DZ719" s="1360">
        <f t="shared" si="25"/>
        <v>0</v>
      </c>
      <c r="EA719" s="1360"/>
      <c r="EB719" s="1360"/>
      <c r="EC719" s="1360"/>
      <c r="ED719" s="1360"/>
      <c r="EE719" s="1360">
        <f t="shared" si="26"/>
        <v>5</v>
      </c>
      <c r="EF719" s="1360"/>
      <c r="EG719" s="1360"/>
      <c r="EH719" s="1360"/>
      <c r="EI719" s="1360"/>
      <c r="EJ719" s="1360">
        <f t="shared" si="27"/>
        <v>0</v>
      </c>
      <c r="EK719" s="1360"/>
      <c r="EL719" s="1360"/>
      <c r="EM719" s="1360"/>
      <c r="EN719" s="1360"/>
      <c r="EO719" s="1360">
        <f t="shared" si="28"/>
        <v>0</v>
      </c>
      <c r="EP719" s="1360"/>
      <c r="EQ719" s="1360"/>
      <c r="ER719" s="1360"/>
      <c r="ES719" s="1360"/>
      <c r="ET719" s="1360">
        <f t="shared" si="29"/>
        <v>0</v>
      </c>
      <c r="EU719" s="1360"/>
      <c r="EV719" s="1360"/>
      <c r="EW719" s="1360"/>
      <c r="EX719" s="1360"/>
      <c r="EY719" s="4"/>
      <c r="EZ719" s="1353" t="str">
        <f t="shared" si="30"/>
        <v/>
      </c>
      <c r="FA719" s="1354"/>
      <c r="FB719" s="1354"/>
      <c r="FC719" s="1354"/>
      <c r="FD719" s="1355"/>
      <c r="FE719" s="1353" t="str">
        <f t="shared" si="31"/>
        <v/>
      </c>
      <c r="FF719" s="1354"/>
      <c r="FG719" s="1354"/>
      <c r="FH719" s="1354"/>
      <c r="FI719" s="1355"/>
      <c r="FJ719" s="1353">
        <f t="shared" si="32"/>
        <v>634</v>
      </c>
      <c r="FK719" s="1354"/>
      <c r="FL719" s="1354"/>
      <c r="FM719" s="1354"/>
      <c r="FN719" s="1355"/>
      <c r="FO719" s="1353" t="str">
        <f t="shared" si="33"/>
        <v/>
      </c>
      <c r="FP719" s="1354"/>
      <c r="FQ719" s="1354"/>
      <c r="FR719" s="1354"/>
      <c r="FS719" s="1355"/>
      <c r="FT719" s="1353" t="str">
        <f t="shared" si="34"/>
        <v/>
      </c>
      <c r="FU719" s="1354"/>
      <c r="FV719" s="1354"/>
      <c r="FW719" s="1354"/>
      <c r="FX719" s="1355"/>
      <c r="FY719" s="1353" t="str">
        <f t="shared" si="35"/>
        <v/>
      </c>
      <c r="FZ719" s="1354"/>
      <c r="GA719" s="1354"/>
      <c r="GB719" s="1354"/>
      <c r="GC719" s="1355"/>
    </row>
    <row r="720" spans="1:185" ht="12.95" customHeight="1">
      <c r="A720" s="4"/>
      <c r="B720" s="1404" t="s">
        <v>164</v>
      </c>
      <c r="C720" s="1405"/>
      <c r="D720" s="1405"/>
      <c r="E720" s="1405"/>
      <c r="F720" s="1406"/>
      <c r="G720" s="1476">
        <v>5</v>
      </c>
      <c r="H720" s="1477"/>
      <c r="I720" s="1477"/>
      <c r="J720" s="1478"/>
      <c r="K720" s="1597">
        <v>912</v>
      </c>
      <c r="L720" s="1598"/>
      <c r="M720" s="1598"/>
      <c r="N720" s="1599"/>
      <c r="O720" s="1379">
        <v>732</v>
      </c>
      <c r="P720" s="1380"/>
      <c r="Q720" s="1380"/>
      <c r="R720" s="1380"/>
      <c r="S720" s="1381"/>
      <c r="T720" s="1379">
        <v>0</v>
      </c>
      <c r="U720" s="1380"/>
      <c r="V720" s="1380"/>
      <c r="W720" s="1381"/>
      <c r="X720" s="1382">
        <f t="shared" si="8"/>
        <v>732</v>
      </c>
      <c r="Y720" s="1383"/>
      <c r="Z720" s="1383"/>
      <c r="AA720" s="1383"/>
      <c r="AB720" s="1384"/>
      <c r="AC720" s="1606">
        <v>0.3</v>
      </c>
      <c r="AD720" s="1607"/>
      <c r="AE720" s="1607"/>
      <c r="AF720" s="1607"/>
      <c r="AG720" s="1608"/>
      <c r="AH720" s="1407">
        <f t="shared" si="36"/>
        <v>0.29975429975429974</v>
      </c>
      <c r="AI720" s="1408"/>
      <c r="AJ720" s="1409"/>
      <c r="AK720" s="1404" t="s">
        <v>592</v>
      </c>
      <c r="AL720" s="1405"/>
      <c r="AM720" s="1405"/>
      <c r="AN720" s="1405"/>
      <c r="AO720" s="1406"/>
      <c r="AP720" s="3"/>
      <c r="AQ720" s="3"/>
      <c r="AR720" s="3"/>
      <c r="AS720" s="3"/>
      <c r="AZ720" s="118">
        <f t="shared" si="9"/>
        <v>2442</v>
      </c>
      <c r="BA720" s="3"/>
      <c r="BB720" s="3"/>
      <c r="BC720" s="3"/>
      <c r="BD720" s="3"/>
      <c r="BE720" s="204"/>
      <c r="BF720" s="294">
        <f t="shared" si="10"/>
        <v>5</v>
      </c>
      <c r="BG720" s="297">
        <f t="shared" si="11"/>
        <v>3.5460992907801421E-2</v>
      </c>
      <c r="BH720" s="298">
        <f t="shared" si="12"/>
        <v>1.0638297872340425E-2</v>
      </c>
      <c r="BI720" s="3"/>
      <c r="BJ720" s="3"/>
      <c r="BK720" s="3"/>
      <c r="BL720" s="3"/>
      <c r="BM720" s="3"/>
      <c r="BN720" s="3"/>
      <c r="BS720" s="294">
        <f t="shared" si="13"/>
        <v>5</v>
      </c>
      <c r="BT720" s="297">
        <f t="shared" si="14"/>
        <v>3.5460992907801421E-2</v>
      </c>
      <c r="BU720" s="298">
        <f t="shared" si="15"/>
        <v>1.0629585097670204E-2</v>
      </c>
      <c r="CC720" s="3"/>
      <c r="CD720" s="3"/>
      <c r="CE720" s="3"/>
      <c r="CF720" s="3"/>
      <c r="CG720" s="1353">
        <f t="shared" si="37"/>
        <v>0</v>
      </c>
      <c r="CH720" s="1355"/>
      <c r="CI720" s="1338">
        <f t="shared" si="38"/>
        <v>0</v>
      </c>
      <c r="CJ720" s="1340"/>
      <c r="CK720" s="1353">
        <f t="shared" si="16"/>
        <v>1</v>
      </c>
      <c r="CL720" s="1355"/>
      <c r="CM720" s="1338">
        <f t="shared" si="17"/>
        <v>5</v>
      </c>
      <c r="CN720" s="1340"/>
      <c r="CO720" s="3"/>
      <c r="CP720" s="1335">
        <f t="shared" si="18"/>
        <v>0</v>
      </c>
      <c r="CQ720" s="1336"/>
      <c r="CR720" s="1336"/>
      <c r="CS720" s="1336"/>
      <c r="CT720" s="1337"/>
      <c r="CU720" s="1344">
        <f t="shared" si="19"/>
        <v>0</v>
      </c>
      <c r="CV720" s="1344"/>
      <c r="CW720" s="1344"/>
      <c r="CX720" s="1344"/>
      <c r="CY720" s="1344"/>
      <c r="CZ720" s="1344">
        <f t="shared" si="20"/>
        <v>0</v>
      </c>
      <c r="DA720" s="1344"/>
      <c r="DB720" s="1344"/>
      <c r="DC720" s="1344"/>
      <c r="DD720" s="1344"/>
      <c r="DE720" s="1344">
        <f t="shared" si="21"/>
        <v>5</v>
      </c>
      <c r="DF720" s="1344"/>
      <c r="DG720" s="1344"/>
      <c r="DH720" s="1344"/>
      <c r="DI720" s="1344"/>
      <c r="DJ720" s="1344">
        <f t="shared" si="22"/>
        <v>0</v>
      </c>
      <c r="DK720" s="1344"/>
      <c r="DL720" s="1344"/>
      <c r="DM720" s="1344"/>
      <c r="DN720" s="1344"/>
      <c r="DO720" s="1344">
        <f t="shared" si="23"/>
        <v>0</v>
      </c>
      <c r="DP720" s="1344"/>
      <c r="DQ720" s="1344"/>
      <c r="DR720" s="1344"/>
      <c r="DS720" s="1344"/>
      <c r="DT720" s="6"/>
      <c r="DU720" s="1360">
        <f t="shared" si="24"/>
        <v>0</v>
      </c>
      <c r="DV720" s="1360"/>
      <c r="DW720" s="1360"/>
      <c r="DX720" s="1360"/>
      <c r="DY720" s="1360"/>
      <c r="DZ720" s="1360">
        <f t="shared" si="25"/>
        <v>0</v>
      </c>
      <c r="EA720" s="1360"/>
      <c r="EB720" s="1360"/>
      <c r="EC720" s="1360"/>
      <c r="ED720" s="1360"/>
      <c r="EE720" s="1360">
        <f t="shared" si="26"/>
        <v>0</v>
      </c>
      <c r="EF720" s="1360"/>
      <c r="EG720" s="1360"/>
      <c r="EH720" s="1360"/>
      <c r="EI720" s="1360"/>
      <c r="EJ720" s="1360">
        <f t="shared" si="27"/>
        <v>5</v>
      </c>
      <c r="EK720" s="1360"/>
      <c r="EL720" s="1360"/>
      <c r="EM720" s="1360"/>
      <c r="EN720" s="1360"/>
      <c r="EO720" s="1360">
        <f t="shared" si="28"/>
        <v>0</v>
      </c>
      <c r="EP720" s="1360"/>
      <c r="EQ720" s="1360"/>
      <c r="ER720" s="1360"/>
      <c r="ES720" s="1360"/>
      <c r="ET720" s="1360">
        <f t="shared" si="29"/>
        <v>0</v>
      </c>
      <c r="EU720" s="1360"/>
      <c r="EV720" s="1360"/>
      <c r="EW720" s="1360"/>
      <c r="EX720" s="1360"/>
      <c r="EZ720" s="1353" t="str">
        <f t="shared" si="30"/>
        <v/>
      </c>
      <c r="FA720" s="1354"/>
      <c r="FB720" s="1354"/>
      <c r="FC720" s="1354"/>
      <c r="FD720" s="1355"/>
      <c r="FE720" s="1353" t="str">
        <f t="shared" si="31"/>
        <v/>
      </c>
      <c r="FF720" s="1354"/>
      <c r="FG720" s="1354"/>
      <c r="FH720" s="1354"/>
      <c r="FI720" s="1355"/>
      <c r="FJ720" s="1353" t="str">
        <f t="shared" si="32"/>
        <v/>
      </c>
      <c r="FK720" s="1354"/>
      <c r="FL720" s="1354"/>
      <c r="FM720" s="1354"/>
      <c r="FN720" s="1355"/>
      <c r="FO720" s="1353">
        <f t="shared" si="33"/>
        <v>732</v>
      </c>
      <c r="FP720" s="1354"/>
      <c r="FQ720" s="1354"/>
      <c r="FR720" s="1354"/>
      <c r="FS720" s="1355"/>
      <c r="FT720" s="1353" t="str">
        <f t="shared" si="34"/>
        <v/>
      </c>
      <c r="FU720" s="1354"/>
      <c r="FV720" s="1354"/>
      <c r="FW720" s="1354"/>
      <c r="FX720" s="1355"/>
      <c r="FY720" s="1353" t="str">
        <f t="shared" si="35"/>
        <v/>
      </c>
      <c r="FZ720" s="1354"/>
      <c r="GA720" s="1354"/>
      <c r="GB720" s="1354"/>
      <c r="GC720" s="1355"/>
    </row>
    <row r="721" spans="1:185" ht="12.95" customHeight="1">
      <c r="B721" s="1404" t="s">
        <v>325</v>
      </c>
      <c r="C721" s="1405"/>
      <c r="D721" s="1405"/>
      <c r="E721" s="1405"/>
      <c r="F721" s="1406"/>
      <c r="G721" s="1476">
        <v>1</v>
      </c>
      <c r="H721" s="1477"/>
      <c r="I721" s="1477"/>
      <c r="J721" s="1478"/>
      <c r="K721" s="1597">
        <f>K718</f>
        <v>553</v>
      </c>
      <c r="L721" s="1598"/>
      <c r="M721" s="1598"/>
      <c r="N721" s="1599"/>
      <c r="O721" s="1379">
        <v>705</v>
      </c>
      <c r="P721" s="1380"/>
      <c r="Q721" s="1380"/>
      <c r="R721" s="1380"/>
      <c r="S721" s="1381"/>
      <c r="T721" s="1379">
        <v>0</v>
      </c>
      <c r="U721" s="1380"/>
      <c r="V721" s="1380"/>
      <c r="W721" s="1381"/>
      <c r="X721" s="1382">
        <f t="shared" si="8"/>
        <v>705</v>
      </c>
      <c r="Y721" s="1383"/>
      <c r="Z721" s="1383"/>
      <c r="AA721" s="1383"/>
      <c r="AB721" s="1384"/>
      <c r="AC721" s="1606">
        <v>0.4</v>
      </c>
      <c r="AD721" s="1607"/>
      <c r="AE721" s="1607"/>
      <c r="AF721" s="1607"/>
      <c r="AG721" s="1608"/>
      <c r="AH721" s="1407">
        <f t="shared" si="36"/>
        <v>0.40011350737797957</v>
      </c>
      <c r="AI721" s="1408"/>
      <c r="AJ721" s="1409"/>
      <c r="AK721" s="1404" t="s">
        <v>592</v>
      </c>
      <c r="AL721" s="1405"/>
      <c r="AM721" s="1405"/>
      <c r="AN721" s="1405"/>
      <c r="AO721" s="1406"/>
      <c r="AP721" s="3"/>
      <c r="AQ721" s="3"/>
      <c r="AR721" s="3"/>
      <c r="AS721" s="3"/>
      <c r="AY721" s="116"/>
      <c r="AZ721" s="118">
        <f t="shared" si="9"/>
        <v>1762</v>
      </c>
      <c r="BA721" s="3"/>
      <c r="BB721" s="3"/>
      <c r="BC721" s="3"/>
      <c r="BD721" s="3"/>
      <c r="BE721" s="204"/>
      <c r="BF721" s="294">
        <f t="shared" si="10"/>
        <v>1</v>
      </c>
      <c r="BG721" s="297">
        <f t="shared" si="11"/>
        <v>7.0921985815602835E-3</v>
      </c>
      <c r="BH721" s="298">
        <f t="shared" si="12"/>
        <v>2.8368794326241137E-3</v>
      </c>
      <c r="BI721" s="3"/>
      <c r="BJ721" s="3"/>
      <c r="BK721" s="3"/>
      <c r="BL721" s="3"/>
      <c r="BM721" s="3"/>
      <c r="BN721" s="3"/>
      <c r="BS721" s="294">
        <f t="shared" si="13"/>
        <v>1</v>
      </c>
      <c r="BT721" s="297">
        <f t="shared" si="14"/>
        <v>7.0921985815602835E-3</v>
      </c>
      <c r="BU721" s="298">
        <f t="shared" si="15"/>
        <v>2.8376844494892167E-3</v>
      </c>
      <c r="CC721" s="3"/>
      <c r="CD721" s="3"/>
      <c r="CE721" s="3"/>
      <c r="CF721" s="3"/>
      <c r="CG721" s="1353">
        <f t="shared" si="37"/>
        <v>1</v>
      </c>
      <c r="CH721" s="1355"/>
      <c r="CI721" s="1338">
        <f t="shared" si="38"/>
        <v>1</v>
      </c>
      <c r="CJ721" s="1340"/>
      <c r="CK721" s="1353">
        <f t="shared" si="16"/>
        <v>0</v>
      </c>
      <c r="CL721" s="1355"/>
      <c r="CM721" s="1338">
        <f t="shared" si="17"/>
        <v>0</v>
      </c>
      <c r="CN721" s="1340"/>
      <c r="CO721" s="3"/>
      <c r="CP721" s="1335">
        <f t="shared" si="18"/>
        <v>0</v>
      </c>
      <c r="CQ721" s="1336"/>
      <c r="CR721" s="1336"/>
      <c r="CS721" s="1336"/>
      <c r="CT721" s="1337"/>
      <c r="CU721" s="1344">
        <f t="shared" si="19"/>
        <v>1</v>
      </c>
      <c r="CV721" s="1344"/>
      <c r="CW721" s="1344"/>
      <c r="CX721" s="1344"/>
      <c r="CY721" s="1344"/>
      <c r="CZ721" s="1344">
        <f t="shared" si="20"/>
        <v>0</v>
      </c>
      <c r="DA721" s="1344"/>
      <c r="DB721" s="1344"/>
      <c r="DC721" s="1344"/>
      <c r="DD721" s="1344"/>
      <c r="DE721" s="1344">
        <f t="shared" si="21"/>
        <v>0</v>
      </c>
      <c r="DF721" s="1344"/>
      <c r="DG721" s="1344"/>
      <c r="DH721" s="1344"/>
      <c r="DI721" s="1344"/>
      <c r="DJ721" s="1344">
        <f t="shared" si="22"/>
        <v>0</v>
      </c>
      <c r="DK721" s="1344"/>
      <c r="DL721" s="1344"/>
      <c r="DM721" s="1344"/>
      <c r="DN721" s="1344"/>
      <c r="DO721" s="1344">
        <f t="shared" si="23"/>
        <v>0</v>
      </c>
      <c r="DP721" s="1344"/>
      <c r="DQ721" s="1344"/>
      <c r="DR721" s="1344"/>
      <c r="DS721" s="1344"/>
      <c r="DT721" s="6"/>
      <c r="DU721" s="1360">
        <f t="shared" si="24"/>
        <v>0</v>
      </c>
      <c r="DV721" s="1360"/>
      <c r="DW721" s="1360"/>
      <c r="DX721" s="1360"/>
      <c r="DY721" s="1360"/>
      <c r="DZ721" s="1360">
        <f t="shared" si="25"/>
        <v>0</v>
      </c>
      <c r="EA721" s="1360"/>
      <c r="EB721" s="1360"/>
      <c r="EC721" s="1360"/>
      <c r="ED721" s="1360"/>
      <c r="EE721" s="1360">
        <f t="shared" si="26"/>
        <v>0</v>
      </c>
      <c r="EF721" s="1360"/>
      <c r="EG721" s="1360"/>
      <c r="EH721" s="1360"/>
      <c r="EI721" s="1360"/>
      <c r="EJ721" s="1360">
        <f t="shared" si="27"/>
        <v>0</v>
      </c>
      <c r="EK721" s="1360"/>
      <c r="EL721" s="1360"/>
      <c r="EM721" s="1360"/>
      <c r="EN721" s="1360"/>
      <c r="EO721" s="1360">
        <f t="shared" si="28"/>
        <v>0</v>
      </c>
      <c r="EP721" s="1360"/>
      <c r="EQ721" s="1360"/>
      <c r="ER721" s="1360"/>
      <c r="ES721" s="1360"/>
      <c r="ET721" s="1360">
        <f t="shared" si="29"/>
        <v>0</v>
      </c>
      <c r="EU721" s="1360"/>
      <c r="EV721" s="1360"/>
      <c r="EW721" s="1360"/>
      <c r="EX721" s="1360"/>
      <c r="EZ721" s="1353" t="str">
        <f t="shared" si="30"/>
        <v/>
      </c>
      <c r="FA721" s="1354"/>
      <c r="FB721" s="1354"/>
      <c r="FC721" s="1354"/>
      <c r="FD721" s="1355"/>
      <c r="FE721" s="1353">
        <f t="shared" si="31"/>
        <v>705</v>
      </c>
      <c r="FF721" s="1354"/>
      <c r="FG721" s="1354"/>
      <c r="FH721" s="1354"/>
      <c r="FI721" s="1355"/>
      <c r="FJ721" s="1353" t="str">
        <f t="shared" si="32"/>
        <v/>
      </c>
      <c r="FK721" s="1354"/>
      <c r="FL721" s="1354"/>
      <c r="FM721" s="1354"/>
      <c r="FN721" s="1355"/>
      <c r="FO721" s="1353" t="str">
        <f t="shared" si="33"/>
        <v/>
      </c>
      <c r="FP721" s="1354"/>
      <c r="FQ721" s="1354"/>
      <c r="FR721" s="1354"/>
      <c r="FS721" s="1355"/>
      <c r="FT721" s="1353" t="str">
        <f t="shared" si="34"/>
        <v/>
      </c>
      <c r="FU721" s="1354"/>
      <c r="FV721" s="1354"/>
      <c r="FW721" s="1354"/>
      <c r="FX721" s="1355"/>
      <c r="FY721" s="1353" t="str">
        <f t="shared" si="35"/>
        <v/>
      </c>
      <c r="FZ721" s="1354"/>
      <c r="GA721" s="1354"/>
      <c r="GB721" s="1354"/>
      <c r="GC721" s="1355"/>
    </row>
    <row r="722" spans="1:185" ht="12.95" customHeight="1">
      <c r="B722" s="1404" t="s">
        <v>163</v>
      </c>
      <c r="C722" s="1405"/>
      <c r="D722" s="1405"/>
      <c r="E722" s="1405"/>
      <c r="F722" s="1406"/>
      <c r="G722" s="1476">
        <v>3</v>
      </c>
      <c r="H722" s="1477"/>
      <c r="I722" s="1477"/>
      <c r="J722" s="1478"/>
      <c r="K722" s="1597">
        <f t="shared" ref="K722:K729" si="39">K719</f>
        <v>734</v>
      </c>
      <c r="L722" s="1598"/>
      <c r="M722" s="1598"/>
      <c r="N722" s="1599"/>
      <c r="O722" s="1379">
        <v>846</v>
      </c>
      <c r="P722" s="1380"/>
      <c r="Q722" s="1380"/>
      <c r="R722" s="1380"/>
      <c r="S722" s="1381"/>
      <c r="T722" s="1379">
        <v>0</v>
      </c>
      <c r="U722" s="1380"/>
      <c r="V722" s="1380"/>
      <c r="W722" s="1381"/>
      <c r="X722" s="1382">
        <f t="shared" si="8"/>
        <v>846</v>
      </c>
      <c r="Y722" s="1383"/>
      <c r="Z722" s="1383"/>
      <c r="AA722" s="1383"/>
      <c r="AB722" s="1384"/>
      <c r="AC722" s="1606">
        <v>0.4</v>
      </c>
      <c r="AD722" s="1607"/>
      <c r="AE722" s="1607"/>
      <c r="AF722" s="1607"/>
      <c r="AG722" s="1608"/>
      <c r="AH722" s="1407">
        <f t="shared" si="36"/>
        <v>0.40018921475875119</v>
      </c>
      <c r="AI722" s="1408"/>
      <c r="AJ722" s="1409"/>
      <c r="AK722" s="1404" t="s">
        <v>592</v>
      </c>
      <c r="AL722" s="1405"/>
      <c r="AM722" s="1405"/>
      <c r="AN722" s="1405"/>
      <c r="AO722" s="1406"/>
      <c r="AP722" s="3"/>
      <c r="AQ722" s="3"/>
      <c r="AR722" s="3"/>
      <c r="AS722" s="3"/>
      <c r="AY722" s="116"/>
      <c r="AZ722" s="118">
        <f t="shared" si="9"/>
        <v>2114</v>
      </c>
      <c r="BA722" s="3"/>
      <c r="BB722" s="3"/>
      <c r="BC722" s="3"/>
      <c r="BD722" s="3"/>
      <c r="BE722" s="204"/>
      <c r="BF722" s="294">
        <f t="shared" si="10"/>
        <v>3</v>
      </c>
      <c r="BG722" s="297">
        <f t="shared" si="11"/>
        <v>2.1276595744680851E-2</v>
      </c>
      <c r="BH722" s="298">
        <f t="shared" si="12"/>
        <v>8.5106382978723406E-3</v>
      </c>
      <c r="BI722" s="3"/>
      <c r="BJ722" s="3"/>
      <c r="BK722" s="3"/>
      <c r="BL722" s="3"/>
      <c r="BM722" s="3"/>
      <c r="BN722" s="3"/>
      <c r="BS722" s="294">
        <f t="shared" si="13"/>
        <v>3</v>
      </c>
      <c r="BT722" s="297">
        <f t="shared" si="14"/>
        <v>2.1276595744680851E-2</v>
      </c>
      <c r="BU722" s="298">
        <f t="shared" si="15"/>
        <v>8.5146641438032158E-3</v>
      </c>
      <c r="CC722" s="3"/>
      <c r="CD722" s="3"/>
      <c r="CE722" s="3"/>
      <c r="CF722" s="3"/>
      <c r="CG722" s="1353">
        <f t="shared" si="37"/>
        <v>1</v>
      </c>
      <c r="CH722" s="1355"/>
      <c r="CI722" s="1338">
        <f t="shared" si="38"/>
        <v>3</v>
      </c>
      <c r="CJ722" s="1340"/>
      <c r="CK722" s="1353">
        <f t="shared" si="16"/>
        <v>0</v>
      </c>
      <c r="CL722" s="1355"/>
      <c r="CM722" s="1338">
        <f t="shared" si="17"/>
        <v>0</v>
      </c>
      <c r="CN722" s="1340"/>
      <c r="CO722" s="3"/>
      <c r="CP722" s="1335">
        <f t="shared" si="18"/>
        <v>0</v>
      </c>
      <c r="CQ722" s="1336"/>
      <c r="CR722" s="1336"/>
      <c r="CS722" s="1336"/>
      <c r="CT722" s="1337"/>
      <c r="CU722" s="1344">
        <f t="shared" si="19"/>
        <v>0</v>
      </c>
      <c r="CV722" s="1344"/>
      <c r="CW722" s="1344"/>
      <c r="CX722" s="1344"/>
      <c r="CY722" s="1344"/>
      <c r="CZ722" s="1344">
        <f t="shared" si="20"/>
        <v>3</v>
      </c>
      <c r="DA722" s="1344"/>
      <c r="DB722" s="1344"/>
      <c r="DC722" s="1344"/>
      <c r="DD722" s="1344"/>
      <c r="DE722" s="1344">
        <f t="shared" si="21"/>
        <v>0</v>
      </c>
      <c r="DF722" s="1344"/>
      <c r="DG722" s="1344"/>
      <c r="DH722" s="1344"/>
      <c r="DI722" s="1344"/>
      <c r="DJ722" s="1344">
        <f t="shared" si="22"/>
        <v>0</v>
      </c>
      <c r="DK722" s="1344"/>
      <c r="DL722" s="1344"/>
      <c r="DM722" s="1344"/>
      <c r="DN722" s="1344"/>
      <c r="DO722" s="1344">
        <f t="shared" si="23"/>
        <v>0</v>
      </c>
      <c r="DP722" s="1344"/>
      <c r="DQ722" s="1344"/>
      <c r="DR722" s="1344"/>
      <c r="DS722" s="1344"/>
      <c r="DT722" s="6"/>
      <c r="DU722" s="1360">
        <f t="shared" si="24"/>
        <v>0</v>
      </c>
      <c r="DV722" s="1360"/>
      <c r="DW722" s="1360"/>
      <c r="DX722" s="1360"/>
      <c r="DY722" s="1360"/>
      <c r="DZ722" s="1360">
        <f t="shared" si="25"/>
        <v>0</v>
      </c>
      <c r="EA722" s="1360"/>
      <c r="EB722" s="1360"/>
      <c r="EC722" s="1360"/>
      <c r="ED722" s="1360"/>
      <c r="EE722" s="1360">
        <f t="shared" si="26"/>
        <v>0</v>
      </c>
      <c r="EF722" s="1360"/>
      <c r="EG722" s="1360"/>
      <c r="EH722" s="1360"/>
      <c r="EI722" s="1360"/>
      <c r="EJ722" s="1360">
        <f t="shared" si="27"/>
        <v>0</v>
      </c>
      <c r="EK722" s="1360"/>
      <c r="EL722" s="1360"/>
      <c r="EM722" s="1360"/>
      <c r="EN722" s="1360"/>
      <c r="EO722" s="1360">
        <f t="shared" si="28"/>
        <v>0</v>
      </c>
      <c r="EP722" s="1360"/>
      <c r="EQ722" s="1360"/>
      <c r="ER722" s="1360"/>
      <c r="ES722" s="1360"/>
      <c r="ET722" s="1360">
        <f t="shared" si="29"/>
        <v>0</v>
      </c>
      <c r="EU722" s="1360"/>
      <c r="EV722" s="1360"/>
      <c r="EW722" s="1360"/>
      <c r="EX722" s="1360"/>
      <c r="EZ722" s="1353" t="str">
        <f t="shared" si="30"/>
        <v/>
      </c>
      <c r="FA722" s="1354"/>
      <c r="FB722" s="1354"/>
      <c r="FC722" s="1354"/>
      <c r="FD722" s="1355"/>
      <c r="FE722" s="1353" t="str">
        <f t="shared" si="31"/>
        <v/>
      </c>
      <c r="FF722" s="1354"/>
      <c r="FG722" s="1354"/>
      <c r="FH722" s="1354"/>
      <c r="FI722" s="1355"/>
      <c r="FJ722" s="1353">
        <f t="shared" si="32"/>
        <v>846</v>
      </c>
      <c r="FK722" s="1354"/>
      <c r="FL722" s="1354"/>
      <c r="FM722" s="1354"/>
      <c r="FN722" s="1355"/>
      <c r="FO722" s="1353" t="str">
        <f t="shared" si="33"/>
        <v/>
      </c>
      <c r="FP722" s="1354"/>
      <c r="FQ722" s="1354"/>
      <c r="FR722" s="1354"/>
      <c r="FS722" s="1355"/>
      <c r="FT722" s="1353" t="str">
        <f t="shared" si="34"/>
        <v/>
      </c>
      <c r="FU722" s="1354"/>
      <c r="FV722" s="1354"/>
      <c r="FW722" s="1354"/>
      <c r="FX722" s="1355"/>
      <c r="FY722" s="1353" t="str">
        <f t="shared" si="35"/>
        <v/>
      </c>
      <c r="FZ722" s="1354"/>
      <c r="GA722" s="1354"/>
      <c r="GB722" s="1354"/>
      <c r="GC722" s="1355"/>
    </row>
    <row r="723" spans="1:185" ht="12.95" customHeight="1">
      <c r="B723" s="1404" t="s">
        <v>164</v>
      </c>
      <c r="C723" s="1405"/>
      <c r="D723" s="1405"/>
      <c r="E723" s="1405"/>
      <c r="F723" s="1406"/>
      <c r="G723" s="1476">
        <v>3</v>
      </c>
      <c r="H723" s="1477"/>
      <c r="I723" s="1477"/>
      <c r="J723" s="1478"/>
      <c r="K723" s="1597">
        <f t="shared" si="39"/>
        <v>912</v>
      </c>
      <c r="L723" s="1598"/>
      <c r="M723" s="1598"/>
      <c r="N723" s="1599"/>
      <c r="O723" s="1379">
        <v>977</v>
      </c>
      <c r="P723" s="1380"/>
      <c r="Q723" s="1380"/>
      <c r="R723" s="1380"/>
      <c r="S723" s="1381"/>
      <c r="T723" s="1379">
        <v>0</v>
      </c>
      <c r="U723" s="1380"/>
      <c r="V723" s="1380"/>
      <c r="W723" s="1381"/>
      <c r="X723" s="1382">
        <f t="shared" si="8"/>
        <v>977</v>
      </c>
      <c r="Y723" s="1383"/>
      <c r="Z723" s="1383"/>
      <c r="AA723" s="1383"/>
      <c r="AB723" s="1384"/>
      <c r="AC723" s="1606">
        <v>0.4</v>
      </c>
      <c r="AD723" s="1607"/>
      <c r="AE723" s="1607"/>
      <c r="AF723" s="1607"/>
      <c r="AG723" s="1608"/>
      <c r="AH723" s="1407">
        <f t="shared" si="36"/>
        <v>0.40008190008190009</v>
      </c>
      <c r="AI723" s="1408"/>
      <c r="AJ723" s="1409"/>
      <c r="AK723" s="1404" t="s">
        <v>592</v>
      </c>
      <c r="AL723" s="1405"/>
      <c r="AM723" s="1405"/>
      <c r="AN723" s="1405"/>
      <c r="AO723" s="1406"/>
      <c r="AP723" s="3"/>
      <c r="AQ723" s="3"/>
      <c r="AR723" s="3"/>
      <c r="AS723" s="3"/>
      <c r="AY723" s="116"/>
      <c r="AZ723" s="118">
        <f t="shared" si="9"/>
        <v>2442</v>
      </c>
      <c r="BA723" s="3"/>
      <c r="BB723" s="3"/>
      <c r="BC723" s="3"/>
      <c r="BD723" s="3"/>
      <c r="BE723" s="204"/>
      <c r="BF723" s="294">
        <f t="shared" si="10"/>
        <v>3</v>
      </c>
      <c r="BG723" s="297">
        <f t="shared" si="11"/>
        <v>2.1276595744680851E-2</v>
      </c>
      <c r="BH723" s="298">
        <f t="shared" si="12"/>
        <v>8.5106382978723406E-3</v>
      </c>
      <c r="BI723" s="3"/>
      <c r="BJ723" s="3"/>
      <c r="BK723" s="3"/>
      <c r="BL723" s="3"/>
      <c r="BM723" s="3"/>
      <c r="BN723" s="3"/>
      <c r="BS723" s="294">
        <f t="shared" si="13"/>
        <v>3</v>
      </c>
      <c r="BT723" s="297">
        <f t="shared" si="14"/>
        <v>2.1276595744680851E-2</v>
      </c>
      <c r="BU723" s="298">
        <f t="shared" si="15"/>
        <v>8.5123808528063845E-3</v>
      </c>
      <c r="CC723" s="3"/>
      <c r="CD723" s="3"/>
      <c r="CE723" s="3"/>
      <c r="CF723" s="3"/>
      <c r="CG723" s="1353">
        <f t="shared" si="37"/>
        <v>1</v>
      </c>
      <c r="CH723" s="1355"/>
      <c r="CI723" s="1338">
        <f t="shared" si="38"/>
        <v>3</v>
      </c>
      <c r="CJ723" s="1340"/>
      <c r="CK723" s="1353">
        <f t="shared" si="16"/>
        <v>0</v>
      </c>
      <c r="CL723" s="1355"/>
      <c r="CM723" s="1338">
        <f t="shared" si="17"/>
        <v>0</v>
      </c>
      <c r="CN723" s="1340"/>
      <c r="CO723" s="3"/>
      <c r="CP723" s="1335">
        <f t="shared" si="18"/>
        <v>0</v>
      </c>
      <c r="CQ723" s="1336"/>
      <c r="CR723" s="1336"/>
      <c r="CS723" s="1336"/>
      <c r="CT723" s="1337"/>
      <c r="CU723" s="1344">
        <f t="shared" si="19"/>
        <v>0</v>
      </c>
      <c r="CV723" s="1344"/>
      <c r="CW723" s="1344"/>
      <c r="CX723" s="1344"/>
      <c r="CY723" s="1344"/>
      <c r="CZ723" s="1344">
        <f t="shared" si="20"/>
        <v>0</v>
      </c>
      <c r="DA723" s="1344"/>
      <c r="DB723" s="1344"/>
      <c r="DC723" s="1344"/>
      <c r="DD723" s="1344"/>
      <c r="DE723" s="1344">
        <f t="shared" si="21"/>
        <v>3</v>
      </c>
      <c r="DF723" s="1344"/>
      <c r="DG723" s="1344"/>
      <c r="DH723" s="1344"/>
      <c r="DI723" s="1344"/>
      <c r="DJ723" s="1344">
        <f t="shared" si="22"/>
        <v>0</v>
      </c>
      <c r="DK723" s="1344"/>
      <c r="DL723" s="1344"/>
      <c r="DM723" s="1344"/>
      <c r="DN723" s="1344"/>
      <c r="DO723" s="1344">
        <f t="shared" si="23"/>
        <v>0</v>
      </c>
      <c r="DP723" s="1344"/>
      <c r="DQ723" s="1344"/>
      <c r="DR723" s="1344"/>
      <c r="DS723" s="1344"/>
      <c r="DT723" s="6"/>
      <c r="DU723" s="1360">
        <f t="shared" si="24"/>
        <v>0</v>
      </c>
      <c r="DV723" s="1360"/>
      <c r="DW723" s="1360"/>
      <c r="DX723" s="1360"/>
      <c r="DY723" s="1360"/>
      <c r="DZ723" s="1360">
        <f t="shared" si="25"/>
        <v>0</v>
      </c>
      <c r="EA723" s="1360"/>
      <c r="EB723" s="1360"/>
      <c r="EC723" s="1360"/>
      <c r="ED723" s="1360"/>
      <c r="EE723" s="1360">
        <f t="shared" si="26"/>
        <v>0</v>
      </c>
      <c r="EF723" s="1360"/>
      <c r="EG723" s="1360"/>
      <c r="EH723" s="1360"/>
      <c r="EI723" s="1360"/>
      <c r="EJ723" s="1360">
        <f t="shared" si="27"/>
        <v>0</v>
      </c>
      <c r="EK723" s="1360"/>
      <c r="EL723" s="1360"/>
      <c r="EM723" s="1360"/>
      <c r="EN723" s="1360"/>
      <c r="EO723" s="1360">
        <f t="shared" si="28"/>
        <v>0</v>
      </c>
      <c r="EP723" s="1360"/>
      <c r="EQ723" s="1360"/>
      <c r="ER723" s="1360"/>
      <c r="ES723" s="1360"/>
      <c r="ET723" s="1360">
        <f t="shared" si="29"/>
        <v>0</v>
      </c>
      <c r="EU723" s="1360"/>
      <c r="EV723" s="1360"/>
      <c r="EW723" s="1360"/>
      <c r="EX723" s="1360"/>
      <c r="EZ723" s="1353" t="str">
        <f t="shared" si="30"/>
        <v/>
      </c>
      <c r="FA723" s="1354"/>
      <c r="FB723" s="1354"/>
      <c r="FC723" s="1354"/>
      <c r="FD723" s="1355"/>
      <c r="FE723" s="1353" t="str">
        <f t="shared" si="31"/>
        <v/>
      </c>
      <c r="FF723" s="1354"/>
      <c r="FG723" s="1354"/>
      <c r="FH723" s="1354"/>
      <c r="FI723" s="1355"/>
      <c r="FJ723" s="1353" t="str">
        <f t="shared" si="32"/>
        <v/>
      </c>
      <c r="FK723" s="1354"/>
      <c r="FL723" s="1354"/>
      <c r="FM723" s="1354"/>
      <c r="FN723" s="1355"/>
      <c r="FO723" s="1353">
        <f t="shared" si="33"/>
        <v>977</v>
      </c>
      <c r="FP723" s="1354"/>
      <c r="FQ723" s="1354"/>
      <c r="FR723" s="1354"/>
      <c r="FS723" s="1355"/>
      <c r="FT723" s="1353" t="str">
        <f t="shared" si="34"/>
        <v/>
      </c>
      <c r="FU723" s="1354"/>
      <c r="FV723" s="1354"/>
      <c r="FW723" s="1354"/>
      <c r="FX723" s="1355"/>
      <c r="FY723" s="1353" t="str">
        <f t="shared" si="35"/>
        <v/>
      </c>
      <c r="FZ723" s="1354"/>
      <c r="GA723" s="1354"/>
      <c r="GB723" s="1354"/>
      <c r="GC723" s="1355"/>
    </row>
    <row r="724" spans="1:185" ht="12.95" customHeight="1">
      <c r="B724" s="1404" t="s">
        <v>325</v>
      </c>
      <c r="C724" s="1405"/>
      <c r="D724" s="1405"/>
      <c r="E724" s="1405"/>
      <c r="F724" s="1406"/>
      <c r="G724" s="1476">
        <v>1</v>
      </c>
      <c r="H724" s="1477"/>
      <c r="I724" s="1477"/>
      <c r="J724" s="1478"/>
      <c r="K724" s="1597">
        <f t="shared" si="39"/>
        <v>553</v>
      </c>
      <c r="L724" s="1598"/>
      <c r="M724" s="1598"/>
      <c r="N724" s="1599"/>
      <c r="O724" s="1379">
        <v>1057</v>
      </c>
      <c r="P724" s="1380"/>
      <c r="Q724" s="1380"/>
      <c r="R724" s="1380"/>
      <c r="S724" s="1381"/>
      <c r="T724" s="1379">
        <v>0</v>
      </c>
      <c r="U724" s="1380"/>
      <c r="V724" s="1380"/>
      <c r="W724" s="1381"/>
      <c r="X724" s="1382">
        <f t="shared" si="8"/>
        <v>1057</v>
      </c>
      <c r="Y724" s="1383"/>
      <c r="Z724" s="1383"/>
      <c r="AA724" s="1383"/>
      <c r="AB724" s="1384"/>
      <c r="AC724" s="1606">
        <v>0.6</v>
      </c>
      <c r="AD724" s="1607"/>
      <c r="AE724" s="1607"/>
      <c r="AF724" s="1607"/>
      <c r="AG724" s="1608"/>
      <c r="AH724" s="1407">
        <f t="shared" si="36"/>
        <v>0.59988649262202043</v>
      </c>
      <c r="AI724" s="1408"/>
      <c r="AJ724" s="1409"/>
      <c r="AK724" s="1404" t="s">
        <v>592</v>
      </c>
      <c r="AL724" s="1405"/>
      <c r="AM724" s="1405"/>
      <c r="AN724" s="1405"/>
      <c r="AO724" s="1406"/>
      <c r="AP724" s="3"/>
      <c r="AQ724" s="3"/>
      <c r="AR724" s="3"/>
      <c r="AS724" s="3"/>
      <c r="AY724" s="116"/>
      <c r="AZ724" s="118">
        <f t="shared" si="9"/>
        <v>1762</v>
      </c>
      <c r="BA724" s="3"/>
      <c r="BB724" s="3"/>
      <c r="BC724" s="3"/>
      <c r="BD724" s="3"/>
      <c r="BE724" s="204"/>
      <c r="BF724" s="294">
        <f t="shared" si="10"/>
        <v>1</v>
      </c>
      <c r="BG724" s="297">
        <f t="shared" si="11"/>
        <v>7.0921985815602835E-3</v>
      </c>
      <c r="BH724" s="298">
        <f t="shared" si="12"/>
        <v>4.2553191489361703E-3</v>
      </c>
      <c r="BI724" s="3"/>
      <c r="BJ724" s="3"/>
      <c r="BK724" s="3"/>
      <c r="BL724" s="3"/>
      <c r="BM724" s="3"/>
      <c r="BN724" s="3"/>
      <c r="BS724" s="294">
        <f t="shared" si="13"/>
        <v>1</v>
      </c>
      <c r="BT724" s="297">
        <f t="shared" si="14"/>
        <v>7.0921985815602835E-3</v>
      </c>
      <c r="BU724" s="298">
        <f t="shared" si="15"/>
        <v>4.2545141320710668E-3</v>
      </c>
      <c r="CC724" s="3"/>
      <c r="CE724" s="3"/>
      <c r="CF724" s="3"/>
      <c r="CG724" s="1353">
        <f t="shared" si="37"/>
        <v>0</v>
      </c>
      <c r="CH724" s="1355"/>
      <c r="CI724" s="1338">
        <f t="shared" si="38"/>
        <v>0</v>
      </c>
      <c r="CJ724" s="1340"/>
      <c r="CK724" s="1353">
        <f t="shared" si="16"/>
        <v>0</v>
      </c>
      <c r="CL724" s="1355"/>
      <c r="CM724" s="1338">
        <f t="shared" si="17"/>
        <v>0</v>
      </c>
      <c r="CN724" s="1340"/>
      <c r="CO724" s="3"/>
      <c r="CP724" s="1335">
        <f t="shared" si="18"/>
        <v>0</v>
      </c>
      <c r="CQ724" s="1336"/>
      <c r="CR724" s="1336"/>
      <c r="CS724" s="1336"/>
      <c r="CT724" s="1337"/>
      <c r="CU724" s="1344">
        <f t="shared" si="19"/>
        <v>1</v>
      </c>
      <c r="CV724" s="1344"/>
      <c r="CW724" s="1344"/>
      <c r="CX724" s="1344"/>
      <c r="CY724" s="1344"/>
      <c r="CZ724" s="1344">
        <f t="shared" si="20"/>
        <v>0</v>
      </c>
      <c r="DA724" s="1344"/>
      <c r="DB724" s="1344"/>
      <c r="DC724" s="1344"/>
      <c r="DD724" s="1344"/>
      <c r="DE724" s="1344">
        <f t="shared" si="21"/>
        <v>0</v>
      </c>
      <c r="DF724" s="1344"/>
      <c r="DG724" s="1344"/>
      <c r="DH724" s="1344"/>
      <c r="DI724" s="1344"/>
      <c r="DJ724" s="1344">
        <f t="shared" si="22"/>
        <v>0</v>
      </c>
      <c r="DK724" s="1344"/>
      <c r="DL724" s="1344"/>
      <c r="DM724" s="1344"/>
      <c r="DN724" s="1344"/>
      <c r="DO724" s="1344">
        <f t="shared" si="23"/>
        <v>0</v>
      </c>
      <c r="DP724" s="1344"/>
      <c r="DQ724" s="1344"/>
      <c r="DR724" s="1344"/>
      <c r="DS724" s="1344"/>
      <c r="DT724" s="6"/>
      <c r="DU724" s="1360">
        <f t="shared" si="24"/>
        <v>0</v>
      </c>
      <c r="DV724" s="1360"/>
      <c r="DW724" s="1360"/>
      <c r="DX724" s="1360"/>
      <c r="DY724" s="1360"/>
      <c r="DZ724" s="1360">
        <f t="shared" si="25"/>
        <v>0</v>
      </c>
      <c r="EA724" s="1360"/>
      <c r="EB724" s="1360"/>
      <c r="EC724" s="1360"/>
      <c r="ED724" s="1360"/>
      <c r="EE724" s="1360">
        <f t="shared" si="26"/>
        <v>0</v>
      </c>
      <c r="EF724" s="1360"/>
      <c r="EG724" s="1360"/>
      <c r="EH724" s="1360"/>
      <c r="EI724" s="1360"/>
      <c r="EJ724" s="1360">
        <f t="shared" si="27"/>
        <v>0</v>
      </c>
      <c r="EK724" s="1360"/>
      <c r="EL724" s="1360"/>
      <c r="EM724" s="1360"/>
      <c r="EN724" s="1360"/>
      <c r="EO724" s="1360">
        <f t="shared" si="28"/>
        <v>0</v>
      </c>
      <c r="EP724" s="1360"/>
      <c r="EQ724" s="1360"/>
      <c r="ER724" s="1360"/>
      <c r="ES724" s="1360"/>
      <c r="ET724" s="1360">
        <f t="shared" si="29"/>
        <v>0</v>
      </c>
      <c r="EU724" s="1360"/>
      <c r="EV724" s="1360"/>
      <c r="EW724" s="1360"/>
      <c r="EX724" s="1360"/>
      <c r="EZ724" s="1353" t="str">
        <f t="shared" si="30"/>
        <v/>
      </c>
      <c r="FA724" s="1354"/>
      <c r="FB724" s="1354"/>
      <c r="FC724" s="1354"/>
      <c r="FD724" s="1355"/>
      <c r="FE724" s="1353">
        <f t="shared" si="31"/>
        <v>1057</v>
      </c>
      <c r="FF724" s="1354"/>
      <c r="FG724" s="1354"/>
      <c r="FH724" s="1354"/>
      <c r="FI724" s="1355"/>
      <c r="FJ724" s="1353" t="str">
        <f t="shared" si="32"/>
        <v/>
      </c>
      <c r="FK724" s="1354"/>
      <c r="FL724" s="1354"/>
      <c r="FM724" s="1354"/>
      <c r="FN724" s="1355"/>
      <c r="FO724" s="1353" t="str">
        <f t="shared" si="33"/>
        <v/>
      </c>
      <c r="FP724" s="1354"/>
      <c r="FQ724" s="1354"/>
      <c r="FR724" s="1354"/>
      <c r="FS724" s="1355"/>
      <c r="FT724" s="1353" t="str">
        <f t="shared" si="34"/>
        <v/>
      </c>
      <c r="FU724" s="1354"/>
      <c r="FV724" s="1354"/>
      <c r="FW724" s="1354"/>
      <c r="FX724" s="1355"/>
      <c r="FY724" s="1353" t="str">
        <f t="shared" si="35"/>
        <v/>
      </c>
      <c r="FZ724" s="1354"/>
      <c r="GA724" s="1354"/>
      <c r="GB724" s="1354"/>
      <c r="GC724" s="1355"/>
    </row>
    <row r="725" spans="1:185" ht="12.95" customHeight="1">
      <c r="B725" s="1404" t="s">
        <v>163</v>
      </c>
      <c r="C725" s="1405"/>
      <c r="D725" s="1405"/>
      <c r="E725" s="1405"/>
      <c r="F725" s="1406"/>
      <c r="G725" s="1476">
        <v>4</v>
      </c>
      <c r="H725" s="1477"/>
      <c r="I725" s="1477"/>
      <c r="J725" s="1478"/>
      <c r="K725" s="1597">
        <f t="shared" si="39"/>
        <v>734</v>
      </c>
      <c r="L725" s="1598"/>
      <c r="M725" s="1598"/>
      <c r="N725" s="1599"/>
      <c r="O725" s="1379">
        <v>1269</v>
      </c>
      <c r="P725" s="1380"/>
      <c r="Q725" s="1380"/>
      <c r="R725" s="1380"/>
      <c r="S725" s="1381"/>
      <c r="T725" s="1379">
        <v>0</v>
      </c>
      <c r="U725" s="1380"/>
      <c r="V725" s="1380"/>
      <c r="W725" s="1381"/>
      <c r="X725" s="1382">
        <f t="shared" si="8"/>
        <v>1269</v>
      </c>
      <c r="Y725" s="1383"/>
      <c r="Z725" s="1383"/>
      <c r="AA725" s="1383"/>
      <c r="AB725" s="1384"/>
      <c r="AC725" s="1606">
        <v>0.6</v>
      </c>
      <c r="AD725" s="1607"/>
      <c r="AE725" s="1607"/>
      <c r="AF725" s="1607"/>
      <c r="AG725" s="1608"/>
      <c r="AH725" s="1407">
        <f t="shared" si="36"/>
        <v>0.60028382213812681</v>
      </c>
      <c r="AI725" s="1408"/>
      <c r="AJ725" s="1409"/>
      <c r="AK725" s="1404" t="s">
        <v>592</v>
      </c>
      <c r="AL725" s="1405"/>
      <c r="AM725" s="1405"/>
      <c r="AN725" s="1405"/>
      <c r="AO725" s="1406"/>
      <c r="AP725" s="3"/>
      <c r="AQ725" s="3"/>
      <c r="AR725" s="3"/>
      <c r="AS725" s="3"/>
      <c r="AY725" s="1085"/>
      <c r="AZ725" s="118">
        <f t="shared" si="9"/>
        <v>2114</v>
      </c>
      <c r="BA725" s="3"/>
      <c r="BB725" s="3"/>
      <c r="BC725" s="3"/>
      <c r="BD725" s="3"/>
      <c r="BE725" s="204"/>
      <c r="BF725" s="294">
        <f t="shared" si="10"/>
        <v>4</v>
      </c>
      <c r="BG725" s="297">
        <f t="shared" si="11"/>
        <v>2.8368794326241134E-2</v>
      </c>
      <c r="BH725" s="298">
        <f t="shared" si="12"/>
        <v>1.7021276595744681E-2</v>
      </c>
      <c r="BI725" s="3"/>
      <c r="BJ725" s="3"/>
      <c r="BK725" s="3"/>
      <c r="BL725" s="3"/>
      <c r="BM725" s="3"/>
      <c r="BN725" s="3"/>
      <c r="BS725" s="294">
        <f t="shared" si="13"/>
        <v>4</v>
      </c>
      <c r="BT725" s="297">
        <f t="shared" si="14"/>
        <v>2.8368794326241134E-2</v>
      </c>
      <c r="BU725" s="298">
        <f t="shared" si="15"/>
        <v>1.7029328287606435E-2</v>
      </c>
      <c r="BV725" s="292"/>
      <c r="BW725" s="3"/>
      <c r="BX725" s="3"/>
      <c r="BY725" s="3"/>
      <c r="BZ725" s="3"/>
      <c r="CA725" s="3"/>
      <c r="CB725" s="3"/>
      <c r="CC725" s="3"/>
      <c r="CE725" s="3"/>
      <c r="CF725" s="3"/>
      <c r="CG725" s="1353">
        <f t="shared" si="37"/>
        <v>0</v>
      </c>
      <c r="CH725" s="1355"/>
      <c r="CI725" s="1338">
        <f t="shared" si="38"/>
        <v>0</v>
      </c>
      <c r="CJ725" s="1340"/>
      <c r="CK725" s="1353">
        <f t="shared" si="16"/>
        <v>0</v>
      </c>
      <c r="CL725" s="1355"/>
      <c r="CM725" s="1338">
        <f t="shared" si="17"/>
        <v>0</v>
      </c>
      <c r="CN725" s="1340"/>
      <c r="CO725" s="3"/>
      <c r="CP725" s="1335">
        <f t="shared" si="18"/>
        <v>0</v>
      </c>
      <c r="CQ725" s="1336"/>
      <c r="CR725" s="1336"/>
      <c r="CS725" s="1336"/>
      <c r="CT725" s="1337"/>
      <c r="CU725" s="1344">
        <f t="shared" si="19"/>
        <v>0</v>
      </c>
      <c r="CV725" s="1344"/>
      <c r="CW725" s="1344"/>
      <c r="CX725" s="1344"/>
      <c r="CY725" s="1344"/>
      <c r="CZ725" s="1344">
        <f t="shared" si="20"/>
        <v>4</v>
      </c>
      <c r="DA725" s="1344"/>
      <c r="DB725" s="1344"/>
      <c r="DC725" s="1344"/>
      <c r="DD725" s="1344"/>
      <c r="DE725" s="1344">
        <f t="shared" si="21"/>
        <v>0</v>
      </c>
      <c r="DF725" s="1344"/>
      <c r="DG725" s="1344"/>
      <c r="DH725" s="1344"/>
      <c r="DI725" s="1344"/>
      <c r="DJ725" s="1344">
        <f t="shared" si="22"/>
        <v>0</v>
      </c>
      <c r="DK725" s="1344"/>
      <c r="DL725" s="1344"/>
      <c r="DM725" s="1344"/>
      <c r="DN725" s="1344"/>
      <c r="DO725" s="1344">
        <f t="shared" si="23"/>
        <v>0</v>
      </c>
      <c r="DP725" s="1344"/>
      <c r="DQ725" s="1344"/>
      <c r="DR725" s="1344"/>
      <c r="DS725" s="1344"/>
      <c r="DT725" s="6"/>
      <c r="DU725" s="1360">
        <f t="shared" si="24"/>
        <v>0</v>
      </c>
      <c r="DV725" s="1360"/>
      <c r="DW725" s="1360"/>
      <c r="DX725" s="1360"/>
      <c r="DY725" s="1360"/>
      <c r="DZ725" s="1360">
        <f t="shared" si="25"/>
        <v>0</v>
      </c>
      <c r="EA725" s="1360"/>
      <c r="EB725" s="1360"/>
      <c r="EC725" s="1360"/>
      <c r="ED725" s="1360"/>
      <c r="EE725" s="1360">
        <f t="shared" si="26"/>
        <v>0</v>
      </c>
      <c r="EF725" s="1360"/>
      <c r="EG725" s="1360"/>
      <c r="EH725" s="1360"/>
      <c r="EI725" s="1360"/>
      <c r="EJ725" s="1360">
        <f t="shared" si="27"/>
        <v>0</v>
      </c>
      <c r="EK725" s="1360"/>
      <c r="EL725" s="1360"/>
      <c r="EM725" s="1360"/>
      <c r="EN725" s="1360"/>
      <c r="EO725" s="1360">
        <f t="shared" si="28"/>
        <v>0</v>
      </c>
      <c r="EP725" s="1360"/>
      <c r="EQ725" s="1360"/>
      <c r="ER725" s="1360"/>
      <c r="ES725" s="1360"/>
      <c r="ET725" s="1360">
        <f t="shared" si="29"/>
        <v>0</v>
      </c>
      <c r="EU725" s="1360"/>
      <c r="EV725" s="1360"/>
      <c r="EW725" s="1360"/>
      <c r="EX725" s="1360"/>
      <c r="EZ725" s="1353" t="str">
        <f t="shared" si="30"/>
        <v/>
      </c>
      <c r="FA725" s="1354"/>
      <c r="FB725" s="1354"/>
      <c r="FC725" s="1354"/>
      <c r="FD725" s="1355"/>
      <c r="FE725" s="1353" t="str">
        <f t="shared" si="31"/>
        <v/>
      </c>
      <c r="FF725" s="1354"/>
      <c r="FG725" s="1354"/>
      <c r="FH725" s="1354"/>
      <c r="FI725" s="1355"/>
      <c r="FJ725" s="1353">
        <f t="shared" si="32"/>
        <v>1269</v>
      </c>
      <c r="FK725" s="1354"/>
      <c r="FL725" s="1354"/>
      <c r="FM725" s="1354"/>
      <c r="FN725" s="1355"/>
      <c r="FO725" s="1353" t="str">
        <f t="shared" si="33"/>
        <v/>
      </c>
      <c r="FP725" s="1354"/>
      <c r="FQ725" s="1354"/>
      <c r="FR725" s="1354"/>
      <c r="FS725" s="1355"/>
      <c r="FT725" s="1353" t="str">
        <f t="shared" si="34"/>
        <v/>
      </c>
      <c r="FU725" s="1354"/>
      <c r="FV725" s="1354"/>
      <c r="FW725" s="1354"/>
      <c r="FX725" s="1355"/>
      <c r="FY725" s="1353" t="str">
        <f t="shared" si="35"/>
        <v/>
      </c>
      <c r="FZ725" s="1354"/>
      <c r="GA725" s="1354"/>
      <c r="GB725" s="1354"/>
      <c r="GC725" s="1355"/>
    </row>
    <row r="726" spans="1:185" ht="12.95" customHeight="1">
      <c r="B726" s="1404" t="s">
        <v>164</v>
      </c>
      <c r="C726" s="1405"/>
      <c r="D726" s="1405"/>
      <c r="E726" s="1405"/>
      <c r="F726" s="1406"/>
      <c r="G726" s="1476">
        <v>3</v>
      </c>
      <c r="H726" s="1477"/>
      <c r="I726" s="1477"/>
      <c r="J726" s="1478"/>
      <c r="K726" s="1597">
        <f t="shared" si="39"/>
        <v>912</v>
      </c>
      <c r="L726" s="1598"/>
      <c r="M726" s="1598"/>
      <c r="N726" s="1599"/>
      <c r="O726" s="1379">
        <v>1465</v>
      </c>
      <c r="P726" s="1380"/>
      <c r="Q726" s="1380"/>
      <c r="R726" s="1380"/>
      <c r="S726" s="1381"/>
      <c r="T726" s="1379">
        <v>0</v>
      </c>
      <c r="U726" s="1380"/>
      <c r="V726" s="1380"/>
      <c r="W726" s="1381"/>
      <c r="X726" s="1382">
        <f t="shared" si="8"/>
        <v>1465</v>
      </c>
      <c r="Y726" s="1383"/>
      <c r="Z726" s="1383"/>
      <c r="AA726" s="1383"/>
      <c r="AB726" s="1384"/>
      <c r="AC726" s="1606">
        <v>0.6</v>
      </c>
      <c r="AD726" s="1607"/>
      <c r="AE726" s="1607"/>
      <c r="AF726" s="1607"/>
      <c r="AG726" s="1608"/>
      <c r="AH726" s="1407">
        <f t="shared" si="36"/>
        <v>0.59991809991809997</v>
      </c>
      <c r="AI726" s="1408"/>
      <c r="AJ726" s="1409"/>
      <c r="AK726" s="1404" t="s">
        <v>592</v>
      </c>
      <c r="AL726" s="1405"/>
      <c r="AM726" s="1405"/>
      <c r="AN726" s="1405"/>
      <c r="AO726" s="1406"/>
      <c r="AP726" s="3"/>
      <c r="AQ726" s="3"/>
      <c r="AR726" s="3"/>
      <c r="AS726" s="3"/>
      <c r="AY726" s="1085"/>
      <c r="AZ726" s="118">
        <f t="shared" si="9"/>
        <v>2442</v>
      </c>
      <c r="BA726" s="3"/>
      <c r="BB726" s="3"/>
      <c r="BC726" s="3"/>
      <c r="BD726" s="3"/>
      <c r="BE726" s="204"/>
      <c r="BF726" s="294">
        <f t="shared" si="10"/>
        <v>3</v>
      </c>
      <c r="BG726" s="297">
        <f t="shared" si="11"/>
        <v>2.1276595744680851E-2</v>
      </c>
      <c r="BH726" s="298">
        <f t="shared" si="12"/>
        <v>1.276595744680851E-2</v>
      </c>
      <c r="BI726" s="3"/>
      <c r="BJ726" s="3"/>
      <c r="BK726" s="3"/>
      <c r="BL726" s="3"/>
      <c r="BM726" s="3"/>
      <c r="BN726" s="3"/>
      <c r="BS726" s="294">
        <f t="shared" si="13"/>
        <v>3</v>
      </c>
      <c r="BT726" s="297">
        <f t="shared" si="14"/>
        <v>2.1276595744680851E-2</v>
      </c>
      <c r="BU726" s="298">
        <f t="shared" si="15"/>
        <v>1.2764214891874468E-2</v>
      </c>
      <c r="BV726" s="3"/>
      <c r="BW726" s="3"/>
      <c r="BX726" s="3"/>
      <c r="BY726" s="3"/>
      <c r="BZ726" s="3"/>
      <c r="CA726" s="3"/>
      <c r="CB726" s="3"/>
      <c r="CC726" s="3"/>
      <c r="CE726" s="3"/>
      <c r="CF726" s="3"/>
      <c r="CG726" s="1353">
        <f t="shared" si="37"/>
        <v>0</v>
      </c>
      <c r="CH726" s="1355"/>
      <c r="CI726" s="1338">
        <f t="shared" si="38"/>
        <v>0</v>
      </c>
      <c r="CJ726" s="1340"/>
      <c r="CK726" s="1353">
        <f t="shared" si="16"/>
        <v>0</v>
      </c>
      <c r="CL726" s="1355"/>
      <c r="CM726" s="1338">
        <f t="shared" si="17"/>
        <v>0</v>
      </c>
      <c r="CN726" s="1340"/>
      <c r="CO726" s="3"/>
      <c r="CP726" s="1335">
        <f t="shared" si="18"/>
        <v>0</v>
      </c>
      <c r="CQ726" s="1336"/>
      <c r="CR726" s="1336"/>
      <c r="CS726" s="1336"/>
      <c r="CT726" s="1337"/>
      <c r="CU726" s="1344">
        <f t="shared" si="19"/>
        <v>0</v>
      </c>
      <c r="CV726" s="1344"/>
      <c r="CW726" s="1344"/>
      <c r="CX726" s="1344"/>
      <c r="CY726" s="1344"/>
      <c r="CZ726" s="1344">
        <f t="shared" si="20"/>
        <v>0</v>
      </c>
      <c r="DA726" s="1344"/>
      <c r="DB726" s="1344"/>
      <c r="DC726" s="1344"/>
      <c r="DD726" s="1344"/>
      <c r="DE726" s="1344">
        <f t="shared" si="21"/>
        <v>3</v>
      </c>
      <c r="DF726" s="1344"/>
      <c r="DG726" s="1344"/>
      <c r="DH726" s="1344"/>
      <c r="DI726" s="1344"/>
      <c r="DJ726" s="1344">
        <f t="shared" si="22"/>
        <v>0</v>
      </c>
      <c r="DK726" s="1344"/>
      <c r="DL726" s="1344"/>
      <c r="DM726" s="1344"/>
      <c r="DN726" s="1344"/>
      <c r="DO726" s="1344">
        <f t="shared" si="23"/>
        <v>0</v>
      </c>
      <c r="DP726" s="1344"/>
      <c r="DQ726" s="1344"/>
      <c r="DR726" s="1344"/>
      <c r="DS726" s="1344"/>
      <c r="DT726" s="6"/>
      <c r="DU726" s="1360">
        <f t="shared" si="24"/>
        <v>0</v>
      </c>
      <c r="DV726" s="1360"/>
      <c r="DW726" s="1360"/>
      <c r="DX726" s="1360"/>
      <c r="DY726" s="1360"/>
      <c r="DZ726" s="1360">
        <f t="shared" si="25"/>
        <v>0</v>
      </c>
      <c r="EA726" s="1360"/>
      <c r="EB726" s="1360"/>
      <c r="EC726" s="1360"/>
      <c r="ED726" s="1360"/>
      <c r="EE726" s="1360">
        <f t="shared" si="26"/>
        <v>0</v>
      </c>
      <c r="EF726" s="1360"/>
      <c r="EG726" s="1360"/>
      <c r="EH726" s="1360"/>
      <c r="EI726" s="1360"/>
      <c r="EJ726" s="1360">
        <f t="shared" si="27"/>
        <v>0</v>
      </c>
      <c r="EK726" s="1360"/>
      <c r="EL726" s="1360"/>
      <c r="EM726" s="1360"/>
      <c r="EN726" s="1360"/>
      <c r="EO726" s="1360">
        <f t="shared" si="28"/>
        <v>0</v>
      </c>
      <c r="EP726" s="1360"/>
      <c r="EQ726" s="1360"/>
      <c r="ER726" s="1360"/>
      <c r="ES726" s="1360"/>
      <c r="ET726" s="1360">
        <f t="shared" si="29"/>
        <v>0</v>
      </c>
      <c r="EU726" s="1360"/>
      <c r="EV726" s="1360"/>
      <c r="EW726" s="1360"/>
      <c r="EX726" s="1360"/>
      <c r="EY726" s="4"/>
      <c r="EZ726" s="1353" t="str">
        <f t="shared" si="30"/>
        <v/>
      </c>
      <c r="FA726" s="1354"/>
      <c r="FB726" s="1354"/>
      <c r="FC726" s="1354"/>
      <c r="FD726" s="1355"/>
      <c r="FE726" s="1353" t="str">
        <f t="shared" si="31"/>
        <v/>
      </c>
      <c r="FF726" s="1354"/>
      <c r="FG726" s="1354"/>
      <c r="FH726" s="1354"/>
      <c r="FI726" s="1355"/>
      <c r="FJ726" s="1353" t="str">
        <f t="shared" si="32"/>
        <v/>
      </c>
      <c r="FK726" s="1354"/>
      <c r="FL726" s="1354"/>
      <c r="FM726" s="1354"/>
      <c r="FN726" s="1355"/>
      <c r="FO726" s="1353">
        <f t="shared" si="33"/>
        <v>1465</v>
      </c>
      <c r="FP726" s="1354"/>
      <c r="FQ726" s="1354"/>
      <c r="FR726" s="1354"/>
      <c r="FS726" s="1355"/>
      <c r="FT726" s="1353" t="str">
        <f t="shared" si="34"/>
        <v/>
      </c>
      <c r="FU726" s="1354"/>
      <c r="FV726" s="1354"/>
      <c r="FW726" s="1354"/>
      <c r="FX726" s="1355"/>
      <c r="FY726" s="1353" t="str">
        <f t="shared" si="35"/>
        <v/>
      </c>
      <c r="FZ726" s="1354"/>
      <c r="GA726" s="1354"/>
      <c r="GB726" s="1354"/>
      <c r="GC726" s="1355"/>
    </row>
    <row r="727" spans="1:185" ht="12.95" customHeight="1">
      <c r="A727" s="4"/>
      <c r="B727" s="1404" t="s">
        <v>325</v>
      </c>
      <c r="C727" s="1405"/>
      <c r="D727" s="1405"/>
      <c r="E727" s="1405"/>
      <c r="F727" s="1406"/>
      <c r="G727" s="1476">
        <v>17</v>
      </c>
      <c r="H727" s="1477"/>
      <c r="I727" s="1477"/>
      <c r="J727" s="1478"/>
      <c r="K727" s="1597">
        <f t="shared" si="39"/>
        <v>553</v>
      </c>
      <c r="L727" s="1598"/>
      <c r="M727" s="1598"/>
      <c r="N727" s="1599"/>
      <c r="O727" s="1379">
        <v>1057</v>
      </c>
      <c r="P727" s="1380"/>
      <c r="Q727" s="1380"/>
      <c r="R727" s="1380"/>
      <c r="S727" s="1381"/>
      <c r="T727" s="1379">
        <v>0</v>
      </c>
      <c r="U727" s="1380"/>
      <c r="V727" s="1380"/>
      <c r="W727" s="1381"/>
      <c r="X727" s="1382">
        <f t="shared" si="8"/>
        <v>1057</v>
      </c>
      <c r="Y727" s="1383"/>
      <c r="Z727" s="1383"/>
      <c r="AA727" s="1383"/>
      <c r="AB727" s="1384"/>
      <c r="AC727" s="1606">
        <v>0.6</v>
      </c>
      <c r="AD727" s="1607"/>
      <c r="AE727" s="1607"/>
      <c r="AF727" s="1607"/>
      <c r="AG727" s="1608"/>
      <c r="AH727" s="1407">
        <f t="shared" si="36"/>
        <v>0.59988649262202043</v>
      </c>
      <c r="AI727" s="1408"/>
      <c r="AJ727" s="1409"/>
      <c r="AK727" s="1404" t="s">
        <v>592</v>
      </c>
      <c r="AL727" s="1405"/>
      <c r="AM727" s="1405"/>
      <c r="AN727" s="1405"/>
      <c r="AO727" s="1406"/>
      <c r="AP727" s="3"/>
      <c r="AQ727" s="3"/>
      <c r="AR727" s="3"/>
      <c r="AS727" s="3"/>
      <c r="AY727" s="1085"/>
      <c r="AZ727" s="118">
        <f t="shared" si="9"/>
        <v>1762</v>
      </c>
      <c r="BA727" s="3"/>
      <c r="BB727" s="3"/>
      <c r="BC727" s="3"/>
      <c r="BD727" s="3"/>
      <c r="BE727" s="204"/>
      <c r="BF727" s="294">
        <f t="shared" si="10"/>
        <v>17</v>
      </c>
      <c r="BG727" s="297">
        <f t="shared" si="11"/>
        <v>0.12056737588652482</v>
      </c>
      <c r="BH727" s="298">
        <f t="shared" si="12"/>
        <v>7.2340425531914887E-2</v>
      </c>
      <c r="BI727" s="3"/>
      <c r="BJ727" s="3"/>
      <c r="BK727" s="3"/>
      <c r="BL727" s="3"/>
      <c r="BM727" s="3"/>
      <c r="BN727" s="3"/>
      <c r="BS727" s="294">
        <f t="shared" si="13"/>
        <v>17</v>
      </c>
      <c r="BT727" s="297">
        <f t="shared" si="14"/>
        <v>0.12056737588652482</v>
      </c>
      <c r="BU727" s="298">
        <f t="shared" si="15"/>
        <v>7.2326740245208132E-2</v>
      </c>
      <c r="BV727" s="3"/>
      <c r="BW727" s="3"/>
      <c r="BX727" s="3"/>
      <c r="BY727" s="3"/>
      <c r="BZ727" s="3"/>
      <c r="CA727" s="3"/>
      <c r="CB727" s="3"/>
      <c r="CC727" s="3"/>
      <c r="CE727" s="3"/>
      <c r="CF727" s="3"/>
      <c r="CG727" s="1353">
        <f t="shared" si="37"/>
        <v>0</v>
      </c>
      <c r="CH727" s="1355"/>
      <c r="CI727" s="1338">
        <f t="shared" si="38"/>
        <v>0</v>
      </c>
      <c r="CJ727" s="1340"/>
      <c r="CK727" s="1353">
        <f t="shared" si="16"/>
        <v>0</v>
      </c>
      <c r="CL727" s="1355"/>
      <c r="CM727" s="1338">
        <f t="shared" si="17"/>
        <v>0</v>
      </c>
      <c r="CN727" s="1340"/>
      <c r="CO727" s="3"/>
      <c r="CP727" s="1335">
        <f t="shared" si="18"/>
        <v>0</v>
      </c>
      <c r="CQ727" s="1336"/>
      <c r="CR727" s="1336"/>
      <c r="CS727" s="1336"/>
      <c r="CT727" s="1337"/>
      <c r="CU727" s="1344">
        <f t="shared" si="19"/>
        <v>17</v>
      </c>
      <c r="CV727" s="1344"/>
      <c r="CW727" s="1344"/>
      <c r="CX727" s="1344"/>
      <c r="CY727" s="1344"/>
      <c r="CZ727" s="1344">
        <f t="shared" si="20"/>
        <v>0</v>
      </c>
      <c r="DA727" s="1344"/>
      <c r="DB727" s="1344"/>
      <c r="DC727" s="1344"/>
      <c r="DD727" s="1344"/>
      <c r="DE727" s="1344">
        <f t="shared" si="21"/>
        <v>0</v>
      </c>
      <c r="DF727" s="1344"/>
      <c r="DG727" s="1344"/>
      <c r="DH727" s="1344"/>
      <c r="DI727" s="1344"/>
      <c r="DJ727" s="1344">
        <f t="shared" si="22"/>
        <v>0</v>
      </c>
      <c r="DK727" s="1344"/>
      <c r="DL727" s="1344"/>
      <c r="DM727" s="1344"/>
      <c r="DN727" s="1344"/>
      <c r="DO727" s="1344">
        <f t="shared" si="23"/>
        <v>0</v>
      </c>
      <c r="DP727" s="1344"/>
      <c r="DQ727" s="1344"/>
      <c r="DR727" s="1344"/>
      <c r="DS727" s="1344"/>
      <c r="DT727" s="6"/>
      <c r="DU727" s="1360">
        <f t="shared" si="24"/>
        <v>0</v>
      </c>
      <c r="DV727" s="1360"/>
      <c r="DW727" s="1360"/>
      <c r="DX727" s="1360"/>
      <c r="DY727" s="1360"/>
      <c r="DZ727" s="1360">
        <f t="shared" si="25"/>
        <v>0</v>
      </c>
      <c r="EA727" s="1360"/>
      <c r="EB727" s="1360"/>
      <c r="EC727" s="1360"/>
      <c r="ED727" s="1360"/>
      <c r="EE727" s="1360">
        <f t="shared" si="26"/>
        <v>0</v>
      </c>
      <c r="EF727" s="1360"/>
      <c r="EG727" s="1360"/>
      <c r="EH727" s="1360"/>
      <c r="EI727" s="1360"/>
      <c r="EJ727" s="1360">
        <f t="shared" si="27"/>
        <v>0</v>
      </c>
      <c r="EK727" s="1360"/>
      <c r="EL727" s="1360"/>
      <c r="EM727" s="1360"/>
      <c r="EN727" s="1360"/>
      <c r="EO727" s="1360">
        <f t="shared" si="28"/>
        <v>0</v>
      </c>
      <c r="EP727" s="1360"/>
      <c r="EQ727" s="1360"/>
      <c r="ER727" s="1360"/>
      <c r="ES727" s="1360"/>
      <c r="ET727" s="1360">
        <f t="shared" si="29"/>
        <v>0</v>
      </c>
      <c r="EU727" s="1360"/>
      <c r="EV727" s="1360"/>
      <c r="EW727" s="1360"/>
      <c r="EX727" s="1360"/>
      <c r="EY727" s="4"/>
      <c r="EZ727" s="1353" t="str">
        <f t="shared" si="30"/>
        <v/>
      </c>
      <c r="FA727" s="1354"/>
      <c r="FB727" s="1354"/>
      <c r="FC727" s="1354"/>
      <c r="FD727" s="1355"/>
      <c r="FE727" s="1353">
        <f t="shared" si="31"/>
        <v>1057</v>
      </c>
      <c r="FF727" s="1354"/>
      <c r="FG727" s="1354"/>
      <c r="FH727" s="1354"/>
      <c r="FI727" s="1355"/>
      <c r="FJ727" s="1353" t="str">
        <f t="shared" si="32"/>
        <v/>
      </c>
      <c r="FK727" s="1354"/>
      <c r="FL727" s="1354"/>
      <c r="FM727" s="1354"/>
      <c r="FN727" s="1355"/>
      <c r="FO727" s="1353" t="str">
        <f t="shared" si="33"/>
        <v/>
      </c>
      <c r="FP727" s="1354"/>
      <c r="FQ727" s="1354"/>
      <c r="FR727" s="1354"/>
      <c r="FS727" s="1355"/>
      <c r="FT727" s="1353" t="str">
        <f t="shared" si="34"/>
        <v/>
      </c>
      <c r="FU727" s="1354"/>
      <c r="FV727" s="1354"/>
      <c r="FW727" s="1354"/>
      <c r="FX727" s="1355"/>
      <c r="FY727" s="1353" t="str">
        <f t="shared" si="35"/>
        <v/>
      </c>
      <c r="FZ727" s="1354"/>
      <c r="GA727" s="1354"/>
      <c r="GB727" s="1354"/>
      <c r="GC727" s="1355"/>
    </row>
    <row r="728" spans="1:185" ht="12.95" customHeight="1">
      <c r="A728" s="4"/>
      <c r="B728" s="1404" t="s">
        <v>163</v>
      </c>
      <c r="C728" s="1405"/>
      <c r="D728" s="1405"/>
      <c r="E728" s="1405"/>
      <c r="F728" s="1406"/>
      <c r="G728" s="1476">
        <v>42</v>
      </c>
      <c r="H728" s="1477"/>
      <c r="I728" s="1477"/>
      <c r="J728" s="1478"/>
      <c r="K728" s="1597">
        <f t="shared" si="39"/>
        <v>734</v>
      </c>
      <c r="L728" s="1598"/>
      <c r="M728" s="1598"/>
      <c r="N728" s="1599"/>
      <c r="O728" s="1379">
        <v>1269</v>
      </c>
      <c r="P728" s="1380"/>
      <c r="Q728" s="1380"/>
      <c r="R728" s="1380"/>
      <c r="S728" s="1381"/>
      <c r="T728" s="1379">
        <v>0</v>
      </c>
      <c r="U728" s="1380"/>
      <c r="V728" s="1380"/>
      <c r="W728" s="1381"/>
      <c r="X728" s="1382">
        <f t="shared" si="8"/>
        <v>1269</v>
      </c>
      <c r="Y728" s="1383"/>
      <c r="Z728" s="1383"/>
      <c r="AA728" s="1383"/>
      <c r="AB728" s="1384"/>
      <c r="AC728" s="1606">
        <v>0.6</v>
      </c>
      <c r="AD728" s="1607"/>
      <c r="AE728" s="1607"/>
      <c r="AF728" s="1607"/>
      <c r="AG728" s="1608"/>
      <c r="AH728" s="1407">
        <f t="shared" si="36"/>
        <v>0.60028382213812681</v>
      </c>
      <c r="AI728" s="1408"/>
      <c r="AJ728" s="1409"/>
      <c r="AK728" s="1404" t="s">
        <v>592</v>
      </c>
      <c r="AL728" s="1405"/>
      <c r="AM728" s="1405"/>
      <c r="AN728" s="1405"/>
      <c r="AO728" s="1406"/>
      <c r="AP728" s="3"/>
      <c r="AQ728" s="3"/>
      <c r="AR728" s="3"/>
      <c r="AS728" s="3"/>
      <c r="AY728" s="1085"/>
      <c r="AZ728" s="118">
        <f t="shared" si="9"/>
        <v>2114</v>
      </c>
      <c r="BA728" s="3"/>
      <c r="BB728" s="3"/>
      <c r="BC728" s="3"/>
      <c r="BD728" s="3"/>
      <c r="BE728" s="204"/>
      <c r="BF728" s="294">
        <f t="shared" si="10"/>
        <v>42</v>
      </c>
      <c r="BG728" s="297">
        <f t="shared" si="11"/>
        <v>0.2978723404255319</v>
      </c>
      <c r="BH728" s="298">
        <f t="shared" si="12"/>
        <v>0.17872340425531913</v>
      </c>
      <c r="BI728" s="3"/>
      <c r="BJ728" s="3"/>
      <c r="BK728" s="3"/>
      <c r="BL728" s="3"/>
      <c r="BM728" s="3"/>
      <c r="BN728" s="3"/>
      <c r="BS728" s="294">
        <f t="shared" si="13"/>
        <v>42</v>
      </c>
      <c r="BT728" s="297">
        <f t="shared" si="14"/>
        <v>0.2978723404255319</v>
      </c>
      <c r="BU728" s="298">
        <f t="shared" si="15"/>
        <v>0.17880794701986755</v>
      </c>
      <c r="BV728" s="3"/>
      <c r="BW728" s="3"/>
      <c r="BX728" s="3"/>
      <c r="BY728" s="3"/>
      <c r="BZ728" s="3"/>
      <c r="CA728" s="3"/>
      <c r="CB728" s="3"/>
      <c r="CC728" s="3"/>
      <c r="CE728" s="3"/>
      <c r="CF728" s="3"/>
      <c r="CG728" s="1353">
        <f t="shared" si="37"/>
        <v>0</v>
      </c>
      <c r="CH728" s="1355"/>
      <c r="CI728" s="1338">
        <f t="shared" si="38"/>
        <v>0</v>
      </c>
      <c r="CJ728" s="1340"/>
      <c r="CK728" s="1353">
        <f t="shared" si="16"/>
        <v>0</v>
      </c>
      <c r="CL728" s="1355"/>
      <c r="CM728" s="1338">
        <f t="shared" si="17"/>
        <v>0</v>
      </c>
      <c r="CN728" s="1340"/>
      <c r="CO728" s="3"/>
      <c r="CP728" s="1335">
        <f t="shared" si="18"/>
        <v>0</v>
      </c>
      <c r="CQ728" s="1336"/>
      <c r="CR728" s="1336"/>
      <c r="CS728" s="1336"/>
      <c r="CT728" s="1337"/>
      <c r="CU728" s="1344">
        <f t="shared" si="19"/>
        <v>0</v>
      </c>
      <c r="CV728" s="1344"/>
      <c r="CW728" s="1344"/>
      <c r="CX728" s="1344"/>
      <c r="CY728" s="1344"/>
      <c r="CZ728" s="1344">
        <f t="shared" si="20"/>
        <v>42</v>
      </c>
      <c r="DA728" s="1344"/>
      <c r="DB728" s="1344"/>
      <c r="DC728" s="1344"/>
      <c r="DD728" s="1344"/>
      <c r="DE728" s="1344">
        <f t="shared" si="21"/>
        <v>0</v>
      </c>
      <c r="DF728" s="1344"/>
      <c r="DG728" s="1344"/>
      <c r="DH728" s="1344"/>
      <c r="DI728" s="1344"/>
      <c r="DJ728" s="1344">
        <f t="shared" si="22"/>
        <v>0</v>
      </c>
      <c r="DK728" s="1344"/>
      <c r="DL728" s="1344"/>
      <c r="DM728" s="1344"/>
      <c r="DN728" s="1344"/>
      <c r="DO728" s="1344">
        <f t="shared" si="23"/>
        <v>0</v>
      </c>
      <c r="DP728" s="1344"/>
      <c r="DQ728" s="1344"/>
      <c r="DR728" s="1344"/>
      <c r="DS728" s="1344"/>
      <c r="DT728" s="6"/>
      <c r="DU728" s="1360">
        <f t="shared" si="24"/>
        <v>0</v>
      </c>
      <c r="DV728" s="1360"/>
      <c r="DW728" s="1360"/>
      <c r="DX728" s="1360"/>
      <c r="DY728" s="1360"/>
      <c r="DZ728" s="1360">
        <f t="shared" si="25"/>
        <v>0</v>
      </c>
      <c r="EA728" s="1360"/>
      <c r="EB728" s="1360"/>
      <c r="EC728" s="1360"/>
      <c r="ED728" s="1360"/>
      <c r="EE728" s="1360">
        <f t="shared" si="26"/>
        <v>0</v>
      </c>
      <c r="EF728" s="1360"/>
      <c r="EG728" s="1360"/>
      <c r="EH728" s="1360"/>
      <c r="EI728" s="1360"/>
      <c r="EJ728" s="1360">
        <f t="shared" si="27"/>
        <v>0</v>
      </c>
      <c r="EK728" s="1360"/>
      <c r="EL728" s="1360"/>
      <c r="EM728" s="1360"/>
      <c r="EN728" s="1360"/>
      <c r="EO728" s="1360">
        <f t="shared" si="28"/>
        <v>0</v>
      </c>
      <c r="EP728" s="1360"/>
      <c r="EQ728" s="1360"/>
      <c r="ER728" s="1360"/>
      <c r="ES728" s="1360"/>
      <c r="ET728" s="1360">
        <f t="shared" si="29"/>
        <v>0</v>
      </c>
      <c r="EU728" s="1360"/>
      <c r="EV728" s="1360"/>
      <c r="EW728" s="1360"/>
      <c r="EX728" s="1360"/>
      <c r="EY728" s="4"/>
      <c r="EZ728" s="1353" t="str">
        <f t="shared" si="30"/>
        <v/>
      </c>
      <c r="FA728" s="1354"/>
      <c r="FB728" s="1354"/>
      <c r="FC728" s="1354"/>
      <c r="FD728" s="1355"/>
      <c r="FE728" s="1353" t="str">
        <f t="shared" si="31"/>
        <v/>
      </c>
      <c r="FF728" s="1354"/>
      <c r="FG728" s="1354"/>
      <c r="FH728" s="1354"/>
      <c r="FI728" s="1355"/>
      <c r="FJ728" s="1353">
        <f t="shared" si="32"/>
        <v>1269</v>
      </c>
      <c r="FK728" s="1354"/>
      <c r="FL728" s="1354"/>
      <c r="FM728" s="1354"/>
      <c r="FN728" s="1355"/>
      <c r="FO728" s="1353" t="str">
        <f t="shared" si="33"/>
        <v/>
      </c>
      <c r="FP728" s="1354"/>
      <c r="FQ728" s="1354"/>
      <c r="FR728" s="1354"/>
      <c r="FS728" s="1355"/>
      <c r="FT728" s="1353" t="str">
        <f t="shared" si="34"/>
        <v/>
      </c>
      <c r="FU728" s="1354"/>
      <c r="FV728" s="1354"/>
      <c r="FW728" s="1354"/>
      <c r="FX728" s="1355"/>
      <c r="FY728" s="1353" t="str">
        <f t="shared" si="35"/>
        <v/>
      </c>
      <c r="FZ728" s="1354"/>
      <c r="GA728" s="1354"/>
      <c r="GB728" s="1354"/>
      <c r="GC728" s="1355"/>
    </row>
    <row r="729" spans="1:185" ht="12.95" customHeight="1">
      <c r="A729" s="4"/>
      <c r="B729" s="1404" t="s">
        <v>164</v>
      </c>
      <c r="C729" s="1405"/>
      <c r="D729" s="1405"/>
      <c r="E729" s="1405"/>
      <c r="F729" s="1406"/>
      <c r="G729" s="1476">
        <v>24</v>
      </c>
      <c r="H729" s="1477"/>
      <c r="I729" s="1477"/>
      <c r="J729" s="1478"/>
      <c r="K729" s="1597">
        <f t="shared" si="39"/>
        <v>912</v>
      </c>
      <c r="L729" s="1598"/>
      <c r="M729" s="1598"/>
      <c r="N729" s="1599"/>
      <c r="O729" s="1379">
        <v>1465</v>
      </c>
      <c r="P729" s="1380"/>
      <c r="Q729" s="1380"/>
      <c r="R729" s="1380"/>
      <c r="S729" s="1381"/>
      <c r="T729" s="1379">
        <v>0</v>
      </c>
      <c r="U729" s="1380"/>
      <c r="V729" s="1380"/>
      <c r="W729" s="1381"/>
      <c r="X729" s="1382">
        <f t="shared" si="8"/>
        <v>1465</v>
      </c>
      <c r="Y729" s="1383"/>
      <c r="Z729" s="1383"/>
      <c r="AA729" s="1383"/>
      <c r="AB729" s="1384"/>
      <c r="AC729" s="1606">
        <v>0.6</v>
      </c>
      <c r="AD729" s="1607"/>
      <c r="AE729" s="1607"/>
      <c r="AF729" s="1607"/>
      <c r="AG729" s="1608"/>
      <c r="AH729" s="1407">
        <f t="shared" si="36"/>
        <v>0.59991809991809997</v>
      </c>
      <c r="AI729" s="1408"/>
      <c r="AJ729" s="1409"/>
      <c r="AK729" s="1404" t="s">
        <v>592</v>
      </c>
      <c r="AL729" s="1405"/>
      <c r="AM729" s="1405"/>
      <c r="AN729" s="1405"/>
      <c r="AO729" s="1406"/>
      <c r="AP729" s="3"/>
      <c r="AQ729" s="3"/>
      <c r="AR729" s="3"/>
      <c r="AS729" s="3"/>
      <c r="AY729" s="1085"/>
      <c r="AZ729" s="118">
        <f t="shared" si="9"/>
        <v>2442</v>
      </c>
      <c r="BA729" s="3"/>
      <c r="BB729" s="3"/>
      <c r="BC729" s="3"/>
      <c r="BD729" s="3"/>
      <c r="BE729" s="204"/>
      <c r="BF729" s="294">
        <f t="shared" si="10"/>
        <v>24</v>
      </c>
      <c r="BG729" s="297">
        <f t="shared" si="11"/>
        <v>0.1702127659574468</v>
      </c>
      <c r="BH729" s="298">
        <f t="shared" si="12"/>
        <v>0.10212765957446808</v>
      </c>
      <c r="BI729" s="3"/>
      <c r="BJ729" s="3"/>
      <c r="BK729" s="3"/>
      <c r="BL729" s="3"/>
      <c r="BM729" s="3"/>
      <c r="BN729" s="3"/>
      <c r="BS729" s="294">
        <f t="shared" si="13"/>
        <v>24</v>
      </c>
      <c r="BT729" s="297">
        <f t="shared" si="14"/>
        <v>0.1702127659574468</v>
      </c>
      <c r="BU729" s="298">
        <f t="shared" si="15"/>
        <v>0.10211371913499574</v>
      </c>
      <c r="BV729" s="3"/>
      <c r="BW729" s="3"/>
      <c r="BX729" s="3"/>
      <c r="BY729" s="3"/>
      <c r="BZ729" s="3"/>
      <c r="CA729" s="3"/>
      <c r="CB729" s="3"/>
      <c r="CC729" s="3"/>
      <c r="CE729" s="3"/>
      <c r="CF729" s="3"/>
      <c r="CG729" s="1353">
        <f t="shared" si="37"/>
        <v>0</v>
      </c>
      <c r="CH729" s="1355"/>
      <c r="CI729" s="1338">
        <f t="shared" si="38"/>
        <v>0</v>
      </c>
      <c r="CJ729" s="1340"/>
      <c r="CK729" s="1353">
        <f t="shared" si="16"/>
        <v>0</v>
      </c>
      <c r="CL729" s="1355"/>
      <c r="CM729" s="1338">
        <f t="shared" si="17"/>
        <v>0</v>
      </c>
      <c r="CN729" s="1340"/>
      <c r="CO729" s="3"/>
      <c r="CP729" s="1335">
        <f t="shared" si="18"/>
        <v>0</v>
      </c>
      <c r="CQ729" s="1336"/>
      <c r="CR729" s="1336"/>
      <c r="CS729" s="1336"/>
      <c r="CT729" s="1337"/>
      <c r="CU729" s="1344">
        <f t="shared" si="19"/>
        <v>0</v>
      </c>
      <c r="CV729" s="1344"/>
      <c r="CW729" s="1344"/>
      <c r="CX729" s="1344"/>
      <c r="CY729" s="1344"/>
      <c r="CZ729" s="1344">
        <f t="shared" si="20"/>
        <v>0</v>
      </c>
      <c r="DA729" s="1344"/>
      <c r="DB729" s="1344"/>
      <c r="DC729" s="1344"/>
      <c r="DD729" s="1344"/>
      <c r="DE729" s="1344">
        <f t="shared" si="21"/>
        <v>24</v>
      </c>
      <c r="DF729" s="1344"/>
      <c r="DG729" s="1344"/>
      <c r="DH729" s="1344"/>
      <c r="DI729" s="1344"/>
      <c r="DJ729" s="1344">
        <f t="shared" si="22"/>
        <v>0</v>
      </c>
      <c r="DK729" s="1344"/>
      <c r="DL729" s="1344"/>
      <c r="DM729" s="1344"/>
      <c r="DN729" s="1344"/>
      <c r="DO729" s="1344">
        <f t="shared" si="23"/>
        <v>0</v>
      </c>
      <c r="DP729" s="1344"/>
      <c r="DQ729" s="1344"/>
      <c r="DR729" s="1344"/>
      <c r="DS729" s="1344"/>
      <c r="DT729" s="6"/>
      <c r="DU729" s="1360">
        <f t="shared" si="24"/>
        <v>0</v>
      </c>
      <c r="DV729" s="1360"/>
      <c r="DW729" s="1360"/>
      <c r="DX729" s="1360"/>
      <c r="DY729" s="1360"/>
      <c r="DZ729" s="1360">
        <f t="shared" si="25"/>
        <v>0</v>
      </c>
      <c r="EA729" s="1360"/>
      <c r="EB729" s="1360"/>
      <c r="EC729" s="1360"/>
      <c r="ED729" s="1360"/>
      <c r="EE729" s="1360">
        <f t="shared" si="26"/>
        <v>0</v>
      </c>
      <c r="EF729" s="1360"/>
      <c r="EG729" s="1360"/>
      <c r="EH729" s="1360"/>
      <c r="EI729" s="1360"/>
      <c r="EJ729" s="1360">
        <f t="shared" si="27"/>
        <v>0</v>
      </c>
      <c r="EK729" s="1360"/>
      <c r="EL729" s="1360"/>
      <c r="EM729" s="1360"/>
      <c r="EN729" s="1360"/>
      <c r="EO729" s="1360">
        <f t="shared" si="28"/>
        <v>0</v>
      </c>
      <c r="EP729" s="1360"/>
      <c r="EQ729" s="1360"/>
      <c r="ER729" s="1360"/>
      <c r="ES729" s="1360"/>
      <c r="ET729" s="1360">
        <f t="shared" si="29"/>
        <v>0</v>
      </c>
      <c r="EU729" s="1360"/>
      <c r="EV729" s="1360"/>
      <c r="EW729" s="1360"/>
      <c r="EX729" s="1360"/>
      <c r="EZ729" s="1353" t="str">
        <f t="shared" si="30"/>
        <v/>
      </c>
      <c r="FA729" s="1354"/>
      <c r="FB729" s="1354"/>
      <c r="FC729" s="1354"/>
      <c r="FD729" s="1355"/>
      <c r="FE729" s="1353" t="str">
        <f t="shared" si="31"/>
        <v/>
      </c>
      <c r="FF729" s="1354"/>
      <c r="FG729" s="1354"/>
      <c r="FH729" s="1354"/>
      <c r="FI729" s="1355"/>
      <c r="FJ729" s="1353" t="str">
        <f t="shared" si="32"/>
        <v/>
      </c>
      <c r="FK729" s="1354"/>
      <c r="FL729" s="1354"/>
      <c r="FM729" s="1354"/>
      <c r="FN729" s="1355"/>
      <c r="FO729" s="1353">
        <f t="shared" si="33"/>
        <v>1465</v>
      </c>
      <c r="FP729" s="1354"/>
      <c r="FQ729" s="1354"/>
      <c r="FR729" s="1354"/>
      <c r="FS729" s="1355"/>
      <c r="FT729" s="1353" t="str">
        <f t="shared" si="34"/>
        <v/>
      </c>
      <c r="FU729" s="1354"/>
      <c r="FV729" s="1354"/>
      <c r="FW729" s="1354"/>
      <c r="FX729" s="1355"/>
      <c r="FY729" s="1353" t="str">
        <f t="shared" si="35"/>
        <v/>
      </c>
      <c r="FZ729" s="1354"/>
      <c r="GA729" s="1354"/>
      <c r="GB729" s="1354"/>
      <c r="GC729" s="1355"/>
    </row>
    <row r="730" spans="1:185" ht="12.95" customHeight="1">
      <c r="B730" s="1404" t="s">
        <v>165</v>
      </c>
      <c r="C730" s="1405"/>
      <c r="D730" s="1405"/>
      <c r="E730" s="1405"/>
      <c r="F730" s="1406"/>
      <c r="G730" s="1476">
        <v>12</v>
      </c>
      <c r="H730" s="1477"/>
      <c r="I730" s="1477"/>
      <c r="J730" s="1478"/>
      <c r="K730" s="1597">
        <v>1094</v>
      </c>
      <c r="L730" s="1598"/>
      <c r="M730" s="1598"/>
      <c r="N730" s="1599"/>
      <c r="O730" s="1379">
        <v>1635</v>
      </c>
      <c r="P730" s="1380"/>
      <c r="Q730" s="1380"/>
      <c r="R730" s="1380"/>
      <c r="S730" s="1381"/>
      <c r="T730" s="1379">
        <v>0</v>
      </c>
      <c r="U730" s="1380"/>
      <c r="V730" s="1380"/>
      <c r="W730" s="1381"/>
      <c r="X730" s="1382">
        <f t="shared" si="8"/>
        <v>1635</v>
      </c>
      <c r="Y730" s="1383"/>
      <c r="Z730" s="1383"/>
      <c r="AA730" s="1383"/>
      <c r="AB730" s="1384"/>
      <c r="AC730" s="1606">
        <v>0.6</v>
      </c>
      <c r="AD730" s="1607"/>
      <c r="AE730" s="1607"/>
      <c r="AF730" s="1607"/>
      <c r="AG730" s="1608"/>
      <c r="AH730" s="1407">
        <f t="shared" si="36"/>
        <v>0.60022026431718056</v>
      </c>
      <c r="AI730" s="1408"/>
      <c r="AJ730" s="1409"/>
      <c r="AK730" s="1404" t="s">
        <v>592</v>
      </c>
      <c r="AL730" s="1405"/>
      <c r="AM730" s="1405"/>
      <c r="AN730" s="1405"/>
      <c r="AO730" s="1406"/>
      <c r="AP730" s="3"/>
      <c r="AQ730" s="3"/>
      <c r="AR730" s="3"/>
      <c r="AS730" s="3"/>
      <c r="AY730" s="1085"/>
      <c r="AZ730" s="118">
        <f t="shared" si="9"/>
        <v>2724</v>
      </c>
      <c r="BA730" s="3"/>
      <c r="BB730" s="3"/>
      <c r="BC730" s="3"/>
      <c r="BD730" s="3"/>
      <c r="BE730" s="204"/>
      <c r="BF730" s="294">
        <f t="shared" si="10"/>
        <v>12</v>
      </c>
      <c r="BG730" s="297">
        <f t="shared" si="11"/>
        <v>8.5106382978723402E-2</v>
      </c>
      <c r="BH730" s="298">
        <f t="shared" si="12"/>
        <v>5.106382978723404E-2</v>
      </c>
      <c r="BI730" s="3"/>
      <c r="BJ730" s="3"/>
      <c r="BK730" s="3"/>
      <c r="BL730" s="3"/>
      <c r="BM730" s="3"/>
      <c r="BN730" s="3"/>
      <c r="BS730" s="294">
        <f t="shared" si="13"/>
        <v>12</v>
      </c>
      <c r="BT730" s="297">
        <f t="shared" si="14"/>
        <v>8.5106382978723402E-2</v>
      </c>
      <c r="BU730" s="298">
        <f t="shared" si="15"/>
        <v>5.1082575686568557E-2</v>
      </c>
      <c r="BV730" s="3"/>
      <c r="BW730" s="3"/>
      <c r="BX730" s="3"/>
      <c r="BY730" s="3"/>
      <c r="BZ730" s="3"/>
      <c r="CA730" s="3"/>
      <c r="CB730" s="3"/>
      <c r="CC730" s="3"/>
      <c r="CE730" s="3"/>
      <c r="CF730" s="3"/>
      <c r="CG730" s="1353">
        <f t="shared" si="37"/>
        <v>0</v>
      </c>
      <c r="CH730" s="1355"/>
      <c r="CI730" s="1338">
        <f t="shared" si="38"/>
        <v>0</v>
      </c>
      <c r="CJ730" s="1340"/>
      <c r="CK730" s="1353">
        <f t="shared" si="16"/>
        <v>0</v>
      </c>
      <c r="CL730" s="1355"/>
      <c r="CM730" s="1338">
        <f t="shared" si="17"/>
        <v>0</v>
      </c>
      <c r="CN730" s="1340"/>
      <c r="CO730" s="3"/>
      <c r="CP730" s="1335">
        <f t="shared" si="18"/>
        <v>0</v>
      </c>
      <c r="CQ730" s="1336"/>
      <c r="CR730" s="1336"/>
      <c r="CS730" s="1336"/>
      <c r="CT730" s="1337"/>
      <c r="CU730" s="1344">
        <f t="shared" si="19"/>
        <v>0</v>
      </c>
      <c r="CV730" s="1344"/>
      <c r="CW730" s="1344"/>
      <c r="CX730" s="1344"/>
      <c r="CY730" s="1344"/>
      <c r="CZ730" s="1344">
        <f t="shared" si="20"/>
        <v>0</v>
      </c>
      <c r="DA730" s="1344"/>
      <c r="DB730" s="1344"/>
      <c r="DC730" s="1344"/>
      <c r="DD730" s="1344"/>
      <c r="DE730" s="1344">
        <f t="shared" si="21"/>
        <v>0</v>
      </c>
      <c r="DF730" s="1344"/>
      <c r="DG730" s="1344"/>
      <c r="DH730" s="1344"/>
      <c r="DI730" s="1344"/>
      <c r="DJ730" s="1344">
        <f t="shared" si="22"/>
        <v>12</v>
      </c>
      <c r="DK730" s="1344"/>
      <c r="DL730" s="1344"/>
      <c r="DM730" s="1344"/>
      <c r="DN730" s="1344"/>
      <c r="DO730" s="1344">
        <f t="shared" si="23"/>
        <v>0</v>
      </c>
      <c r="DP730" s="1344"/>
      <c r="DQ730" s="1344"/>
      <c r="DR730" s="1344"/>
      <c r="DS730" s="1344"/>
      <c r="DT730" s="6"/>
      <c r="DU730" s="1360">
        <f t="shared" si="24"/>
        <v>0</v>
      </c>
      <c r="DV730" s="1360"/>
      <c r="DW730" s="1360"/>
      <c r="DX730" s="1360"/>
      <c r="DY730" s="1360"/>
      <c r="DZ730" s="1360">
        <f t="shared" si="25"/>
        <v>0</v>
      </c>
      <c r="EA730" s="1360"/>
      <c r="EB730" s="1360"/>
      <c r="EC730" s="1360"/>
      <c r="ED730" s="1360"/>
      <c r="EE730" s="1360">
        <f t="shared" si="26"/>
        <v>0</v>
      </c>
      <c r="EF730" s="1360"/>
      <c r="EG730" s="1360"/>
      <c r="EH730" s="1360"/>
      <c r="EI730" s="1360"/>
      <c r="EJ730" s="1360">
        <f t="shared" si="27"/>
        <v>0</v>
      </c>
      <c r="EK730" s="1360"/>
      <c r="EL730" s="1360"/>
      <c r="EM730" s="1360"/>
      <c r="EN730" s="1360"/>
      <c r="EO730" s="1360">
        <f t="shared" si="28"/>
        <v>0</v>
      </c>
      <c r="EP730" s="1360"/>
      <c r="EQ730" s="1360"/>
      <c r="ER730" s="1360"/>
      <c r="ES730" s="1360"/>
      <c r="ET730" s="1360">
        <f t="shared" si="29"/>
        <v>0</v>
      </c>
      <c r="EU730" s="1360"/>
      <c r="EV730" s="1360"/>
      <c r="EW730" s="1360"/>
      <c r="EX730" s="1360"/>
      <c r="EZ730" s="1353" t="str">
        <f t="shared" si="30"/>
        <v/>
      </c>
      <c r="FA730" s="1354"/>
      <c r="FB730" s="1354"/>
      <c r="FC730" s="1354"/>
      <c r="FD730" s="1355"/>
      <c r="FE730" s="1353" t="str">
        <f t="shared" si="31"/>
        <v/>
      </c>
      <c r="FF730" s="1354"/>
      <c r="FG730" s="1354"/>
      <c r="FH730" s="1354"/>
      <c r="FI730" s="1355"/>
      <c r="FJ730" s="1353" t="str">
        <f t="shared" si="32"/>
        <v/>
      </c>
      <c r="FK730" s="1354"/>
      <c r="FL730" s="1354"/>
      <c r="FM730" s="1354"/>
      <c r="FN730" s="1355"/>
      <c r="FO730" s="1353" t="str">
        <f t="shared" si="33"/>
        <v/>
      </c>
      <c r="FP730" s="1354"/>
      <c r="FQ730" s="1354"/>
      <c r="FR730" s="1354"/>
      <c r="FS730" s="1355"/>
      <c r="FT730" s="1353">
        <f t="shared" si="34"/>
        <v>1635</v>
      </c>
      <c r="FU730" s="1354"/>
      <c r="FV730" s="1354"/>
      <c r="FW730" s="1354"/>
      <c r="FX730" s="1355"/>
      <c r="FY730" s="1353" t="str">
        <f t="shared" si="35"/>
        <v/>
      </c>
      <c r="FZ730" s="1354"/>
      <c r="GA730" s="1354"/>
      <c r="GB730" s="1354"/>
      <c r="GC730" s="1355"/>
    </row>
    <row r="731" spans="1:185" ht="12.95" customHeight="1">
      <c r="B731" s="1404" t="s">
        <v>325</v>
      </c>
      <c r="C731" s="1405"/>
      <c r="D731" s="1405"/>
      <c r="E731" s="1405"/>
      <c r="F731" s="1406"/>
      <c r="G731" s="1476">
        <v>3</v>
      </c>
      <c r="H731" s="1477"/>
      <c r="I731" s="1477"/>
      <c r="J731" s="1478"/>
      <c r="K731" s="1597">
        <v>553</v>
      </c>
      <c r="L731" s="1598"/>
      <c r="M731" s="1598"/>
      <c r="N731" s="1599"/>
      <c r="O731" s="1379">
        <v>705</v>
      </c>
      <c r="P731" s="1380"/>
      <c r="Q731" s="1380"/>
      <c r="R731" s="1380"/>
      <c r="S731" s="1381"/>
      <c r="T731" s="1379">
        <v>0</v>
      </c>
      <c r="U731" s="1380"/>
      <c r="V731" s="1380"/>
      <c r="W731" s="1381"/>
      <c r="X731" s="1382">
        <f t="shared" si="8"/>
        <v>705</v>
      </c>
      <c r="Y731" s="1383"/>
      <c r="Z731" s="1383"/>
      <c r="AA731" s="1383"/>
      <c r="AB731" s="1384"/>
      <c r="AC731" s="1606">
        <v>0.4</v>
      </c>
      <c r="AD731" s="1607"/>
      <c r="AE731" s="1607"/>
      <c r="AF731" s="1607"/>
      <c r="AG731" s="1608"/>
      <c r="AH731" s="1407">
        <f t="shared" si="36"/>
        <v>0.40011350737797957</v>
      </c>
      <c r="AI731" s="1408"/>
      <c r="AJ731" s="1409"/>
      <c r="AK731" s="1404" t="s">
        <v>592</v>
      </c>
      <c r="AL731" s="1405"/>
      <c r="AM731" s="1405"/>
      <c r="AN731" s="1405"/>
      <c r="AO731" s="1406"/>
      <c r="AP731" s="3"/>
      <c r="AQ731" s="3"/>
      <c r="AR731" s="3"/>
      <c r="AS731" s="3"/>
      <c r="AY731" s="1085"/>
      <c r="AZ731" s="118">
        <f t="shared" si="9"/>
        <v>1762</v>
      </c>
      <c r="BA731" s="3"/>
      <c r="BB731" s="3"/>
      <c r="BC731" s="3"/>
      <c r="BD731" s="3"/>
      <c r="BE731" s="204"/>
      <c r="BF731" s="294">
        <f t="shared" si="10"/>
        <v>3</v>
      </c>
      <c r="BG731" s="297">
        <f t="shared" si="11"/>
        <v>2.1276595744680851E-2</v>
      </c>
      <c r="BH731" s="298">
        <f t="shared" si="12"/>
        <v>8.5106382978723406E-3</v>
      </c>
      <c r="BI731" s="3"/>
      <c r="BJ731" s="3"/>
      <c r="BK731" s="3"/>
      <c r="BL731" s="3"/>
      <c r="BM731" s="3"/>
      <c r="BN731" s="3"/>
      <c r="BS731" s="294">
        <f t="shared" si="13"/>
        <v>3</v>
      </c>
      <c r="BT731" s="297">
        <f t="shared" si="14"/>
        <v>2.1276595744680851E-2</v>
      </c>
      <c r="BU731" s="298">
        <f t="shared" si="15"/>
        <v>8.5130533484676502E-3</v>
      </c>
      <c r="BV731" s="3"/>
      <c r="BW731" s="3"/>
      <c r="BX731" s="3"/>
      <c r="BY731" s="3"/>
      <c r="BZ731" s="3"/>
      <c r="CA731" s="3"/>
      <c r="CB731" s="3"/>
      <c r="CC731" s="3"/>
      <c r="CE731" s="3"/>
      <c r="CF731" s="3"/>
      <c r="CG731" s="1353">
        <f t="shared" si="37"/>
        <v>1</v>
      </c>
      <c r="CH731" s="1355"/>
      <c r="CI731" s="1338">
        <f t="shared" si="38"/>
        <v>3</v>
      </c>
      <c r="CJ731" s="1340"/>
      <c r="CK731" s="1353">
        <f t="shared" si="16"/>
        <v>0</v>
      </c>
      <c r="CL731" s="1355"/>
      <c r="CM731" s="1338">
        <f t="shared" si="17"/>
        <v>0</v>
      </c>
      <c r="CN731" s="1340"/>
      <c r="CO731" s="3"/>
      <c r="CP731" s="1335">
        <f t="shared" si="18"/>
        <v>0</v>
      </c>
      <c r="CQ731" s="1336"/>
      <c r="CR731" s="1336"/>
      <c r="CS731" s="1336"/>
      <c r="CT731" s="1337"/>
      <c r="CU731" s="1344">
        <f t="shared" si="19"/>
        <v>3</v>
      </c>
      <c r="CV731" s="1344"/>
      <c r="CW731" s="1344"/>
      <c r="CX731" s="1344"/>
      <c r="CY731" s="1344"/>
      <c r="CZ731" s="1344">
        <f t="shared" si="20"/>
        <v>0</v>
      </c>
      <c r="DA731" s="1344"/>
      <c r="DB731" s="1344"/>
      <c r="DC731" s="1344"/>
      <c r="DD731" s="1344"/>
      <c r="DE731" s="1344">
        <f t="shared" si="21"/>
        <v>0</v>
      </c>
      <c r="DF731" s="1344"/>
      <c r="DG731" s="1344"/>
      <c r="DH731" s="1344"/>
      <c r="DI731" s="1344"/>
      <c r="DJ731" s="1344">
        <f t="shared" si="22"/>
        <v>0</v>
      </c>
      <c r="DK731" s="1344"/>
      <c r="DL731" s="1344"/>
      <c r="DM731" s="1344"/>
      <c r="DN731" s="1344"/>
      <c r="DO731" s="1344">
        <f t="shared" si="23"/>
        <v>0</v>
      </c>
      <c r="DP731" s="1344"/>
      <c r="DQ731" s="1344"/>
      <c r="DR731" s="1344"/>
      <c r="DS731" s="1344"/>
      <c r="DT731" s="6"/>
      <c r="DU731" s="1360">
        <f t="shared" si="24"/>
        <v>0</v>
      </c>
      <c r="DV731" s="1360"/>
      <c r="DW731" s="1360"/>
      <c r="DX731" s="1360"/>
      <c r="DY731" s="1360"/>
      <c r="DZ731" s="1360">
        <f t="shared" si="25"/>
        <v>0</v>
      </c>
      <c r="EA731" s="1360"/>
      <c r="EB731" s="1360"/>
      <c r="EC731" s="1360"/>
      <c r="ED731" s="1360"/>
      <c r="EE731" s="1360">
        <f t="shared" si="26"/>
        <v>0</v>
      </c>
      <c r="EF731" s="1360"/>
      <c r="EG731" s="1360"/>
      <c r="EH731" s="1360"/>
      <c r="EI731" s="1360"/>
      <c r="EJ731" s="1360">
        <f t="shared" si="27"/>
        <v>0</v>
      </c>
      <c r="EK731" s="1360"/>
      <c r="EL731" s="1360"/>
      <c r="EM731" s="1360"/>
      <c r="EN731" s="1360"/>
      <c r="EO731" s="1360">
        <f t="shared" si="28"/>
        <v>0</v>
      </c>
      <c r="EP731" s="1360"/>
      <c r="EQ731" s="1360"/>
      <c r="ER731" s="1360"/>
      <c r="ES731" s="1360"/>
      <c r="ET731" s="1360">
        <f t="shared" si="29"/>
        <v>0</v>
      </c>
      <c r="EU731" s="1360"/>
      <c r="EV731" s="1360"/>
      <c r="EW731" s="1360"/>
      <c r="EX731" s="1360"/>
      <c r="EZ731" s="1353" t="str">
        <f t="shared" si="30"/>
        <v/>
      </c>
      <c r="FA731" s="1354"/>
      <c r="FB731" s="1354"/>
      <c r="FC731" s="1354"/>
      <c r="FD731" s="1355"/>
      <c r="FE731" s="1353">
        <f t="shared" si="31"/>
        <v>705</v>
      </c>
      <c r="FF731" s="1354"/>
      <c r="FG731" s="1354"/>
      <c r="FH731" s="1354"/>
      <c r="FI731" s="1355"/>
      <c r="FJ731" s="1353" t="str">
        <f t="shared" si="32"/>
        <v/>
      </c>
      <c r="FK731" s="1354"/>
      <c r="FL731" s="1354"/>
      <c r="FM731" s="1354"/>
      <c r="FN731" s="1355"/>
      <c r="FO731" s="1353" t="str">
        <f t="shared" si="33"/>
        <v/>
      </c>
      <c r="FP731" s="1354"/>
      <c r="FQ731" s="1354"/>
      <c r="FR731" s="1354"/>
      <c r="FS731" s="1355"/>
      <c r="FT731" s="1353" t="str">
        <f t="shared" si="34"/>
        <v/>
      </c>
      <c r="FU731" s="1354"/>
      <c r="FV731" s="1354"/>
      <c r="FW731" s="1354"/>
      <c r="FX731" s="1355"/>
      <c r="FY731" s="1353" t="str">
        <f t="shared" si="35"/>
        <v/>
      </c>
      <c r="FZ731" s="1354"/>
      <c r="GA731" s="1354"/>
      <c r="GB731" s="1354"/>
      <c r="GC731" s="1355"/>
    </row>
    <row r="732" spans="1:185" ht="12.95" customHeight="1">
      <c r="B732" s="1404"/>
      <c r="C732" s="1405"/>
      <c r="D732" s="1405"/>
      <c r="E732" s="1405"/>
      <c r="F732" s="1406"/>
      <c r="G732" s="1476"/>
      <c r="H732" s="1477"/>
      <c r="I732" s="1477"/>
      <c r="J732" s="1478"/>
      <c r="K732" s="1597"/>
      <c r="L732" s="1598"/>
      <c r="M732" s="1598"/>
      <c r="N732" s="1599"/>
      <c r="O732" s="1379"/>
      <c r="P732" s="1380"/>
      <c r="Q732" s="1380"/>
      <c r="R732" s="1380"/>
      <c r="S732" s="1381"/>
      <c r="T732" s="1379"/>
      <c r="U732" s="1380"/>
      <c r="V732" s="1380"/>
      <c r="W732" s="1381"/>
      <c r="X732" s="1382">
        <f t="shared" si="8"/>
        <v>0</v>
      </c>
      <c r="Y732" s="1383"/>
      <c r="Z732" s="1383"/>
      <c r="AA732" s="1383"/>
      <c r="AB732" s="1384"/>
      <c r="AC732" s="1606"/>
      <c r="AD732" s="1607"/>
      <c r="AE732" s="1607"/>
      <c r="AF732" s="1607"/>
      <c r="AG732" s="1608"/>
      <c r="AH732" s="1407" t="str">
        <f t="shared" si="36"/>
        <v/>
      </c>
      <c r="AI732" s="1408"/>
      <c r="AJ732" s="1409"/>
      <c r="AK732" s="1404" t="s">
        <v>592</v>
      </c>
      <c r="AL732" s="1405"/>
      <c r="AM732" s="1405"/>
      <c r="AN732" s="1405"/>
      <c r="AO732" s="1406"/>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3">
        <f t="shared" si="37"/>
        <v>0</v>
      </c>
      <c r="CH732" s="1355"/>
      <c r="CI732" s="1338">
        <f t="shared" si="38"/>
        <v>0</v>
      </c>
      <c r="CJ732" s="1340"/>
      <c r="CK732" s="1353">
        <f t="shared" si="16"/>
        <v>0</v>
      </c>
      <c r="CL732" s="1355"/>
      <c r="CM732" s="1338">
        <f t="shared" si="17"/>
        <v>0</v>
      </c>
      <c r="CN732" s="1340"/>
      <c r="CO732" s="3"/>
      <c r="CP732" s="1335">
        <f t="shared" si="18"/>
        <v>0</v>
      </c>
      <c r="CQ732" s="1336"/>
      <c r="CR732" s="1336"/>
      <c r="CS732" s="1336"/>
      <c r="CT732" s="1337"/>
      <c r="CU732" s="1344">
        <f t="shared" si="19"/>
        <v>0</v>
      </c>
      <c r="CV732" s="1344"/>
      <c r="CW732" s="1344"/>
      <c r="CX732" s="1344"/>
      <c r="CY732" s="1344"/>
      <c r="CZ732" s="1344">
        <f t="shared" si="20"/>
        <v>0</v>
      </c>
      <c r="DA732" s="1344"/>
      <c r="DB732" s="1344"/>
      <c r="DC732" s="1344"/>
      <c r="DD732" s="1344"/>
      <c r="DE732" s="1344">
        <f t="shared" si="21"/>
        <v>0</v>
      </c>
      <c r="DF732" s="1344"/>
      <c r="DG732" s="1344"/>
      <c r="DH732" s="1344"/>
      <c r="DI732" s="1344"/>
      <c r="DJ732" s="1344">
        <f t="shared" si="22"/>
        <v>0</v>
      </c>
      <c r="DK732" s="1344"/>
      <c r="DL732" s="1344"/>
      <c r="DM732" s="1344"/>
      <c r="DN732" s="1344"/>
      <c r="DO732" s="1344">
        <f t="shared" si="23"/>
        <v>0</v>
      </c>
      <c r="DP732" s="1344"/>
      <c r="DQ732" s="1344"/>
      <c r="DR732" s="1344"/>
      <c r="DS732" s="1344"/>
      <c r="DT732" s="6"/>
      <c r="DU732" s="1360">
        <f t="shared" si="24"/>
        <v>0</v>
      </c>
      <c r="DV732" s="1360"/>
      <c r="DW732" s="1360"/>
      <c r="DX732" s="1360"/>
      <c r="DY732" s="1360"/>
      <c r="DZ732" s="1360">
        <f t="shared" si="25"/>
        <v>0</v>
      </c>
      <c r="EA732" s="1360"/>
      <c r="EB732" s="1360"/>
      <c r="EC732" s="1360"/>
      <c r="ED732" s="1360"/>
      <c r="EE732" s="1360">
        <f t="shared" si="26"/>
        <v>0</v>
      </c>
      <c r="EF732" s="1360"/>
      <c r="EG732" s="1360"/>
      <c r="EH732" s="1360"/>
      <c r="EI732" s="1360"/>
      <c r="EJ732" s="1360">
        <f t="shared" si="27"/>
        <v>0</v>
      </c>
      <c r="EK732" s="1360"/>
      <c r="EL732" s="1360"/>
      <c r="EM732" s="1360"/>
      <c r="EN732" s="1360"/>
      <c r="EO732" s="1360">
        <f t="shared" si="28"/>
        <v>0</v>
      </c>
      <c r="EP732" s="1360"/>
      <c r="EQ732" s="1360"/>
      <c r="ER732" s="1360"/>
      <c r="ES732" s="1360"/>
      <c r="ET732" s="1360">
        <f t="shared" si="29"/>
        <v>0</v>
      </c>
      <c r="EU732" s="1360"/>
      <c r="EV732" s="1360"/>
      <c r="EW732" s="1360"/>
      <c r="EX732" s="1360"/>
      <c r="EZ732" s="1353" t="str">
        <f t="shared" si="30"/>
        <v/>
      </c>
      <c r="FA732" s="1354"/>
      <c r="FB732" s="1354"/>
      <c r="FC732" s="1354"/>
      <c r="FD732" s="1355"/>
      <c r="FE732" s="1353" t="str">
        <f t="shared" si="31"/>
        <v/>
      </c>
      <c r="FF732" s="1354"/>
      <c r="FG732" s="1354"/>
      <c r="FH732" s="1354"/>
      <c r="FI732" s="1355"/>
      <c r="FJ732" s="1353" t="str">
        <f t="shared" si="32"/>
        <v/>
      </c>
      <c r="FK732" s="1354"/>
      <c r="FL732" s="1354"/>
      <c r="FM732" s="1354"/>
      <c r="FN732" s="1355"/>
      <c r="FO732" s="1353" t="str">
        <f t="shared" si="33"/>
        <v/>
      </c>
      <c r="FP732" s="1354"/>
      <c r="FQ732" s="1354"/>
      <c r="FR732" s="1354"/>
      <c r="FS732" s="1355"/>
      <c r="FT732" s="1353" t="str">
        <f t="shared" si="34"/>
        <v/>
      </c>
      <c r="FU732" s="1354"/>
      <c r="FV732" s="1354"/>
      <c r="FW732" s="1354"/>
      <c r="FX732" s="1355"/>
      <c r="FY732" s="1353" t="str">
        <f t="shared" si="35"/>
        <v/>
      </c>
      <c r="FZ732" s="1354"/>
      <c r="GA732" s="1354"/>
      <c r="GB732" s="1354"/>
      <c r="GC732" s="1355"/>
    </row>
    <row r="733" spans="1:185" ht="12.95" customHeight="1">
      <c r="B733" s="1404"/>
      <c r="C733" s="1405"/>
      <c r="D733" s="1405"/>
      <c r="E733" s="1405"/>
      <c r="F733" s="1406"/>
      <c r="G733" s="1476"/>
      <c r="H733" s="1477"/>
      <c r="I733" s="1477"/>
      <c r="J733" s="1478"/>
      <c r="K733" s="1597"/>
      <c r="L733" s="1598"/>
      <c r="M733" s="1598"/>
      <c r="N733" s="1599"/>
      <c r="O733" s="1379"/>
      <c r="P733" s="1380"/>
      <c r="Q733" s="1380"/>
      <c r="R733" s="1380"/>
      <c r="S733" s="1381"/>
      <c r="T733" s="1379"/>
      <c r="U733" s="1380"/>
      <c r="V733" s="1380"/>
      <c r="W733" s="1381"/>
      <c r="X733" s="1382">
        <f t="shared" si="8"/>
        <v>0</v>
      </c>
      <c r="Y733" s="1383"/>
      <c r="Z733" s="1383"/>
      <c r="AA733" s="1383"/>
      <c r="AB733" s="1384"/>
      <c r="AC733" s="1606"/>
      <c r="AD733" s="1607"/>
      <c r="AE733" s="1607"/>
      <c r="AF733" s="1607"/>
      <c r="AG733" s="1608"/>
      <c r="AH733" s="1407" t="str">
        <f t="shared" si="36"/>
        <v/>
      </c>
      <c r="AI733" s="1408"/>
      <c r="AJ733" s="1409"/>
      <c r="AK733" s="1404" t="s">
        <v>592</v>
      </c>
      <c r="AL733" s="1405"/>
      <c r="AM733" s="1405"/>
      <c r="AN733" s="1405"/>
      <c r="AO733" s="1406"/>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3">
        <f t="shared" si="37"/>
        <v>0</v>
      </c>
      <c r="CH733" s="1355"/>
      <c r="CI733" s="1338">
        <f t="shared" si="38"/>
        <v>0</v>
      </c>
      <c r="CJ733" s="1340"/>
      <c r="CK733" s="1353">
        <f t="shared" si="16"/>
        <v>0</v>
      </c>
      <c r="CL733" s="1355"/>
      <c r="CM733" s="1338">
        <f t="shared" si="17"/>
        <v>0</v>
      </c>
      <c r="CN733" s="1340"/>
      <c r="CO733" s="3"/>
      <c r="CP733" s="1335">
        <f t="shared" si="18"/>
        <v>0</v>
      </c>
      <c r="CQ733" s="1336"/>
      <c r="CR733" s="1336"/>
      <c r="CS733" s="1336"/>
      <c r="CT733" s="1337"/>
      <c r="CU733" s="1344">
        <f t="shared" si="19"/>
        <v>0</v>
      </c>
      <c r="CV733" s="1344"/>
      <c r="CW733" s="1344"/>
      <c r="CX733" s="1344"/>
      <c r="CY733" s="1344"/>
      <c r="CZ733" s="1344">
        <f t="shared" si="20"/>
        <v>0</v>
      </c>
      <c r="DA733" s="1344"/>
      <c r="DB733" s="1344"/>
      <c r="DC733" s="1344"/>
      <c r="DD733" s="1344"/>
      <c r="DE733" s="1344">
        <f t="shared" si="21"/>
        <v>0</v>
      </c>
      <c r="DF733" s="1344"/>
      <c r="DG733" s="1344"/>
      <c r="DH733" s="1344"/>
      <c r="DI733" s="1344"/>
      <c r="DJ733" s="1344">
        <f t="shared" si="22"/>
        <v>0</v>
      </c>
      <c r="DK733" s="1344"/>
      <c r="DL733" s="1344"/>
      <c r="DM733" s="1344"/>
      <c r="DN733" s="1344"/>
      <c r="DO733" s="1344">
        <f t="shared" si="23"/>
        <v>0</v>
      </c>
      <c r="DP733" s="1344"/>
      <c r="DQ733" s="1344"/>
      <c r="DR733" s="1344"/>
      <c r="DS733" s="1344"/>
      <c r="DT733" s="6"/>
      <c r="DU733" s="1360">
        <f t="shared" si="24"/>
        <v>0</v>
      </c>
      <c r="DV733" s="1360"/>
      <c r="DW733" s="1360"/>
      <c r="DX733" s="1360"/>
      <c r="DY733" s="1360"/>
      <c r="DZ733" s="1360">
        <f t="shared" si="25"/>
        <v>0</v>
      </c>
      <c r="EA733" s="1360"/>
      <c r="EB733" s="1360"/>
      <c r="EC733" s="1360"/>
      <c r="ED733" s="1360"/>
      <c r="EE733" s="1360">
        <f t="shared" si="26"/>
        <v>0</v>
      </c>
      <c r="EF733" s="1360"/>
      <c r="EG733" s="1360"/>
      <c r="EH733" s="1360"/>
      <c r="EI733" s="1360"/>
      <c r="EJ733" s="1360">
        <f t="shared" si="27"/>
        <v>0</v>
      </c>
      <c r="EK733" s="1360"/>
      <c r="EL733" s="1360"/>
      <c r="EM733" s="1360"/>
      <c r="EN733" s="1360"/>
      <c r="EO733" s="1360">
        <f t="shared" si="28"/>
        <v>0</v>
      </c>
      <c r="EP733" s="1360"/>
      <c r="EQ733" s="1360"/>
      <c r="ER733" s="1360"/>
      <c r="ES733" s="1360"/>
      <c r="ET733" s="1360">
        <f t="shared" si="29"/>
        <v>0</v>
      </c>
      <c r="EU733" s="1360"/>
      <c r="EV733" s="1360"/>
      <c r="EW733" s="1360"/>
      <c r="EX733" s="1360"/>
      <c r="EZ733" s="1353" t="str">
        <f t="shared" si="30"/>
        <v/>
      </c>
      <c r="FA733" s="1354"/>
      <c r="FB733" s="1354"/>
      <c r="FC733" s="1354"/>
      <c r="FD733" s="1355"/>
      <c r="FE733" s="1353" t="str">
        <f t="shared" si="31"/>
        <v/>
      </c>
      <c r="FF733" s="1354"/>
      <c r="FG733" s="1354"/>
      <c r="FH733" s="1354"/>
      <c r="FI733" s="1355"/>
      <c r="FJ733" s="1353" t="str">
        <f t="shared" si="32"/>
        <v/>
      </c>
      <c r="FK733" s="1354"/>
      <c r="FL733" s="1354"/>
      <c r="FM733" s="1354"/>
      <c r="FN733" s="1355"/>
      <c r="FO733" s="1353" t="str">
        <f t="shared" si="33"/>
        <v/>
      </c>
      <c r="FP733" s="1354"/>
      <c r="FQ733" s="1354"/>
      <c r="FR733" s="1354"/>
      <c r="FS733" s="1355"/>
      <c r="FT733" s="1353" t="str">
        <f t="shared" si="34"/>
        <v/>
      </c>
      <c r="FU733" s="1354"/>
      <c r="FV733" s="1354"/>
      <c r="FW733" s="1354"/>
      <c r="FX733" s="1355"/>
      <c r="FY733" s="1353" t="str">
        <f t="shared" si="35"/>
        <v/>
      </c>
      <c r="FZ733" s="1354"/>
      <c r="GA733" s="1354"/>
      <c r="GB733" s="1354"/>
      <c r="GC733" s="1355"/>
    </row>
    <row r="734" spans="1:185" ht="12.95" customHeight="1">
      <c r="B734" s="1404"/>
      <c r="C734" s="1405"/>
      <c r="D734" s="1405"/>
      <c r="E734" s="1405"/>
      <c r="F734" s="1406"/>
      <c r="G734" s="1476"/>
      <c r="H734" s="1477"/>
      <c r="I734" s="1477"/>
      <c r="J734" s="1478"/>
      <c r="K734" s="1597"/>
      <c r="L734" s="1598"/>
      <c r="M734" s="1598"/>
      <c r="N734" s="1599"/>
      <c r="O734" s="1379"/>
      <c r="P734" s="1380"/>
      <c r="Q734" s="1380"/>
      <c r="R734" s="1380"/>
      <c r="S734" s="1381"/>
      <c r="T734" s="1379"/>
      <c r="U734" s="1380"/>
      <c r="V734" s="1380"/>
      <c r="W734" s="1381"/>
      <c r="X734" s="1382">
        <f t="shared" si="8"/>
        <v>0</v>
      </c>
      <c r="Y734" s="1383"/>
      <c r="Z734" s="1383"/>
      <c r="AA734" s="1383"/>
      <c r="AB734" s="1384"/>
      <c r="AC734" s="1606"/>
      <c r="AD734" s="1607"/>
      <c r="AE734" s="1607"/>
      <c r="AF734" s="1607"/>
      <c r="AG734" s="1608"/>
      <c r="AH734" s="1407" t="str">
        <f t="shared" si="36"/>
        <v/>
      </c>
      <c r="AI734" s="1408"/>
      <c r="AJ734" s="1409"/>
      <c r="AK734" s="1404" t="s">
        <v>592</v>
      </c>
      <c r="AL734" s="1405"/>
      <c r="AM734" s="1405"/>
      <c r="AN734" s="1405"/>
      <c r="AO734" s="1406"/>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3">
        <f t="shared" si="37"/>
        <v>0</v>
      </c>
      <c r="CH734" s="1355"/>
      <c r="CI734" s="1338">
        <f t="shared" si="38"/>
        <v>0</v>
      </c>
      <c r="CJ734" s="1340"/>
      <c r="CK734" s="1353">
        <f t="shared" si="16"/>
        <v>0</v>
      </c>
      <c r="CL734" s="1355"/>
      <c r="CM734" s="1338">
        <f t="shared" si="17"/>
        <v>0</v>
      </c>
      <c r="CN734" s="1340"/>
      <c r="CO734" s="3"/>
      <c r="CP734" s="1335">
        <f t="shared" si="18"/>
        <v>0</v>
      </c>
      <c r="CQ734" s="1336"/>
      <c r="CR734" s="1336"/>
      <c r="CS734" s="1336"/>
      <c r="CT734" s="1337"/>
      <c r="CU734" s="1344">
        <f t="shared" si="19"/>
        <v>0</v>
      </c>
      <c r="CV734" s="1344"/>
      <c r="CW734" s="1344"/>
      <c r="CX734" s="1344"/>
      <c r="CY734" s="1344"/>
      <c r="CZ734" s="1344">
        <f t="shared" si="20"/>
        <v>0</v>
      </c>
      <c r="DA734" s="1344"/>
      <c r="DB734" s="1344"/>
      <c r="DC734" s="1344"/>
      <c r="DD734" s="1344"/>
      <c r="DE734" s="1344">
        <f t="shared" si="21"/>
        <v>0</v>
      </c>
      <c r="DF734" s="1344"/>
      <c r="DG734" s="1344"/>
      <c r="DH734" s="1344"/>
      <c r="DI734" s="1344"/>
      <c r="DJ734" s="1344">
        <f t="shared" si="22"/>
        <v>0</v>
      </c>
      <c r="DK734" s="1344"/>
      <c r="DL734" s="1344"/>
      <c r="DM734" s="1344"/>
      <c r="DN734" s="1344"/>
      <c r="DO734" s="1344">
        <f t="shared" si="23"/>
        <v>0</v>
      </c>
      <c r="DP734" s="1344"/>
      <c r="DQ734" s="1344"/>
      <c r="DR734" s="1344"/>
      <c r="DS734" s="1344"/>
      <c r="DT734" s="6"/>
      <c r="DU734" s="1360">
        <f t="shared" si="24"/>
        <v>0</v>
      </c>
      <c r="DV734" s="1360"/>
      <c r="DW734" s="1360"/>
      <c r="DX734" s="1360"/>
      <c r="DY734" s="1360"/>
      <c r="DZ734" s="1360">
        <f t="shared" si="25"/>
        <v>0</v>
      </c>
      <c r="EA734" s="1360"/>
      <c r="EB734" s="1360"/>
      <c r="EC734" s="1360"/>
      <c r="ED734" s="1360"/>
      <c r="EE734" s="1360">
        <f t="shared" si="26"/>
        <v>0</v>
      </c>
      <c r="EF734" s="1360"/>
      <c r="EG734" s="1360"/>
      <c r="EH734" s="1360"/>
      <c r="EI734" s="1360"/>
      <c r="EJ734" s="1360">
        <f t="shared" si="27"/>
        <v>0</v>
      </c>
      <c r="EK734" s="1360"/>
      <c r="EL734" s="1360"/>
      <c r="EM734" s="1360"/>
      <c r="EN734" s="1360"/>
      <c r="EO734" s="1360">
        <f t="shared" si="28"/>
        <v>0</v>
      </c>
      <c r="EP734" s="1360"/>
      <c r="EQ734" s="1360"/>
      <c r="ER734" s="1360"/>
      <c r="ES734" s="1360"/>
      <c r="ET734" s="1360">
        <f t="shared" si="29"/>
        <v>0</v>
      </c>
      <c r="EU734" s="1360"/>
      <c r="EV734" s="1360"/>
      <c r="EW734" s="1360"/>
      <c r="EX734" s="1360"/>
      <c r="EZ734" s="1353" t="str">
        <f t="shared" si="30"/>
        <v/>
      </c>
      <c r="FA734" s="1354"/>
      <c r="FB734" s="1354"/>
      <c r="FC734" s="1354"/>
      <c r="FD734" s="1355"/>
      <c r="FE734" s="1353" t="str">
        <f t="shared" si="31"/>
        <v/>
      </c>
      <c r="FF734" s="1354"/>
      <c r="FG734" s="1354"/>
      <c r="FH734" s="1354"/>
      <c r="FI734" s="1355"/>
      <c r="FJ734" s="1353" t="str">
        <f t="shared" si="32"/>
        <v/>
      </c>
      <c r="FK734" s="1354"/>
      <c r="FL734" s="1354"/>
      <c r="FM734" s="1354"/>
      <c r="FN734" s="1355"/>
      <c r="FO734" s="1353" t="str">
        <f t="shared" si="33"/>
        <v/>
      </c>
      <c r="FP734" s="1354"/>
      <c r="FQ734" s="1354"/>
      <c r="FR734" s="1354"/>
      <c r="FS734" s="1355"/>
      <c r="FT734" s="1353" t="str">
        <f t="shared" si="34"/>
        <v/>
      </c>
      <c r="FU734" s="1354"/>
      <c r="FV734" s="1354"/>
      <c r="FW734" s="1354"/>
      <c r="FX734" s="1355"/>
      <c r="FY734" s="1353" t="str">
        <f t="shared" si="35"/>
        <v/>
      </c>
      <c r="FZ734" s="1354"/>
      <c r="GA734" s="1354"/>
      <c r="GB734" s="1354"/>
      <c r="GC734" s="1355"/>
    </row>
    <row r="735" spans="1:185" ht="12.95" customHeight="1">
      <c r="B735" s="1404"/>
      <c r="C735" s="1405"/>
      <c r="D735" s="1405"/>
      <c r="E735" s="1405"/>
      <c r="F735" s="1406"/>
      <c r="G735" s="1476"/>
      <c r="H735" s="1477"/>
      <c r="I735" s="1477"/>
      <c r="J735" s="1478"/>
      <c r="K735" s="1597"/>
      <c r="L735" s="1598"/>
      <c r="M735" s="1598"/>
      <c r="N735" s="1599"/>
      <c r="O735" s="1379"/>
      <c r="P735" s="1380"/>
      <c r="Q735" s="1380"/>
      <c r="R735" s="1380"/>
      <c r="S735" s="1381"/>
      <c r="T735" s="1379"/>
      <c r="U735" s="1380"/>
      <c r="V735" s="1380"/>
      <c r="W735" s="1381"/>
      <c r="X735" s="1382">
        <f t="shared" si="8"/>
        <v>0</v>
      </c>
      <c r="Y735" s="1383"/>
      <c r="Z735" s="1383"/>
      <c r="AA735" s="1383"/>
      <c r="AB735" s="1384"/>
      <c r="AC735" s="1606"/>
      <c r="AD735" s="1607"/>
      <c r="AE735" s="1607"/>
      <c r="AF735" s="1607"/>
      <c r="AG735" s="1608"/>
      <c r="AH735" s="1407" t="str">
        <f t="shared" si="36"/>
        <v/>
      </c>
      <c r="AI735" s="1408"/>
      <c r="AJ735" s="1409"/>
      <c r="AK735" s="1404" t="s">
        <v>592</v>
      </c>
      <c r="AL735" s="1405"/>
      <c r="AM735" s="1405"/>
      <c r="AN735" s="1405"/>
      <c r="AO735" s="1406"/>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3">
        <f t="shared" si="37"/>
        <v>0</v>
      </c>
      <c r="CH735" s="1355"/>
      <c r="CI735" s="1338">
        <f t="shared" si="38"/>
        <v>0</v>
      </c>
      <c r="CJ735" s="1340"/>
      <c r="CK735" s="1353">
        <f t="shared" si="16"/>
        <v>0</v>
      </c>
      <c r="CL735" s="1355"/>
      <c r="CM735" s="1338">
        <f t="shared" si="17"/>
        <v>0</v>
      </c>
      <c r="CN735" s="1340"/>
      <c r="CO735" s="3"/>
      <c r="CP735" s="1335">
        <f t="shared" si="18"/>
        <v>0</v>
      </c>
      <c r="CQ735" s="1336"/>
      <c r="CR735" s="1336"/>
      <c r="CS735" s="1336"/>
      <c r="CT735" s="1337"/>
      <c r="CU735" s="1344">
        <f t="shared" si="19"/>
        <v>0</v>
      </c>
      <c r="CV735" s="1344"/>
      <c r="CW735" s="1344"/>
      <c r="CX735" s="1344"/>
      <c r="CY735" s="1344"/>
      <c r="CZ735" s="1344">
        <f t="shared" si="20"/>
        <v>0</v>
      </c>
      <c r="DA735" s="1344"/>
      <c r="DB735" s="1344"/>
      <c r="DC735" s="1344"/>
      <c r="DD735" s="1344"/>
      <c r="DE735" s="1344">
        <f t="shared" si="21"/>
        <v>0</v>
      </c>
      <c r="DF735" s="1344"/>
      <c r="DG735" s="1344"/>
      <c r="DH735" s="1344"/>
      <c r="DI735" s="1344"/>
      <c r="DJ735" s="1344">
        <f t="shared" si="22"/>
        <v>0</v>
      </c>
      <c r="DK735" s="1344"/>
      <c r="DL735" s="1344"/>
      <c r="DM735" s="1344"/>
      <c r="DN735" s="1344"/>
      <c r="DO735" s="1344">
        <f t="shared" si="23"/>
        <v>0</v>
      </c>
      <c r="DP735" s="1344"/>
      <c r="DQ735" s="1344"/>
      <c r="DR735" s="1344"/>
      <c r="DS735" s="1344"/>
      <c r="DT735" s="6"/>
      <c r="DU735" s="1360">
        <f t="shared" si="24"/>
        <v>0</v>
      </c>
      <c r="DV735" s="1360"/>
      <c r="DW735" s="1360"/>
      <c r="DX735" s="1360"/>
      <c r="DY735" s="1360"/>
      <c r="DZ735" s="1360">
        <f t="shared" si="25"/>
        <v>0</v>
      </c>
      <c r="EA735" s="1360"/>
      <c r="EB735" s="1360"/>
      <c r="EC735" s="1360"/>
      <c r="ED735" s="1360"/>
      <c r="EE735" s="1360">
        <f t="shared" si="26"/>
        <v>0</v>
      </c>
      <c r="EF735" s="1360"/>
      <c r="EG735" s="1360"/>
      <c r="EH735" s="1360"/>
      <c r="EI735" s="1360"/>
      <c r="EJ735" s="1360">
        <f t="shared" si="27"/>
        <v>0</v>
      </c>
      <c r="EK735" s="1360"/>
      <c r="EL735" s="1360"/>
      <c r="EM735" s="1360"/>
      <c r="EN735" s="1360"/>
      <c r="EO735" s="1360">
        <f t="shared" si="28"/>
        <v>0</v>
      </c>
      <c r="EP735" s="1360"/>
      <c r="EQ735" s="1360"/>
      <c r="ER735" s="1360"/>
      <c r="ES735" s="1360"/>
      <c r="ET735" s="1360">
        <f t="shared" si="29"/>
        <v>0</v>
      </c>
      <c r="EU735" s="1360"/>
      <c r="EV735" s="1360"/>
      <c r="EW735" s="1360"/>
      <c r="EX735" s="1360"/>
      <c r="EZ735" s="1353" t="str">
        <f t="shared" si="30"/>
        <v/>
      </c>
      <c r="FA735" s="1354"/>
      <c r="FB735" s="1354"/>
      <c r="FC735" s="1354"/>
      <c r="FD735" s="1355"/>
      <c r="FE735" s="1353" t="str">
        <f t="shared" si="31"/>
        <v/>
      </c>
      <c r="FF735" s="1354"/>
      <c r="FG735" s="1354"/>
      <c r="FH735" s="1354"/>
      <c r="FI735" s="1355"/>
      <c r="FJ735" s="1353" t="str">
        <f t="shared" si="32"/>
        <v/>
      </c>
      <c r="FK735" s="1354"/>
      <c r="FL735" s="1354"/>
      <c r="FM735" s="1354"/>
      <c r="FN735" s="1355"/>
      <c r="FO735" s="1353" t="str">
        <f t="shared" si="33"/>
        <v/>
      </c>
      <c r="FP735" s="1354"/>
      <c r="FQ735" s="1354"/>
      <c r="FR735" s="1354"/>
      <c r="FS735" s="1355"/>
      <c r="FT735" s="1353" t="str">
        <f t="shared" si="34"/>
        <v/>
      </c>
      <c r="FU735" s="1354"/>
      <c r="FV735" s="1354"/>
      <c r="FW735" s="1354"/>
      <c r="FX735" s="1355"/>
      <c r="FY735" s="1353" t="str">
        <f t="shared" si="35"/>
        <v/>
      </c>
      <c r="FZ735" s="1354"/>
      <c r="GA735" s="1354"/>
      <c r="GB735" s="1354"/>
      <c r="GC735" s="1355"/>
    </row>
    <row r="736" spans="1:185" ht="12.95" customHeight="1">
      <c r="B736" s="1404"/>
      <c r="C736" s="1405"/>
      <c r="D736" s="1405"/>
      <c r="E736" s="1405"/>
      <c r="F736" s="1406"/>
      <c r="G736" s="1476"/>
      <c r="H736" s="1477"/>
      <c r="I736" s="1477"/>
      <c r="J736" s="1478"/>
      <c r="K736" s="1597"/>
      <c r="L736" s="1598"/>
      <c r="M736" s="1598"/>
      <c r="N736" s="1599"/>
      <c r="O736" s="1379"/>
      <c r="P736" s="1380"/>
      <c r="Q736" s="1380"/>
      <c r="R736" s="1380"/>
      <c r="S736" s="1381"/>
      <c r="T736" s="1379"/>
      <c r="U736" s="1380"/>
      <c r="V736" s="1380"/>
      <c r="W736" s="1381"/>
      <c r="X736" s="1382">
        <f t="shared" si="8"/>
        <v>0</v>
      </c>
      <c r="Y736" s="1383"/>
      <c r="Z736" s="1383"/>
      <c r="AA736" s="1383"/>
      <c r="AB736" s="1384"/>
      <c r="AC736" s="1606"/>
      <c r="AD736" s="1607"/>
      <c r="AE736" s="1607"/>
      <c r="AF736" s="1607"/>
      <c r="AG736" s="1608"/>
      <c r="AH736" s="1407" t="str">
        <f t="shared" si="36"/>
        <v/>
      </c>
      <c r="AI736" s="1408"/>
      <c r="AJ736" s="1409"/>
      <c r="AK736" s="1404" t="s">
        <v>592</v>
      </c>
      <c r="AL736" s="1405"/>
      <c r="AM736" s="1405"/>
      <c r="AN736" s="1405"/>
      <c r="AO736" s="1406"/>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3">
        <f t="shared" si="37"/>
        <v>0</v>
      </c>
      <c r="CH736" s="1355"/>
      <c r="CI736" s="1338">
        <f t="shared" si="38"/>
        <v>0</v>
      </c>
      <c r="CJ736" s="1340"/>
      <c r="CK736" s="1353">
        <f t="shared" si="16"/>
        <v>0</v>
      </c>
      <c r="CL736" s="1355"/>
      <c r="CM736" s="1338">
        <f t="shared" si="17"/>
        <v>0</v>
      </c>
      <c r="CN736" s="1340"/>
      <c r="CO736" s="3"/>
      <c r="CP736" s="1335">
        <f t="shared" si="18"/>
        <v>0</v>
      </c>
      <c r="CQ736" s="1336"/>
      <c r="CR736" s="1336"/>
      <c r="CS736" s="1336"/>
      <c r="CT736" s="1337"/>
      <c r="CU736" s="1344">
        <f t="shared" si="19"/>
        <v>0</v>
      </c>
      <c r="CV736" s="1344"/>
      <c r="CW736" s="1344"/>
      <c r="CX736" s="1344"/>
      <c r="CY736" s="1344"/>
      <c r="CZ736" s="1344">
        <f t="shared" si="20"/>
        <v>0</v>
      </c>
      <c r="DA736" s="1344"/>
      <c r="DB736" s="1344"/>
      <c r="DC736" s="1344"/>
      <c r="DD736" s="1344"/>
      <c r="DE736" s="1344">
        <f t="shared" si="21"/>
        <v>0</v>
      </c>
      <c r="DF736" s="1344"/>
      <c r="DG736" s="1344"/>
      <c r="DH736" s="1344"/>
      <c r="DI736" s="1344"/>
      <c r="DJ736" s="1344">
        <f t="shared" si="22"/>
        <v>0</v>
      </c>
      <c r="DK736" s="1344"/>
      <c r="DL736" s="1344"/>
      <c r="DM736" s="1344"/>
      <c r="DN736" s="1344"/>
      <c r="DO736" s="1344">
        <f t="shared" si="23"/>
        <v>0</v>
      </c>
      <c r="DP736" s="1344"/>
      <c r="DQ736" s="1344"/>
      <c r="DR736" s="1344"/>
      <c r="DS736" s="1344"/>
      <c r="DT736" s="6"/>
      <c r="DU736" s="1360">
        <f t="shared" si="24"/>
        <v>0</v>
      </c>
      <c r="DV736" s="1360"/>
      <c r="DW736" s="1360"/>
      <c r="DX736" s="1360"/>
      <c r="DY736" s="1360"/>
      <c r="DZ736" s="1360">
        <f t="shared" si="25"/>
        <v>0</v>
      </c>
      <c r="EA736" s="1360"/>
      <c r="EB736" s="1360"/>
      <c r="EC736" s="1360"/>
      <c r="ED736" s="1360"/>
      <c r="EE736" s="1360">
        <f t="shared" si="26"/>
        <v>0</v>
      </c>
      <c r="EF736" s="1360"/>
      <c r="EG736" s="1360"/>
      <c r="EH736" s="1360"/>
      <c r="EI736" s="1360"/>
      <c r="EJ736" s="1360">
        <f t="shared" si="27"/>
        <v>0</v>
      </c>
      <c r="EK736" s="1360"/>
      <c r="EL736" s="1360"/>
      <c r="EM736" s="1360"/>
      <c r="EN736" s="1360"/>
      <c r="EO736" s="1360">
        <f t="shared" si="28"/>
        <v>0</v>
      </c>
      <c r="EP736" s="1360"/>
      <c r="EQ736" s="1360"/>
      <c r="ER736" s="1360"/>
      <c r="ES736" s="1360"/>
      <c r="ET736" s="1360">
        <f t="shared" si="29"/>
        <v>0</v>
      </c>
      <c r="EU736" s="1360"/>
      <c r="EV736" s="1360"/>
      <c r="EW736" s="1360"/>
      <c r="EX736" s="1360"/>
      <c r="EZ736" s="1353" t="str">
        <f t="shared" si="30"/>
        <v/>
      </c>
      <c r="FA736" s="1354"/>
      <c r="FB736" s="1354"/>
      <c r="FC736" s="1354"/>
      <c r="FD736" s="1355"/>
      <c r="FE736" s="1353" t="str">
        <f t="shared" si="31"/>
        <v/>
      </c>
      <c r="FF736" s="1354"/>
      <c r="FG736" s="1354"/>
      <c r="FH736" s="1354"/>
      <c r="FI736" s="1355"/>
      <c r="FJ736" s="1353" t="str">
        <f t="shared" si="32"/>
        <v/>
      </c>
      <c r="FK736" s="1354"/>
      <c r="FL736" s="1354"/>
      <c r="FM736" s="1354"/>
      <c r="FN736" s="1355"/>
      <c r="FO736" s="1353" t="str">
        <f t="shared" si="33"/>
        <v/>
      </c>
      <c r="FP736" s="1354"/>
      <c r="FQ736" s="1354"/>
      <c r="FR736" s="1354"/>
      <c r="FS736" s="1355"/>
      <c r="FT736" s="1353" t="str">
        <f t="shared" si="34"/>
        <v/>
      </c>
      <c r="FU736" s="1354"/>
      <c r="FV736" s="1354"/>
      <c r="FW736" s="1354"/>
      <c r="FX736" s="1355"/>
      <c r="FY736" s="1353" t="str">
        <f t="shared" si="35"/>
        <v/>
      </c>
      <c r="FZ736" s="1354"/>
      <c r="GA736" s="1354"/>
      <c r="GB736" s="1354"/>
      <c r="GC736" s="1355"/>
    </row>
    <row r="737" spans="1:185" ht="12.95" customHeight="1">
      <c r="B737" s="1404"/>
      <c r="C737" s="1405"/>
      <c r="D737" s="1405"/>
      <c r="E737" s="1405"/>
      <c r="F737" s="1406"/>
      <c r="G737" s="1476"/>
      <c r="H737" s="1477"/>
      <c r="I737" s="1477"/>
      <c r="J737" s="1478"/>
      <c r="K737" s="1597"/>
      <c r="L737" s="1598"/>
      <c r="M737" s="1598"/>
      <c r="N737" s="1599"/>
      <c r="O737" s="1379"/>
      <c r="P737" s="1380"/>
      <c r="Q737" s="1380"/>
      <c r="R737" s="1380"/>
      <c r="S737" s="1381"/>
      <c r="T737" s="1379"/>
      <c r="U737" s="1380"/>
      <c r="V737" s="1380"/>
      <c r="W737" s="1381"/>
      <c r="X737" s="1382">
        <f t="shared" si="8"/>
        <v>0</v>
      </c>
      <c r="Y737" s="1383"/>
      <c r="Z737" s="1383"/>
      <c r="AA737" s="1383"/>
      <c r="AB737" s="1384"/>
      <c r="AC737" s="1606"/>
      <c r="AD737" s="1607"/>
      <c r="AE737" s="1607"/>
      <c r="AF737" s="1607"/>
      <c r="AG737" s="1608"/>
      <c r="AH737" s="1407" t="str">
        <f t="shared" si="36"/>
        <v/>
      </c>
      <c r="AI737" s="1408"/>
      <c r="AJ737" s="1409"/>
      <c r="AK737" s="1404" t="s">
        <v>592</v>
      </c>
      <c r="AL737" s="1405"/>
      <c r="AM737" s="1405"/>
      <c r="AN737" s="1405"/>
      <c r="AO737" s="1406"/>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3">
        <f t="shared" si="37"/>
        <v>0</v>
      </c>
      <c r="CH737" s="1355"/>
      <c r="CI737" s="1338">
        <f t="shared" si="38"/>
        <v>0</v>
      </c>
      <c r="CJ737" s="1340"/>
      <c r="CK737" s="1353">
        <f t="shared" si="16"/>
        <v>0</v>
      </c>
      <c r="CL737" s="1355"/>
      <c r="CM737" s="1338">
        <f t="shared" si="17"/>
        <v>0</v>
      </c>
      <c r="CN737" s="1340"/>
      <c r="CO737" s="3"/>
      <c r="CP737" s="1335">
        <f t="shared" si="18"/>
        <v>0</v>
      </c>
      <c r="CQ737" s="1336"/>
      <c r="CR737" s="1336"/>
      <c r="CS737" s="1336"/>
      <c r="CT737" s="1337"/>
      <c r="CU737" s="1344">
        <f t="shared" si="19"/>
        <v>0</v>
      </c>
      <c r="CV737" s="1344"/>
      <c r="CW737" s="1344"/>
      <c r="CX737" s="1344"/>
      <c r="CY737" s="1344"/>
      <c r="CZ737" s="1344">
        <f t="shared" si="20"/>
        <v>0</v>
      </c>
      <c r="DA737" s="1344"/>
      <c r="DB737" s="1344"/>
      <c r="DC737" s="1344"/>
      <c r="DD737" s="1344"/>
      <c r="DE737" s="1344">
        <f t="shared" si="21"/>
        <v>0</v>
      </c>
      <c r="DF737" s="1344"/>
      <c r="DG737" s="1344"/>
      <c r="DH737" s="1344"/>
      <c r="DI737" s="1344"/>
      <c r="DJ737" s="1344">
        <f t="shared" si="22"/>
        <v>0</v>
      </c>
      <c r="DK737" s="1344"/>
      <c r="DL737" s="1344"/>
      <c r="DM737" s="1344"/>
      <c r="DN737" s="1344"/>
      <c r="DO737" s="1344">
        <f t="shared" si="23"/>
        <v>0</v>
      </c>
      <c r="DP737" s="1344"/>
      <c r="DQ737" s="1344"/>
      <c r="DR737" s="1344"/>
      <c r="DS737" s="1344"/>
      <c r="DT737" s="6"/>
      <c r="DU737" s="1360">
        <f t="shared" si="24"/>
        <v>0</v>
      </c>
      <c r="DV737" s="1360"/>
      <c r="DW737" s="1360"/>
      <c r="DX737" s="1360"/>
      <c r="DY737" s="1360"/>
      <c r="DZ737" s="1360">
        <f t="shared" si="25"/>
        <v>0</v>
      </c>
      <c r="EA737" s="1360"/>
      <c r="EB737" s="1360"/>
      <c r="EC737" s="1360"/>
      <c r="ED737" s="1360"/>
      <c r="EE737" s="1360">
        <f t="shared" si="26"/>
        <v>0</v>
      </c>
      <c r="EF737" s="1360"/>
      <c r="EG737" s="1360"/>
      <c r="EH737" s="1360"/>
      <c r="EI737" s="1360"/>
      <c r="EJ737" s="1360">
        <f t="shared" si="27"/>
        <v>0</v>
      </c>
      <c r="EK737" s="1360"/>
      <c r="EL737" s="1360"/>
      <c r="EM737" s="1360"/>
      <c r="EN737" s="1360"/>
      <c r="EO737" s="1360">
        <f t="shared" si="28"/>
        <v>0</v>
      </c>
      <c r="EP737" s="1360"/>
      <c r="EQ737" s="1360"/>
      <c r="ER737" s="1360"/>
      <c r="ES737" s="1360"/>
      <c r="ET737" s="1360">
        <f t="shared" si="29"/>
        <v>0</v>
      </c>
      <c r="EU737" s="1360"/>
      <c r="EV737" s="1360"/>
      <c r="EW737" s="1360"/>
      <c r="EX737" s="1360"/>
      <c r="EZ737" s="1353" t="str">
        <f t="shared" si="30"/>
        <v/>
      </c>
      <c r="FA737" s="1354"/>
      <c r="FB737" s="1354"/>
      <c r="FC737" s="1354"/>
      <c r="FD737" s="1355"/>
      <c r="FE737" s="1353" t="str">
        <f t="shared" si="31"/>
        <v/>
      </c>
      <c r="FF737" s="1354"/>
      <c r="FG737" s="1354"/>
      <c r="FH737" s="1354"/>
      <c r="FI737" s="1355"/>
      <c r="FJ737" s="1353" t="str">
        <f t="shared" si="32"/>
        <v/>
      </c>
      <c r="FK737" s="1354"/>
      <c r="FL737" s="1354"/>
      <c r="FM737" s="1354"/>
      <c r="FN737" s="1355"/>
      <c r="FO737" s="1353" t="str">
        <f t="shared" si="33"/>
        <v/>
      </c>
      <c r="FP737" s="1354"/>
      <c r="FQ737" s="1354"/>
      <c r="FR737" s="1354"/>
      <c r="FS737" s="1355"/>
      <c r="FT737" s="1353" t="str">
        <f t="shared" si="34"/>
        <v/>
      </c>
      <c r="FU737" s="1354"/>
      <c r="FV737" s="1354"/>
      <c r="FW737" s="1354"/>
      <c r="FX737" s="1355"/>
      <c r="FY737" s="1353" t="str">
        <f t="shared" si="35"/>
        <v/>
      </c>
      <c r="FZ737" s="1354"/>
      <c r="GA737" s="1354"/>
      <c r="GB737" s="1354"/>
      <c r="GC737" s="1355"/>
    </row>
    <row r="738" spans="1:185" ht="12.95" customHeight="1">
      <c r="B738" s="1404"/>
      <c r="C738" s="1405"/>
      <c r="D738" s="1405"/>
      <c r="E738" s="1405"/>
      <c r="F738" s="1406"/>
      <c r="G738" s="1476"/>
      <c r="H738" s="1477"/>
      <c r="I738" s="1477"/>
      <c r="J738" s="1478"/>
      <c r="K738" s="1597"/>
      <c r="L738" s="1598"/>
      <c r="M738" s="1598"/>
      <c r="N738" s="1599"/>
      <c r="O738" s="1379"/>
      <c r="P738" s="1380"/>
      <c r="Q738" s="1380"/>
      <c r="R738" s="1380"/>
      <c r="S738" s="1381"/>
      <c r="T738" s="1379"/>
      <c r="U738" s="1380"/>
      <c r="V738" s="1380"/>
      <c r="W738" s="1381"/>
      <c r="X738" s="1382">
        <f t="shared" si="8"/>
        <v>0</v>
      </c>
      <c r="Y738" s="1383"/>
      <c r="Z738" s="1383"/>
      <c r="AA738" s="1383"/>
      <c r="AB738" s="1384"/>
      <c r="AC738" s="1606"/>
      <c r="AD738" s="1607"/>
      <c r="AE738" s="1607"/>
      <c r="AF738" s="1607"/>
      <c r="AG738" s="1608"/>
      <c r="AH738" s="1407" t="str">
        <f t="shared" si="36"/>
        <v/>
      </c>
      <c r="AI738" s="1408"/>
      <c r="AJ738" s="1409"/>
      <c r="AK738" s="1404" t="s">
        <v>592</v>
      </c>
      <c r="AL738" s="1405"/>
      <c r="AM738" s="1405"/>
      <c r="AN738" s="1405"/>
      <c r="AO738" s="1406"/>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3">
        <f t="shared" si="37"/>
        <v>0</v>
      </c>
      <c r="CH738" s="1355"/>
      <c r="CI738" s="1338">
        <f t="shared" si="38"/>
        <v>0</v>
      </c>
      <c r="CJ738" s="1340"/>
      <c r="CK738" s="1353">
        <f t="shared" si="16"/>
        <v>0</v>
      </c>
      <c r="CL738" s="1355"/>
      <c r="CM738" s="1338">
        <f t="shared" si="17"/>
        <v>0</v>
      </c>
      <c r="CN738" s="1340"/>
      <c r="CO738" s="3"/>
      <c r="CP738" s="1335">
        <f t="shared" si="18"/>
        <v>0</v>
      </c>
      <c r="CQ738" s="1336"/>
      <c r="CR738" s="1336"/>
      <c r="CS738" s="1336"/>
      <c r="CT738" s="1337"/>
      <c r="CU738" s="1344">
        <f t="shared" si="19"/>
        <v>0</v>
      </c>
      <c r="CV738" s="1344"/>
      <c r="CW738" s="1344"/>
      <c r="CX738" s="1344"/>
      <c r="CY738" s="1344"/>
      <c r="CZ738" s="1344">
        <f t="shared" si="20"/>
        <v>0</v>
      </c>
      <c r="DA738" s="1344"/>
      <c r="DB738" s="1344"/>
      <c r="DC738" s="1344"/>
      <c r="DD738" s="1344"/>
      <c r="DE738" s="1344">
        <f t="shared" si="21"/>
        <v>0</v>
      </c>
      <c r="DF738" s="1344"/>
      <c r="DG738" s="1344"/>
      <c r="DH738" s="1344"/>
      <c r="DI738" s="1344"/>
      <c r="DJ738" s="1344">
        <f t="shared" si="22"/>
        <v>0</v>
      </c>
      <c r="DK738" s="1344"/>
      <c r="DL738" s="1344"/>
      <c r="DM738" s="1344"/>
      <c r="DN738" s="1344"/>
      <c r="DO738" s="1344">
        <f t="shared" si="23"/>
        <v>0</v>
      </c>
      <c r="DP738" s="1344"/>
      <c r="DQ738" s="1344"/>
      <c r="DR738" s="1344"/>
      <c r="DS738" s="1344"/>
      <c r="DT738" s="6"/>
      <c r="DU738" s="1360">
        <f t="shared" si="24"/>
        <v>0</v>
      </c>
      <c r="DV738" s="1360"/>
      <c r="DW738" s="1360"/>
      <c r="DX738" s="1360"/>
      <c r="DY738" s="1360"/>
      <c r="DZ738" s="1360">
        <f t="shared" si="25"/>
        <v>0</v>
      </c>
      <c r="EA738" s="1360"/>
      <c r="EB738" s="1360"/>
      <c r="EC738" s="1360"/>
      <c r="ED738" s="1360"/>
      <c r="EE738" s="1360">
        <f t="shared" si="26"/>
        <v>0</v>
      </c>
      <c r="EF738" s="1360"/>
      <c r="EG738" s="1360"/>
      <c r="EH738" s="1360"/>
      <c r="EI738" s="1360"/>
      <c r="EJ738" s="1360">
        <f t="shared" si="27"/>
        <v>0</v>
      </c>
      <c r="EK738" s="1360"/>
      <c r="EL738" s="1360"/>
      <c r="EM738" s="1360"/>
      <c r="EN738" s="1360"/>
      <c r="EO738" s="1360">
        <f t="shared" si="28"/>
        <v>0</v>
      </c>
      <c r="EP738" s="1360"/>
      <c r="EQ738" s="1360"/>
      <c r="ER738" s="1360"/>
      <c r="ES738" s="1360"/>
      <c r="ET738" s="1360">
        <f t="shared" si="29"/>
        <v>0</v>
      </c>
      <c r="EU738" s="1360"/>
      <c r="EV738" s="1360"/>
      <c r="EW738" s="1360"/>
      <c r="EX738" s="1360"/>
      <c r="EZ738" s="1353" t="str">
        <f t="shared" si="30"/>
        <v/>
      </c>
      <c r="FA738" s="1354"/>
      <c r="FB738" s="1354"/>
      <c r="FC738" s="1354"/>
      <c r="FD738" s="1355"/>
      <c r="FE738" s="1353" t="str">
        <f t="shared" si="31"/>
        <v/>
      </c>
      <c r="FF738" s="1354"/>
      <c r="FG738" s="1354"/>
      <c r="FH738" s="1354"/>
      <c r="FI738" s="1355"/>
      <c r="FJ738" s="1353" t="str">
        <f t="shared" si="32"/>
        <v/>
      </c>
      <c r="FK738" s="1354"/>
      <c r="FL738" s="1354"/>
      <c r="FM738" s="1354"/>
      <c r="FN738" s="1355"/>
      <c r="FO738" s="1353" t="str">
        <f t="shared" si="33"/>
        <v/>
      </c>
      <c r="FP738" s="1354"/>
      <c r="FQ738" s="1354"/>
      <c r="FR738" s="1354"/>
      <c r="FS738" s="1355"/>
      <c r="FT738" s="1353" t="str">
        <f t="shared" si="34"/>
        <v/>
      </c>
      <c r="FU738" s="1354"/>
      <c r="FV738" s="1354"/>
      <c r="FW738" s="1354"/>
      <c r="FX738" s="1355"/>
      <c r="FY738" s="1353" t="str">
        <f t="shared" si="35"/>
        <v/>
      </c>
      <c r="FZ738" s="1354"/>
      <c r="GA738" s="1354"/>
      <c r="GB738" s="1354"/>
      <c r="GC738" s="1355"/>
    </row>
    <row r="739" spans="1:185" ht="12.95" customHeight="1">
      <c r="B739" s="1404"/>
      <c r="C739" s="1405"/>
      <c r="D739" s="1405"/>
      <c r="E739" s="1405"/>
      <c r="F739" s="1406"/>
      <c r="G739" s="1476"/>
      <c r="H739" s="1477"/>
      <c r="I739" s="1477"/>
      <c r="J739" s="1478"/>
      <c r="K739" s="1597"/>
      <c r="L739" s="1598"/>
      <c r="M739" s="1598"/>
      <c r="N739" s="1599"/>
      <c r="O739" s="1379"/>
      <c r="P739" s="1380"/>
      <c r="Q739" s="1380"/>
      <c r="R739" s="1380"/>
      <c r="S739" s="1381"/>
      <c r="T739" s="1379"/>
      <c r="U739" s="1380"/>
      <c r="V739" s="1380"/>
      <c r="W739" s="1381"/>
      <c r="X739" s="1382">
        <f t="shared" si="8"/>
        <v>0</v>
      </c>
      <c r="Y739" s="1383"/>
      <c r="Z739" s="1383"/>
      <c r="AA739" s="1383"/>
      <c r="AB739" s="1384"/>
      <c r="AC739" s="1606"/>
      <c r="AD739" s="1607"/>
      <c r="AE739" s="1607"/>
      <c r="AF739" s="1607"/>
      <c r="AG739" s="1608"/>
      <c r="AH739" s="1407" t="str">
        <f t="shared" si="36"/>
        <v/>
      </c>
      <c r="AI739" s="1408"/>
      <c r="AJ739" s="1409"/>
      <c r="AK739" s="1404" t="s">
        <v>592</v>
      </c>
      <c r="AL739" s="1405"/>
      <c r="AM739" s="1405"/>
      <c r="AN739" s="1405"/>
      <c r="AO739" s="1406"/>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3">
        <f t="shared" si="37"/>
        <v>0</v>
      </c>
      <c r="CH739" s="1355"/>
      <c r="CI739" s="1338">
        <f t="shared" si="38"/>
        <v>0</v>
      </c>
      <c r="CJ739" s="1340"/>
      <c r="CK739" s="1353">
        <f t="shared" si="16"/>
        <v>0</v>
      </c>
      <c r="CL739" s="1355"/>
      <c r="CM739" s="1338">
        <f t="shared" si="17"/>
        <v>0</v>
      </c>
      <c r="CN739" s="1340"/>
      <c r="CO739" s="3"/>
      <c r="CP739" s="1335">
        <f t="shared" si="18"/>
        <v>0</v>
      </c>
      <c r="CQ739" s="1336"/>
      <c r="CR739" s="1336"/>
      <c r="CS739" s="1336"/>
      <c r="CT739" s="1337"/>
      <c r="CU739" s="1344">
        <f t="shared" si="19"/>
        <v>0</v>
      </c>
      <c r="CV739" s="1344"/>
      <c r="CW739" s="1344"/>
      <c r="CX739" s="1344"/>
      <c r="CY739" s="1344"/>
      <c r="CZ739" s="1344">
        <f t="shared" si="20"/>
        <v>0</v>
      </c>
      <c r="DA739" s="1344"/>
      <c r="DB739" s="1344"/>
      <c r="DC739" s="1344"/>
      <c r="DD739" s="1344"/>
      <c r="DE739" s="1344">
        <f t="shared" si="21"/>
        <v>0</v>
      </c>
      <c r="DF739" s="1344"/>
      <c r="DG739" s="1344"/>
      <c r="DH739" s="1344"/>
      <c r="DI739" s="1344"/>
      <c r="DJ739" s="1344">
        <f t="shared" si="22"/>
        <v>0</v>
      </c>
      <c r="DK739" s="1344"/>
      <c r="DL739" s="1344"/>
      <c r="DM739" s="1344"/>
      <c r="DN739" s="1344"/>
      <c r="DO739" s="1344">
        <f t="shared" si="23"/>
        <v>0</v>
      </c>
      <c r="DP739" s="1344"/>
      <c r="DQ739" s="1344"/>
      <c r="DR739" s="1344"/>
      <c r="DS739" s="1344"/>
      <c r="DT739" s="6"/>
      <c r="DU739" s="1360">
        <f t="shared" si="24"/>
        <v>0</v>
      </c>
      <c r="DV739" s="1360"/>
      <c r="DW739" s="1360"/>
      <c r="DX739" s="1360"/>
      <c r="DY739" s="1360"/>
      <c r="DZ739" s="1360">
        <f t="shared" si="25"/>
        <v>0</v>
      </c>
      <c r="EA739" s="1360"/>
      <c r="EB739" s="1360"/>
      <c r="EC739" s="1360"/>
      <c r="ED739" s="1360"/>
      <c r="EE739" s="1360">
        <f t="shared" si="26"/>
        <v>0</v>
      </c>
      <c r="EF739" s="1360"/>
      <c r="EG739" s="1360"/>
      <c r="EH739" s="1360"/>
      <c r="EI739" s="1360"/>
      <c r="EJ739" s="1360">
        <f t="shared" si="27"/>
        <v>0</v>
      </c>
      <c r="EK739" s="1360"/>
      <c r="EL739" s="1360"/>
      <c r="EM739" s="1360"/>
      <c r="EN739" s="1360"/>
      <c r="EO739" s="1360">
        <f t="shared" si="28"/>
        <v>0</v>
      </c>
      <c r="EP739" s="1360"/>
      <c r="EQ739" s="1360"/>
      <c r="ER739" s="1360"/>
      <c r="ES739" s="1360"/>
      <c r="ET739" s="1360">
        <f t="shared" si="29"/>
        <v>0</v>
      </c>
      <c r="EU739" s="1360"/>
      <c r="EV739" s="1360"/>
      <c r="EW739" s="1360"/>
      <c r="EX739" s="1360"/>
      <c r="EZ739" s="1353" t="str">
        <f t="shared" si="30"/>
        <v/>
      </c>
      <c r="FA739" s="1354"/>
      <c r="FB739" s="1354"/>
      <c r="FC739" s="1354"/>
      <c r="FD739" s="1355"/>
      <c r="FE739" s="1353" t="str">
        <f t="shared" si="31"/>
        <v/>
      </c>
      <c r="FF739" s="1354"/>
      <c r="FG739" s="1354"/>
      <c r="FH739" s="1354"/>
      <c r="FI739" s="1355"/>
      <c r="FJ739" s="1353" t="str">
        <f t="shared" si="32"/>
        <v/>
      </c>
      <c r="FK739" s="1354"/>
      <c r="FL739" s="1354"/>
      <c r="FM739" s="1354"/>
      <c r="FN739" s="1355"/>
      <c r="FO739" s="1353" t="str">
        <f t="shared" si="33"/>
        <v/>
      </c>
      <c r="FP739" s="1354"/>
      <c r="FQ739" s="1354"/>
      <c r="FR739" s="1354"/>
      <c r="FS739" s="1355"/>
      <c r="FT739" s="1353" t="str">
        <f t="shared" si="34"/>
        <v/>
      </c>
      <c r="FU739" s="1354"/>
      <c r="FV739" s="1354"/>
      <c r="FW739" s="1354"/>
      <c r="FX739" s="1355"/>
      <c r="FY739" s="1353" t="str">
        <f t="shared" si="35"/>
        <v/>
      </c>
      <c r="FZ739" s="1354"/>
      <c r="GA739" s="1354"/>
      <c r="GB739" s="1354"/>
      <c r="GC739" s="1355"/>
    </row>
    <row r="740" spans="1:185" ht="12.95" customHeight="1">
      <c r="B740" s="1404"/>
      <c r="C740" s="1405"/>
      <c r="D740" s="1405"/>
      <c r="E740" s="1405"/>
      <c r="F740" s="1406"/>
      <c r="G740" s="1476"/>
      <c r="H740" s="1477"/>
      <c r="I740" s="1477"/>
      <c r="J740" s="1478"/>
      <c r="K740" s="1597"/>
      <c r="L740" s="1598"/>
      <c r="M740" s="1598"/>
      <c r="N740" s="1599"/>
      <c r="O740" s="1379"/>
      <c r="P740" s="1380"/>
      <c r="Q740" s="1380"/>
      <c r="R740" s="1380"/>
      <c r="S740" s="1381"/>
      <c r="T740" s="1379"/>
      <c r="U740" s="1380"/>
      <c r="V740" s="1380"/>
      <c r="W740" s="1381"/>
      <c r="X740" s="1382">
        <f t="shared" si="8"/>
        <v>0</v>
      </c>
      <c r="Y740" s="1383"/>
      <c r="Z740" s="1383"/>
      <c r="AA740" s="1383"/>
      <c r="AB740" s="1384"/>
      <c r="AC740" s="1606"/>
      <c r="AD740" s="1607"/>
      <c r="AE740" s="1607"/>
      <c r="AF740" s="1607"/>
      <c r="AG740" s="1608"/>
      <c r="AH740" s="1407" t="str">
        <f t="shared" si="36"/>
        <v/>
      </c>
      <c r="AI740" s="1408"/>
      <c r="AJ740" s="1409"/>
      <c r="AK740" s="1404" t="s">
        <v>592</v>
      </c>
      <c r="AL740" s="1405"/>
      <c r="AM740" s="1405"/>
      <c r="AN740" s="1405"/>
      <c r="AO740" s="1406"/>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3">
        <f t="shared" si="37"/>
        <v>0</v>
      </c>
      <c r="CH740" s="1355"/>
      <c r="CI740" s="1338">
        <f t="shared" si="38"/>
        <v>0</v>
      </c>
      <c r="CJ740" s="1340"/>
      <c r="CK740" s="1353">
        <f t="shared" si="16"/>
        <v>0</v>
      </c>
      <c r="CL740" s="1355"/>
      <c r="CM740" s="1338">
        <f t="shared" si="17"/>
        <v>0</v>
      </c>
      <c r="CN740" s="1340"/>
      <c r="CO740" s="3"/>
      <c r="CP740" s="1335">
        <f t="shared" si="18"/>
        <v>0</v>
      </c>
      <c r="CQ740" s="1336"/>
      <c r="CR740" s="1336"/>
      <c r="CS740" s="1336"/>
      <c r="CT740" s="1337"/>
      <c r="CU740" s="1344">
        <f t="shared" si="19"/>
        <v>0</v>
      </c>
      <c r="CV740" s="1344"/>
      <c r="CW740" s="1344"/>
      <c r="CX740" s="1344"/>
      <c r="CY740" s="1344"/>
      <c r="CZ740" s="1344">
        <f t="shared" si="20"/>
        <v>0</v>
      </c>
      <c r="DA740" s="1344"/>
      <c r="DB740" s="1344"/>
      <c r="DC740" s="1344"/>
      <c r="DD740" s="1344"/>
      <c r="DE740" s="1344">
        <f t="shared" si="21"/>
        <v>0</v>
      </c>
      <c r="DF740" s="1344"/>
      <c r="DG740" s="1344"/>
      <c r="DH740" s="1344"/>
      <c r="DI740" s="1344"/>
      <c r="DJ740" s="1344">
        <f t="shared" si="22"/>
        <v>0</v>
      </c>
      <c r="DK740" s="1344"/>
      <c r="DL740" s="1344"/>
      <c r="DM740" s="1344"/>
      <c r="DN740" s="1344"/>
      <c r="DO740" s="1344">
        <f t="shared" si="23"/>
        <v>0</v>
      </c>
      <c r="DP740" s="1344"/>
      <c r="DQ740" s="1344"/>
      <c r="DR740" s="1344"/>
      <c r="DS740" s="1344"/>
      <c r="DT740" s="6"/>
      <c r="DU740" s="1360">
        <f t="shared" si="24"/>
        <v>0</v>
      </c>
      <c r="DV740" s="1360"/>
      <c r="DW740" s="1360"/>
      <c r="DX740" s="1360"/>
      <c r="DY740" s="1360"/>
      <c r="DZ740" s="1360">
        <f t="shared" si="25"/>
        <v>0</v>
      </c>
      <c r="EA740" s="1360"/>
      <c r="EB740" s="1360"/>
      <c r="EC740" s="1360"/>
      <c r="ED740" s="1360"/>
      <c r="EE740" s="1360">
        <f t="shared" si="26"/>
        <v>0</v>
      </c>
      <c r="EF740" s="1360"/>
      <c r="EG740" s="1360"/>
      <c r="EH740" s="1360"/>
      <c r="EI740" s="1360"/>
      <c r="EJ740" s="1360">
        <f t="shared" si="27"/>
        <v>0</v>
      </c>
      <c r="EK740" s="1360"/>
      <c r="EL740" s="1360"/>
      <c r="EM740" s="1360"/>
      <c r="EN740" s="1360"/>
      <c r="EO740" s="1360">
        <f t="shared" si="28"/>
        <v>0</v>
      </c>
      <c r="EP740" s="1360"/>
      <c r="EQ740" s="1360"/>
      <c r="ER740" s="1360"/>
      <c r="ES740" s="1360"/>
      <c r="ET740" s="1360">
        <f t="shared" si="29"/>
        <v>0</v>
      </c>
      <c r="EU740" s="1360"/>
      <c r="EV740" s="1360"/>
      <c r="EW740" s="1360"/>
      <c r="EX740" s="1360"/>
      <c r="EZ740" s="1353" t="str">
        <f t="shared" si="30"/>
        <v/>
      </c>
      <c r="FA740" s="1354"/>
      <c r="FB740" s="1354"/>
      <c r="FC740" s="1354"/>
      <c r="FD740" s="1355"/>
      <c r="FE740" s="1353" t="str">
        <f t="shared" si="31"/>
        <v/>
      </c>
      <c r="FF740" s="1354"/>
      <c r="FG740" s="1354"/>
      <c r="FH740" s="1354"/>
      <c r="FI740" s="1355"/>
      <c r="FJ740" s="1353" t="str">
        <f t="shared" si="32"/>
        <v/>
      </c>
      <c r="FK740" s="1354"/>
      <c r="FL740" s="1354"/>
      <c r="FM740" s="1354"/>
      <c r="FN740" s="1355"/>
      <c r="FO740" s="1353" t="str">
        <f t="shared" si="33"/>
        <v/>
      </c>
      <c r="FP740" s="1354"/>
      <c r="FQ740" s="1354"/>
      <c r="FR740" s="1354"/>
      <c r="FS740" s="1355"/>
      <c r="FT740" s="1353" t="str">
        <f t="shared" si="34"/>
        <v/>
      </c>
      <c r="FU740" s="1354"/>
      <c r="FV740" s="1354"/>
      <c r="FW740" s="1354"/>
      <c r="FX740" s="1355"/>
      <c r="FY740" s="1353" t="str">
        <f t="shared" si="35"/>
        <v/>
      </c>
      <c r="FZ740" s="1354"/>
      <c r="GA740" s="1354"/>
      <c r="GB740" s="1354"/>
      <c r="GC740" s="1355"/>
    </row>
    <row r="741" spans="1:185" ht="12.95" customHeight="1">
      <c r="B741" s="1404"/>
      <c r="C741" s="1405"/>
      <c r="D741" s="1405"/>
      <c r="E741" s="1405"/>
      <c r="F741" s="1406"/>
      <c r="G741" s="1476"/>
      <c r="H741" s="1477"/>
      <c r="I741" s="1477"/>
      <c r="J741" s="1478"/>
      <c r="K741" s="1597"/>
      <c r="L741" s="1598"/>
      <c r="M741" s="1598"/>
      <c r="N741" s="1599"/>
      <c r="O741" s="1379"/>
      <c r="P741" s="1380"/>
      <c r="Q741" s="1380"/>
      <c r="R741" s="1380"/>
      <c r="S741" s="1381"/>
      <c r="T741" s="1379"/>
      <c r="U741" s="1380"/>
      <c r="V741" s="1380"/>
      <c r="W741" s="1381"/>
      <c r="X741" s="1382">
        <f t="shared" si="8"/>
        <v>0</v>
      </c>
      <c r="Y741" s="1383"/>
      <c r="Z741" s="1383"/>
      <c r="AA741" s="1383"/>
      <c r="AB741" s="1384"/>
      <c r="AC741" s="1606"/>
      <c r="AD741" s="1607"/>
      <c r="AE741" s="1607"/>
      <c r="AF741" s="1607"/>
      <c r="AG741" s="1608"/>
      <c r="AH741" s="1407" t="str">
        <f t="shared" si="36"/>
        <v/>
      </c>
      <c r="AI741" s="1408"/>
      <c r="AJ741" s="1409"/>
      <c r="AK741" s="1404" t="s">
        <v>592</v>
      </c>
      <c r="AL741" s="1405"/>
      <c r="AM741" s="1405"/>
      <c r="AN741" s="1405"/>
      <c r="AO741" s="1406"/>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3">
        <f t="shared" si="37"/>
        <v>0</v>
      </c>
      <c r="CH741" s="1355"/>
      <c r="CI741" s="1338">
        <f t="shared" si="38"/>
        <v>0</v>
      </c>
      <c r="CJ741" s="1340"/>
      <c r="CK741" s="1353">
        <f t="shared" si="16"/>
        <v>0</v>
      </c>
      <c r="CL741" s="1355"/>
      <c r="CM741" s="1338">
        <f t="shared" si="17"/>
        <v>0</v>
      </c>
      <c r="CN741" s="1340"/>
      <c r="CO741" s="3"/>
      <c r="CP741" s="1335">
        <f t="shared" si="18"/>
        <v>0</v>
      </c>
      <c r="CQ741" s="1336"/>
      <c r="CR741" s="1336"/>
      <c r="CS741" s="1336"/>
      <c r="CT741" s="1337"/>
      <c r="CU741" s="1344">
        <f t="shared" si="19"/>
        <v>0</v>
      </c>
      <c r="CV741" s="1344"/>
      <c r="CW741" s="1344"/>
      <c r="CX741" s="1344"/>
      <c r="CY741" s="1344"/>
      <c r="CZ741" s="1344">
        <f t="shared" si="20"/>
        <v>0</v>
      </c>
      <c r="DA741" s="1344"/>
      <c r="DB741" s="1344"/>
      <c r="DC741" s="1344"/>
      <c r="DD741" s="1344"/>
      <c r="DE741" s="1344">
        <f t="shared" si="21"/>
        <v>0</v>
      </c>
      <c r="DF741" s="1344"/>
      <c r="DG741" s="1344"/>
      <c r="DH741" s="1344"/>
      <c r="DI741" s="1344"/>
      <c r="DJ741" s="1344">
        <f t="shared" si="22"/>
        <v>0</v>
      </c>
      <c r="DK741" s="1344"/>
      <c r="DL741" s="1344"/>
      <c r="DM741" s="1344"/>
      <c r="DN741" s="1344"/>
      <c r="DO741" s="1344">
        <f t="shared" si="23"/>
        <v>0</v>
      </c>
      <c r="DP741" s="1344"/>
      <c r="DQ741" s="1344"/>
      <c r="DR741" s="1344"/>
      <c r="DS741" s="1344"/>
      <c r="DT741" s="6"/>
      <c r="DU741" s="1360">
        <f t="shared" si="24"/>
        <v>0</v>
      </c>
      <c r="DV741" s="1360"/>
      <c r="DW741" s="1360"/>
      <c r="DX741" s="1360"/>
      <c r="DY741" s="1360"/>
      <c r="DZ741" s="1360">
        <f t="shared" si="25"/>
        <v>0</v>
      </c>
      <c r="EA741" s="1360"/>
      <c r="EB741" s="1360"/>
      <c r="EC741" s="1360"/>
      <c r="ED741" s="1360"/>
      <c r="EE741" s="1360">
        <f t="shared" si="26"/>
        <v>0</v>
      </c>
      <c r="EF741" s="1360"/>
      <c r="EG741" s="1360"/>
      <c r="EH741" s="1360"/>
      <c r="EI741" s="1360"/>
      <c r="EJ741" s="1360">
        <f t="shared" si="27"/>
        <v>0</v>
      </c>
      <c r="EK741" s="1360"/>
      <c r="EL741" s="1360"/>
      <c r="EM741" s="1360"/>
      <c r="EN741" s="1360"/>
      <c r="EO741" s="1360">
        <f t="shared" si="28"/>
        <v>0</v>
      </c>
      <c r="EP741" s="1360"/>
      <c r="EQ741" s="1360"/>
      <c r="ER741" s="1360"/>
      <c r="ES741" s="1360"/>
      <c r="ET741" s="1360">
        <f t="shared" si="29"/>
        <v>0</v>
      </c>
      <c r="EU741" s="1360"/>
      <c r="EV741" s="1360"/>
      <c r="EW741" s="1360"/>
      <c r="EX741" s="1360"/>
      <c r="EZ741" s="1353" t="str">
        <f t="shared" si="30"/>
        <v/>
      </c>
      <c r="FA741" s="1354"/>
      <c r="FB741" s="1354"/>
      <c r="FC741" s="1354"/>
      <c r="FD741" s="1355"/>
      <c r="FE741" s="1353" t="str">
        <f t="shared" si="31"/>
        <v/>
      </c>
      <c r="FF741" s="1354"/>
      <c r="FG741" s="1354"/>
      <c r="FH741" s="1354"/>
      <c r="FI741" s="1355"/>
      <c r="FJ741" s="1353" t="str">
        <f t="shared" si="32"/>
        <v/>
      </c>
      <c r="FK741" s="1354"/>
      <c r="FL741" s="1354"/>
      <c r="FM741" s="1354"/>
      <c r="FN741" s="1355"/>
      <c r="FO741" s="1353" t="str">
        <f t="shared" si="33"/>
        <v/>
      </c>
      <c r="FP741" s="1354"/>
      <c r="FQ741" s="1354"/>
      <c r="FR741" s="1354"/>
      <c r="FS741" s="1355"/>
      <c r="FT741" s="1353" t="str">
        <f t="shared" si="34"/>
        <v/>
      </c>
      <c r="FU741" s="1354"/>
      <c r="FV741" s="1354"/>
      <c r="FW741" s="1354"/>
      <c r="FX741" s="1355"/>
      <c r="FY741" s="1353" t="str">
        <f t="shared" si="35"/>
        <v/>
      </c>
      <c r="FZ741" s="1354"/>
      <c r="GA741" s="1354"/>
      <c r="GB741" s="1354"/>
      <c r="GC741" s="1355"/>
    </row>
    <row r="742" spans="1:185" ht="12.95" customHeight="1">
      <c r="B742" s="1404"/>
      <c r="C742" s="1405"/>
      <c r="D742" s="1405"/>
      <c r="E742" s="1405"/>
      <c r="F742" s="1406"/>
      <c r="G742" s="1476"/>
      <c r="H742" s="1477"/>
      <c r="I742" s="1477"/>
      <c r="J742" s="1478"/>
      <c r="K742" s="1597"/>
      <c r="L742" s="1598"/>
      <c r="M742" s="1598"/>
      <c r="N742" s="1599"/>
      <c r="O742" s="1379"/>
      <c r="P742" s="1380"/>
      <c r="Q742" s="1380"/>
      <c r="R742" s="1380"/>
      <c r="S742" s="1381"/>
      <c r="T742" s="1379"/>
      <c r="U742" s="1380"/>
      <c r="V742" s="1380"/>
      <c r="W742" s="1381"/>
      <c r="X742" s="1382">
        <f t="shared" ref="X742:X751" si="40">O742+T742</f>
        <v>0</v>
      </c>
      <c r="Y742" s="1383"/>
      <c r="Z742" s="1383"/>
      <c r="AA742" s="1383"/>
      <c r="AB742" s="1384"/>
      <c r="AC742" s="1606"/>
      <c r="AD742" s="1607"/>
      <c r="AE742" s="1607"/>
      <c r="AF742" s="1607"/>
      <c r="AG742" s="1608"/>
      <c r="AH742" s="1407" t="str">
        <f t="shared" si="36"/>
        <v/>
      </c>
      <c r="AI742" s="1408"/>
      <c r="AJ742" s="1409"/>
      <c r="AK742" s="1404" t="s">
        <v>592</v>
      </c>
      <c r="AL742" s="1405"/>
      <c r="AM742" s="1405"/>
      <c r="AN742" s="1405"/>
      <c r="AO742" s="1406"/>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3">
        <f t="shared" si="37"/>
        <v>0</v>
      </c>
      <c r="CH742" s="1355"/>
      <c r="CI742" s="1338">
        <f t="shared" si="38"/>
        <v>0</v>
      </c>
      <c r="CJ742" s="1340"/>
      <c r="CK742" s="1353">
        <f t="shared" si="16"/>
        <v>0</v>
      </c>
      <c r="CL742" s="1355"/>
      <c r="CM742" s="1338">
        <f t="shared" si="17"/>
        <v>0</v>
      </c>
      <c r="CN742" s="1340"/>
      <c r="CO742" s="3"/>
      <c r="CP742" s="1335">
        <f t="shared" si="18"/>
        <v>0</v>
      </c>
      <c r="CQ742" s="1336"/>
      <c r="CR742" s="1336"/>
      <c r="CS742" s="1336"/>
      <c r="CT742" s="1337"/>
      <c r="CU742" s="1344">
        <f t="shared" si="19"/>
        <v>0</v>
      </c>
      <c r="CV742" s="1344"/>
      <c r="CW742" s="1344"/>
      <c r="CX742" s="1344"/>
      <c r="CY742" s="1344"/>
      <c r="CZ742" s="1344">
        <f t="shared" si="20"/>
        <v>0</v>
      </c>
      <c r="DA742" s="1344"/>
      <c r="DB742" s="1344"/>
      <c r="DC742" s="1344"/>
      <c r="DD742" s="1344"/>
      <c r="DE742" s="1344">
        <f t="shared" si="21"/>
        <v>0</v>
      </c>
      <c r="DF742" s="1344"/>
      <c r="DG742" s="1344"/>
      <c r="DH742" s="1344"/>
      <c r="DI742" s="1344"/>
      <c r="DJ742" s="1344">
        <f t="shared" si="22"/>
        <v>0</v>
      </c>
      <c r="DK742" s="1344"/>
      <c r="DL742" s="1344"/>
      <c r="DM742" s="1344"/>
      <c r="DN742" s="1344"/>
      <c r="DO742" s="1344">
        <f t="shared" si="23"/>
        <v>0</v>
      </c>
      <c r="DP742" s="1344"/>
      <c r="DQ742" s="1344"/>
      <c r="DR742" s="1344"/>
      <c r="DS742" s="1344"/>
      <c r="DT742" s="6"/>
      <c r="DU742" s="1360">
        <f t="shared" si="24"/>
        <v>0</v>
      </c>
      <c r="DV742" s="1360"/>
      <c r="DW742" s="1360"/>
      <c r="DX742" s="1360"/>
      <c r="DY742" s="1360"/>
      <c r="DZ742" s="1360">
        <f t="shared" si="25"/>
        <v>0</v>
      </c>
      <c r="EA742" s="1360"/>
      <c r="EB742" s="1360"/>
      <c r="EC742" s="1360"/>
      <c r="ED742" s="1360"/>
      <c r="EE742" s="1360">
        <f t="shared" si="26"/>
        <v>0</v>
      </c>
      <c r="EF742" s="1360"/>
      <c r="EG742" s="1360"/>
      <c r="EH742" s="1360"/>
      <c r="EI742" s="1360"/>
      <c r="EJ742" s="1360">
        <f t="shared" si="27"/>
        <v>0</v>
      </c>
      <c r="EK742" s="1360"/>
      <c r="EL742" s="1360"/>
      <c r="EM742" s="1360"/>
      <c r="EN742" s="1360"/>
      <c r="EO742" s="1360">
        <f t="shared" si="28"/>
        <v>0</v>
      </c>
      <c r="EP742" s="1360"/>
      <c r="EQ742" s="1360"/>
      <c r="ER742" s="1360"/>
      <c r="ES742" s="1360"/>
      <c r="ET742" s="1360">
        <f t="shared" si="29"/>
        <v>0</v>
      </c>
      <c r="EU742" s="1360"/>
      <c r="EV742" s="1360"/>
      <c r="EW742" s="1360"/>
      <c r="EX742" s="1360"/>
      <c r="EZ742" s="1353" t="str">
        <f t="shared" si="30"/>
        <v/>
      </c>
      <c r="FA742" s="1354"/>
      <c r="FB742" s="1354"/>
      <c r="FC742" s="1354"/>
      <c r="FD742" s="1355"/>
      <c r="FE742" s="1353" t="str">
        <f t="shared" si="31"/>
        <v/>
      </c>
      <c r="FF742" s="1354"/>
      <c r="FG742" s="1354"/>
      <c r="FH742" s="1354"/>
      <c r="FI742" s="1355"/>
      <c r="FJ742" s="1353" t="str">
        <f t="shared" si="32"/>
        <v/>
      </c>
      <c r="FK742" s="1354"/>
      <c r="FL742" s="1354"/>
      <c r="FM742" s="1354"/>
      <c r="FN742" s="1355"/>
      <c r="FO742" s="1353" t="str">
        <f t="shared" si="33"/>
        <v/>
      </c>
      <c r="FP742" s="1354"/>
      <c r="FQ742" s="1354"/>
      <c r="FR742" s="1354"/>
      <c r="FS742" s="1355"/>
      <c r="FT742" s="1353" t="str">
        <f t="shared" si="34"/>
        <v/>
      </c>
      <c r="FU742" s="1354"/>
      <c r="FV742" s="1354"/>
      <c r="FW742" s="1354"/>
      <c r="FX742" s="1355"/>
      <c r="FY742" s="1353" t="str">
        <f t="shared" si="35"/>
        <v/>
      </c>
      <c r="FZ742" s="1354"/>
      <c r="GA742" s="1354"/>
      <c r="GB742" s="1354"/>
      <c r="GC742" s="1355"/>
    </row>
    <row r="743" spans="1:185" s="3" customFormat="1" ht="12.95" customHeight="1">
      <c r="A743"/>
      <c r="B743" s="1404"/>
      <c r="C743" s="1405"/>
      <c r="D743" s="1405"/>
      <c r="E743" s="1405"/>
      <c r="F743" s="1406"/>
      <c r="G743" s="1476"/>
      <c r="H743" s="1477"/>
      <c r="I743" s="1477"/>
      <c r="J743" s="1478"/>
      <c r="K743" s="1597"/>
      <c r="L743" s="1598"/>
      <c r="M743" s="1598"/>
      <c r="N743" s="1599"/>
      <c r="O743" s="1379"/>
      <c r="P743" s="1380"/>
      <c r="Q743" s="1380"/>
      <c r="R743" s="1380"/>
      <c r="S743" s="1381"/>
      <c r="T743" s="1379"/>
      <c r="U743" s="1380"/>
      <c r="V743" s="1380"/>
      <c r="W743" s="1381"/>
      <c r="X743" s="1382">
        <f t="shared" si="40"/>
        <v>0</v>
      </c>
      <c r="Y743" s="1383"/>
      <c r="Z743" s="1383"/>
      <c r="AA743" s="1383"/>
      <c r="AB743" s="1384"/>
      <c r="AC743" s="1606"/>
      <c r="AD743" s="1607"/>
      <c r="AE743" s="1607"/>
      <c r="AF743" s="1607"/>
      <c r="AG743" s="1608"/>
      <c r="AH743" s="1407" t="str">
        <f t="shared" si="36"/>
        <v/>
      </c>
      <c r="AI743" s="1408"/>
      <c r="AJ743" s="1409"/>
      <c r="AK743" s="1404" t="s">
        <v>592</v>
      </c>
      <c r="AL743" s="1405"/>
      <c r="AM743" s="1405"/>
      <c r="AN743" s="1405"/>
      <c r="AO743" s="1406"/>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3">
        <f t="shared" si="37"/>
        <v>0</v>
      </c>
      <c r="CH743" s="1355"/>
      <c r="CI743" s="1338">
        <f t="shared" si="38"/>
        <v>0</v>
      </c>
      <c r="CJ743" s="1340"/>
      <c r="CK743" s="1353">
        <f t="shared" si="16"/>
        <v>0</v>
      </c>
      <c r="CL743" s="1355"/>
      <c r="CM743" s="1338">
        <f t="shared" si="17"/>
        <v>0</v>
      </c>
      <c r="CN743" s="1340"/>
      <c r="CP743" s="1335">
        <f t="shared" si="18"/>
        <v>0</v>
      </c>
      <c r="CQ743" s="1336"/>
      <c r="CR743" s="1336"/>
      <c r="CS743" s="1336"/>
      <c r="CT743" s="1337"/>
      <c r="CU743" s="1344">
        <f t="shared" si="19"/>
        <v>0</v>
      </c>
      <c r="CV743" s="1344"/>
      <c r="CW743" s="1344"/>
      <c r="CX743" s="1344"/>
      <c r="CY743" s="1344"/>
      <c r="CZ743" s="1344">
        <f t="shared" si="20"/>
        <v>0</v>
      </c>
      <c r="DA743" s="1344"/>
      <c r="DB743" s="1344"/>
      <c r="DC743" s="1344"/>
      <c r="DD743" s="1344"/>
      <c r="DE743" s="1344">
        <f t="shared" si="21"/>
        <v>0</v>
      </c>
      <c r="DF743" s="1344"/>
      <c r="DG743" s="1344"/>
      <c r="DH743" s="1344"/>
      <c r="DI743" s="1344"/>
      <c r="DJ743" s="1344">
        <f t="shared" si="22"/>
        <v>0</v>
      </c>
      <c r="DK743" s="1344"/>
      <c r="DL743" s="1344"/>
      <c r="DM743" s="1344"/>
      <c r="DN743" s="1344"/>
      <c r="DO743" s="1344">
        <f t="shared" si="23"/>
        <v>0</v>
      </c>
      <c r="DP743" s="1344"/>
      <c r="DQ743" s="1344"/>
      <c r="DR743" s="1344"/>
      <c r="DS743" s="1344"/>
      <c r="DT743" s="6"/>
      <c r="DU743" s="1360">
        <f t="shared" si="24"/>
        <v>0</v>
      </c>
      <c r="DV743" s="1360"/>
      <c r="DW743" s="1360"/>
      <c r="DX743" s="1360"/>
      <c r="DY743" s="1360"/>
      <c r="DZ743" s="1360">
        <f t="shared" si="25"/>
        <v>0</v>
      </c>
      <c r="EA743" s="1360"/>
      <c r="EB743" s="1360"/>
      <c r="EC743" s="1360"/>
      <c r="ED743" s="1360"/>
      <c r="EE743" s="1360">
        <f t="shared" si="26"/>
        <v>0</v>
      </c>
      <c r="EF743" s="1360"/>
      <c r="EG743" s="1360"/>
      <c r="EH743" s="1360"/>
      <c r="EI743" s="1360"/>
      <c r="EJ743" s="1360">
        <f t="shared" si="27"/>
        <v>0</v>
      </c>
      <c r="EK743" s="1360"/>
      <c r="EL743" s="1360"/>
      <c r="EM743" s="1360"/>
      <c r="EN743" s="1360"/>
      <c r="EO743" s="1360">
        <f t="shared" si="28"/>
        <v>0</v>
      </c>
      <c r="EP743" s="1360"/>
      <c r="EQ743" s="1360"/>
      <c r="ER743" s="1360"/>
      <c r="ES743" s="1360"/>
      <c r="ET743" s="1360">
        <f t="shared" si="29"/>
        <v>0</v>
      </c>
      <c r="EU743" s="1360"/>
      <c r="EV743" s="1360"/>
      <c r="EW743" s="1360"/>
      <c r="EX743" s="1360"/>
      <c r="EY743"/>
      <c r="EZ743" s="1353" t="str">
        <f t="shared" si="30"/>
        <v/>
      </c>
      <c r="FA743" s="1354"/>
      <c r="FB743" s="1354"/>
      <c r="FC743" s="1354"/>
      <c r="FD743" s="1355"/>
      <c r="FE743" s="1353" t="str">
        <f t="shared" si="31"/>
        <v/>
      </c>
      <c r="FF743" s="1354"/>
      <c r="FG743" s="1354"/>
      <c r="FH743" s="1354"/>
      <c r="FI743" s="1355"/>
      <c r="FJ743" s="1353" t="str">
        <f t="shared" si="32"/>
        <v/>
      </c>
      <c r="FK743" s="1354"/>
      <c r="FL743" s="1354"/>
      <c r="FM743" s="1354"/>
      <c r="FN743" s="1355"/>
      <c r="FO743" s="1353" t="str">
        <f t="shared" si="33"/>
        <v/>
      </c>
      <c r="FP743" s="1354"/>
      <c r="FQ743" s="1354"/>
      <c r="FR743" s="1354"/>
      <c r="FS743" s="1355"/>
      <c r="FT743" s="1353" t="str">
        <f t="shared" si="34"/>
        <v/>
      </c>
      <c r="FU743" s="1354"/>
      <c r="FV743" s="1354"/>
      <c r="FW743" s="1354"/>
      <c r="FX743" s="1355"/>
      <c r="FY743" s="1353" t="str">
        <f t="shared" si="35"/>
        <v/>
      </c>
      <c r="FZ743" s="1354"/>
      <c r="GA743" s="1354"/>
      <c r="GB743" s="1354"/>
      <c r="GC743" s="1355"/>
    </row>
    <row r="744" spans="1:185" ht="12.95" customHeight="1">
      <c r="B744" s="1404"/>
      <c r="C744" s="1405"/>
      <c r="D744" s="1405"/>
      <c r="E744" s="1405"/>
      <c r="F744" s="1406"/>
      <c r="G744" s="1476"/>
      <c r="H744" s="1477"/>
      <c r="I744" s="1477"/>
      <c r="J744" s="1478"/>
      <c r="K744" s="1597"/>
      <c r="L744" s="1598"/>
      <c r="M744" s="1598"/>
      <c r="N744" s="1599"/>
      <c r="O744" s="1379"/>
      <c r="P744" s="1380"/>
      <c r="Q744" s="1380"/>
      <c r="R744" s="1380"/>
      <c r="S744" s="1381"/>
      <c r="T744" s="1379"/>
      <c r="U744" s="1380"/>
      <c r="V744" s="1380"/>
      <c r="W744" s="1381"/>
      <c r="X744" s="1382">
        <f t="shared" si="40"/>
        <v>0</v>
      </c>
      <c r="Y744" s="1383"/>
      <c r="Z744" s="1383"/>
      <c r="AA744" s="1383"/>
      <c r="AB744" s="1384"/>
      <c r="AC744" s="1606"/>
      <c r="AD744" s="1607"/>
      <c r="AE744" s="1607"/>
      <c r="AF744" s="1607"/>
      <c r="AG744" s="1608"/>
      <c r="AH744" s="1407" t="str">
        <f t="shared" si="36"/>
        <v/>
      </c>
      <c r="AI744" s="1408"/>
      <c r="AJ744" s="1409"/>
      <c r="AK744" s="1404" t="s">
        <v>592</v>
      </c>
      <c r="AL744" s="1405"/>
      <c r="AM744" s="1405"/>
      <c r="AN744" s="1405"/>
      <c r="AO744" s="1406"/>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3">
        <f t="shared" si="37"/>
        <v>0</v>
      </c>
      <c r="CH744" s="1355"/>
      <c r="CI744" s="1338">
        <f t="shared" si="38"/>
        <v>0</v>
      </c>
      <c r="CJ744" s="1340"/>
      <c r="CK744" s="1353">
        <f t="shared" si="16"/>
        <v>0</v>
      </c>
      <c r="CL744" s="1355"/>
      <c r="CM744" s="1338">
        <f t="shared" si="17"/>
        <v>0</v>
      </c>
      <c r="CN744" s="1340"/>
      <c r="CO744" s="3"/>
      <c r="CP744" s="1335">
        <f t="shared" si="18"/>
        <v>0</v>
      </c>
      <c r="CQ744" s="1336"/>
      <c r="CR744" s="1336"/>
      <c r="CS744" s="1336"/>
      <c r="CT744" s="1337"/>
      <c r="CU744" s="1344">
        <f t="shared" si="19"/>
        <v>0</v>
      </c>
      <c r="CV744" s="1344"/>
      <c r="CW744" s="1344"/>
      <c r="CX744" s="1344"/>
      <c r="CY744" s="1344"/>
      <c r="CZ744" s="1344">
        <f t="shared" si="20"/>
        <v>0</v>
      </c>
      <c r="DA744" s="1344"/>
      <c r="DB744" s="1344"/>
      <c r="DC744" s="1344"/>
      <c r="DD744" s="1344"/>
      <c r="DE744" s="1344">
        <f t="shared" si="21"/>
        <v>0</v>
      </c>
      <c r="DF744" s="1344"/>
      <c r="DG744" s="1344"/>
      <c r="DH744" s="1344"/>
      <c r="DI744" s="1344"/>
      <c r="DJ744" s="1344">
        <f t="shared" si="22"/>
        <v>0</v>
      </c>
      <c r="DK744" s="1344"/>
      <c r="DL744" s="1344"/>
      <c r="DM744" s="1344"/>
      <c r="DN744" s="1344"/>
      <c r="DO744" s="1344">
        <f t="shared" si="23"/>
        <v>0</v>
      </c>
      <c r="DP744" s="1344"/>
      <c r="DQ744" s="1344"/>
      <c r="DR744" s="1344"/>
      <c r="DS744" s="1344"/>
      <c r="DT744" s="6"/>
      <c r="DU744" s="1360">
        <f t="shared" si="24"/>
        <v>0</v>
      </c>
      <c r="DV744" s="1360"/>
      <c r="DW744" s="1360"/>
      <c r="DX744" s="1360"/>
      <c r="DY744" s="1360"/>
      <c r="DZ744" s="1360">
        <f t="shared" si="25"/>
        <v>0</v>
      </c>
      <c r="EA744" s="1360"/>
      <c r="EB744" s="1360"/>
      <c r="EC744" s="1360"/>
      <c r="ED744" s="1360"/>
      <c r="EE744" s="1360">
        <f t="shared" si="26"/>
        <v>0</v>
      </c>
      <c r="EF744" s="1360"/>
      <c r="EG744" s="1360"/>
      <c r="EH744" s="1360"/>
      <c r="EI744" s="1360"/>
      <c r="EJ744" s="1360">
        <f t="shared" si="27"/>
        <v>0</v>
      </c>
      <c r="EK744" s="1360"/>
      <c r="EL744" s="1360"/>
      <c r="EM744" s="1360"/>
      <c r="EN744" s="1360"/>
      <c r="EO744" s="1360">
        <f t="shared" si="28"/>
        <v>0</v>
      </c>
      <c r="EP744" s="1360"/>
      <c r="EQ744" s="1360"/>
      <c r="ER744" s="1360"/>
      <c r="ES744" s="1360"/>
      <c r="ET744" s="1360">
        <f t="shared" si="29"/>
        <v>0</v>
      </c>
      <c r="EU744" s="1360"/>
      <c r="EV744" s="1360"/>
      <c r="EW744" s="1360"/>
      <c r="EX744" s="1360"/>
      <c r="EZ744" s="1353" t="str">
        <f t="shared" si="30"/>
        <v/>
      </c>
      <c r="FA744" s="1354"/>
      <c r="FB744" s="1354"/>
      <c r="FC744" s="1354"/>
      <c r="FD744" s="1355"/>
      <c r="FE744" s="1353" t="str">
        <f t="shared" si="31"/>
        <v/>
      </c>
      <c r="FF744" s="1354"/>
      <c r="FG744" s="1354"/>
      <c r="FH744" s="1354"/>
      <c r="FI744" s="1355"/>
      <c r="FJ744" s="1353" t="str">
        <f t="shared" si="32"/>
        <v/>
      </c>
      <c r="FK744" s="1354"/>
      <c r="FL744" s="1354"/>
      <c r="FM744" s="1354"/>
      <c r="FN744" s="1355"/>
      <c r="FO744" s="1353" t="str">
        <f t="shared" si="33"/>
        <v/>
      </c>
      <c r="FP744" s="1354"/>
      <c r="FQ744" s="1354"/>
      <c r="FR744" s="1354"/>
      <c r="FS744" s="1355"/>
      <c r="FT744" s="1353" t="str">
        <f t="shared" si="34"/>
        <v/>
      </c>
      <c r="FU744" s="1354"/>
      <c r="FV744" s="1354"/>
      <c r="FW744" s="1354"/>
      <c r="FX744" s="1355"/>
      <c r="FY744" s="1353" t="str">
        <f t="shared" si="35"/>
        <v/>
      </c>
      <c r="FZ744" s="1354"/>
      <c r="GA744" s="1354"/>
      <c r="GB744" s="1354"/>
      <c r="GC744" s="1355"/>
    </row>
    <row r="745" spans="1:185" ht="12.95" customHeight="1">
      <c r="B745" s="1404"/>
      <c r="C745" s="1405"/>
      <c r="D745" s="1405"/>
      <c r="E745" s="1405"/>
      <c r="F745" s="1406"/>
      <c r="G745" s="1476"/>
      <c r="H745" s="1477"/>
      <c r="I745" s="1477"/>
      <c r="J745" s="1478"/>
      <c r="K745" s="1597"/>
      <c r="L745" s="1598"/>
      <c r="M745" s="1598"/>
      <c r="N745" s="1599"/>
      <c r="O745" s="1379"/>
      <c r="P745" s="1380"/>
      <c r="Q745" s="1380"/>
      <c r="R745" s="1380"/>
      <c r="S745" s="1381"/>
      <c r="T745" s="1379"/>
      <c r="U745" s="1380"/>
      <c r="V745" s="1380"/>
      <c r="W745" s="1381"/>
      <c r="X745" s="1382">
        <f t="shared" si="40"/>
        <v>0</v>
      </c>
      <c r="Y745" s="1383"/>
      <c r="Z745" s="1383"/>
      <c r="AA745" s="1383"/>
      <c r="AB745" s="1384"/>
      <c r="AC745" s="1606"/>
      <c r="AD745" s="1607"/>
      <c r="AE745" s="1607"/>
      <c r="AF745" s="1607"/>
      <c r="AG745" s="1608"/>
      <c r="AH745" s="1407" t="str">
        <f t="shared" si="36"/>
        <v/>
      </c>
      <c r="AI745" s="1408"/>
      <c r="AJ745" s="1409"/>
      <c r="AK745" s="1404" t="s">
        <v>592</v>
      </c>
      <c r="AL745" s="1405"/>
      <c r="AM745" s="1405"/>
      <c r="AN745" s="1405"/>
      <c r="AO745" s="1406"/>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3">
        <f t="shared" si="37"/>
        <v>0</v>
      </c>
      <c r="CH745" s="1355"/>
      <c r="CI745" s="1338">
        <f t="shared" si="38"/>
        <v>0</v>
      </c>
      <c r="CJ745" s="1340"/>
      <c r="CK745" s="1353">
        <f t="shared" si="16"/>
        <v>0</v>
      </c>
      <c r="CL745" s="1355"/>
      <c r="CM745" s="1338">
        <f t="shared" si="17"/>
        <v>0</v>
      </c>
      <c r="CN745" s="1340"/>
      <c r="CO745" s="3"/>
      <c r="CP745" s="1335">
        <f t="shared" si="18"/>
        <v>0</v>
      </c>
      <c r="CQ745" s="1336"/>
      <c r="CR745" s="1336"/>
      <c r="CS745" s="1336"/>
      <c r="CT745" s="1337"/>
      <c r="CU745" s="1344">
        <f t="shared" si="19"/>
        <v>0</v>
      </c>
      <c r="CV745" s="1344"/>
      <c r="CW745" s="1344"/>
      <c r="CX745" s="1344"/>
      <c r="CY745" s="1344"/>
      <c r="CZ745" s="1344">
        <f t="shared" si="20"/>
        <v>0</v>
      </c>
      <c r="DA745" s="1344"/>
      <c r="DB745" s="1344"/>
      <c r="DC745" s="1344"/>
      <c r="DD745" s="1344"/>
      <c r="DE745" s="1344">
        <f t="shared" si="21"/>
        <v>0</v>
      </c>
      <c r="DF745" s="1344"/>
      <c r="DG745" s="1344"/>
      <c r="DH745" s="1344"/>
      <c r="DI745" s="1344"/>
      <c r="DJ745" s="1344">
        <f t="shared" si="22"/>
        <v>0</v>
      </c>
      <c r="DK745" s="1344"/>
      <c r="DL745" s="1344"/>
      <c r="DM745" s="1344"/>
      <c r="DN745" s="1344"/>
      <c r="DO745" s="1344">
        <f t="shared" si="23"/>
        <v>0</v>
      </c>
      <c r="DP745" s="1344"/>
      <c r="DQ745" s="1344"/>
      <c r="DR745" s="1344"/>
      <c r="DS745" s="1344"/>
      <c r="DT745" s="6"/>
      <c r="DU745" s="1360">
        <f t="shared" si="24"/>
        <v>0</v>
      </c>
      <c r="DV745" s="1360"/>
      <c r="DW745" s="1360"/>
      <c r="DX745" s="1360"/>
      <c r="DY745" s="1360"/>
      <c r="DZ745" s="1360">
        <f t="shared" si="25"/>
        <v>0</v>
      </c>
      <c r="EA745" s="1360"/>
      <c r="EB745" s="1360"/>
      <c r="EC745" s="1360"/>
      <c r="ED745" s="1360"/>
      <c r="EE745" s="1360">
        <f t="shared" si="26"/>
        <v>0</v>
      </c>
      <c r="EF745" s="1360"/>
      <c r="EG745" s="1360"/>
      <c r="EH745" s="1360"/>
      <c r="EI745" s="1360"/>
      <c r="EJ745" s="1360">
        <f t="shared" si="27"/>
        <v>0</v>
      </c>
      <c r="EK745" s="1360"/>
      <c r="EL745" s="1360"/>
      <c r="EM745" s="1360"/>
      <c r="EN745" s="1360"/>
      <c r="EO745" s="1360">
        <f t="shared" si="28"/>
        <v>0</v>
      </c>
      <c r="EP745" s="1360"/>
      <c r="EQ745" s="1360"/>
      <c r="ER745" s="1360"/>
      <c r="ES745" s="1360"/>
      <c r="ET745" s="1360">
        <f t="shared" si="29"/>
        <v>0</v>
      </c>
      <c r="EU745" s="1360"/>
      <c r="EV745" s="1360"/>
      <c r="EW745" s="1360"/>
      <c r="EX745" s="1360"/>
      <c r="EZ745" s="1353" t="str">
        <f t="shared" si="30"/>
        <v/>
      </c>
      <c r="FA745" s="1354"/>
      <c r="FB745" s="1354"/>
      <c r="FC745" s="1354"/>
      <c r="FD745" s="1355"/>
      <c r="FE745" s="1353" t="str">
        <f t="shared" si="31"/>
        <v/>
      </c>
      <c r="FF745" s="1354"/>
      <c r="FG745" s="1354"/>
      <c r="FH745" s="1354"/>
      <c r="FI745" s="1355"/>
      <c r="FJ745" s="1353" t="str">
        <f t="shared" si="32"/>
        <v/>
      </c>
      <c r="FK745" s="1354"/>
      <c r="FL745" s="1354"/>
      <c r="FM745" s="1354"/>
      <c r="FN745" s="1355"/>
      <c r="FO745" s="1353" t="str">
        <f t="shared" si="33"/>
        <v/>
      </c>
      <c r="FP745" s="1354"/>
      <c r="FQ745" s="1354"/>
      <c r="FR745" s="1354"/>
      <c r="FS745" s="1355"/>
      <c r="FT745" s="1353" t="str">
        <f t="shared" si="34"/>
        <v/>
      </c>
      <c r="FU745" s="1354"/>
      <c r="FV745" s="1354"/>
      <c r="FW745" s="1354"/>
      <c r="FX745" s="1355"/>
      <c r="FY745" s="1353" t="str">
        <f t="shared" si="35"/>
        <v/>
      </c>
      <c r="FZ745" s="1354"/>
      <c r="GA745" s="1354"/>
      <c r="GB745" s="1354"/>
      <c r="GC745" s="1355"/>
    </row>
    <row r="746" spans="1:185" ht="12.95" customHeight="1">
      <c r="B746" s="1404"/>
      <c r="C746" s="1405"/>
      <c r="D746" s="1405"/>
      <c r="E746" s="1405"/>
      <c r="F746" s="1406"/>
      <c r="G746" s="1476"/>
      <c r="H746" s="1477"/>
      <c r="I746" s="1477"/>
      <c r="J746" s="1478"/>
      <c r="K746" s="1597"/>
      <c r="L746" s="1598"/>
      <c r="M746" s="1598"/>
      <c r="N746" s="1599"/>
      <c r="O746" s="1379"/>
      <c r="P746" s="1380"/>
      <c r="Q746" s="1380"/>
      <c r="R746" s="1380"/>
      <c r="S746" s="1381"/>
      <c r="T746" s="1379"/>
      <c r="U746" s="1380"/>
      <c r="V746" s="1380"/>
      <c r="W746" s="1381"/>
      <c r="X746" s="1382">
        <f t="shared" si="40"/>
        <v>0</v>
      </c>
      <c r="Y746" s="1383"/>
      <c r="Z746" s="1383"/>
      <c r="AA746" s="1383"/>
      <c r="AB746" s="1384"/>
      <c r="AC746" s="1606"/>
      <c r="AD746" s="1607"/>
      <c r="AE746" s="1607"/>
      <c r="AF746" s="1607"/>
      <c r="AG746" s="1608"/>
      <c r="AH746" s="1407" t="str">
        <f t="shared" si="36"/>
        <v/>
      </c>
      <c r="AI746" s="1408"/>
      <c r="AJ746" s="1409"/>
      <c r="AK746" s="1404" t="s">
        <v>592</v>
      </c>
      <c r="AL746" s="1405"/>
      <c r="AM746" s="1405"/>
      <c r="AN746" s="1405"/>
      <c r="AO746" s="1406"/>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3">
        <f t="shared" si="37"/>
        <v>0</v>
      </c>
      <c r="CH746" s="1355"/>
      <c r="CI746" s="1338">
        <f t="shared" si="38"/>
        <v>0</v>
      </c>
      <c r="CJ746" s="1340"/>
      <c r="CK746" s="1353">
        <f t="shared" si="16"/>
        <v>0</v>
      </c>
      <c r="CL746" s="1355"/>
      <c r="CM746" s="1338">
        <f t="shared" si="17"/>
        <v>0</v>
      </c>
      <c r="CN746" s="1340"/>
      <c r="CO746" s="3"/>
      <c r="CP746" s="1335">
        <f t="shared" si="18"/>
        <v>0</v>
      </c>
      <c r="CQ746" s="1336"/>
      <c r="CR746" s="1336"/>
      <c r="CS746" s="1336"/>
      <c r="CT746" s="1337"/>
      <c r="CU746" s="1344">
        <f t="shared" si="19"/>
        <v>0</v>
      </c>
      <c r="CV746" s="1344"/>
      <c r="CW746" s="1344"/>
      <c r="CX746" s="1344"/>
      <c r="CY746" s="1344"/>
      <c r="CZ746" s="1344">
        <f t="shared" si="20"/>
        <v>0</v>
      </c>
      <c r="DA746" s="1344"/>
      <c r="DB746" s="1344"/>
      <c r="DC746" s="1344"/>
      <c r="DD746" s="1344"/>
      <c r="DE746" s="1344">
        <f t="shared" si="21"/>
        <v>0</v>
      </c>
      <c r="DF746" s="1344"/>
      <c r="DG746" s="1344"/>
      <c r="DH746" s="1344"/>
      <c r="DI746" s="1344"/>
      <c r="DJ746" s="1344">
        <f t="shared" si="22"/>
        <v>0</v>
      </c>
      <c r="DK746" s="1344"/>
      <c r="DL746" s="1344"/>
      <c r="DM746" s="1344"/>
      <c r="DN746" s="1344"/>
      <c r="DO746" s="1344">
        <f t="shared" si="23"/>
        <v>0</v>
      </c>
      <c r="DP746" s="1344"/>
      <c r="DQ746" s="1344"/>
      <c r="DR746" s="1344"/>
      <c r="DS746" s="1344"/>
      <c r="DT746" s="6"/>
      <c r="DU746" s="1360">
        <f t="shared" si="24"/>
        <v>0</v>
      </c>
      <c r="DV746" s="1360"/>
      <c r="DW746" s="1360"/>
      <c r="DX746" s="1360"/>
      <c r="DY746" s="1360"/>
      <c r="DZ746" s="1360">
        <f t="shared" si="25"/>
        <v>0</v>
      </c>
      <c r="EA746" s="1360"/>
      <c r="EB746" s="1360"/>
      <c r="EC746" s="1360"/>
      <c r="ED746" s="1360"/>
      <c r="EE746" s="1360">
        <f t="shared" si="26"/>
        <v>0</v>
      </c>
      <c r="EF746" s="1360"/>
      <c r="EG746" s="1360"/>
      <c r="EH746" s="1360"/>
      <c r="EI746" s="1360"/>
      <c r="EJ746" s="1360">
        <f t="shared" si="27"/>
        <v>0</v>
      </c>
      <c r="EK746" s="1360"/>
      <c r="EL746" s="1360"/>
      <c r="EM746" s="1360"/>
      <c r="EN746" s="1360"/>
      <c r="EO746" s="1360">
        <f t="shared" si="28"/>
        <v>0</v>
      </c>
      <c r="EP746" s="1360"/>
      <c r="EQ746" s="1360"/>
      <c r="ER746" s="1360"/>
      <c r="ES746" s="1360"/>
      <c r="ET746" s="1360">
        <f t="shared" si="29"/>
        <v>0</v>
      </c>
      <c r="EU746" s="1360"/>
      <c r="EV746" s="1360"/>
      <c r="EW746" s="1360"/>
      <c r="EX746" s="1360"/>
      <c r="EZ746" s="1353" t="str">
        <f t="shared" si="30"/>
        <v/>
      </c>
      <c r="FA746" s="1354"/>
      <c r="FB746" s="1354"/>
      <c r="FC746" s="1354"/>
      <c r="FD746" s="1355"/>
      <c r="FE746" s="1353" t="str">
        <f t="shared" si="31"/>
        <v/>
      </c>
      <c r="FF746" s="1354"/>
      <c r="FG746" s="1354"/>
      <c r="FH746" s="1354"/>
      <c r="FI746" s="1355"/>
      <c r="FJ746" s="1353" t="str">
        <f t="shared" si="32"/>
        <v/>
      </c>
      <c r="FK746" s="1354"/>
      <c r="FL746" s="1354"/>
      <c r="FM746" s="1354"/>
      <c r="FN746" s="1355"/>
      <c r="FO746" s="1353" t="str">
        <f t="shared" si="33"/>
        <v/>
      </c>
      <c r="FP746" s="1354"/>
      <c r="FQ746" s="1354"/>
      <c r="FR746" s="1354"/>
      <c r="FS746" s="1355"/>
      <c r="FT746" s="1353" t="str">
        <f t="shared" si="34"/>
        <v/>
      </c>
      <c r="FU746" s="1354"/>
      <c r="FV746" s="1354"/>
      <c r="FW746" s="1354"/>
      <c r="FX746" s="1355"/>
      <c r="FY746" s="1353" t="str">
        <f t="shared" si="35"/>
        <v/>
      </c>
      <c r="FZ746" s="1354"/>
      <c r="GA746" s="1354"/>
      <c r="GB746" s="1354"/>
      <c r="GC746" s="1355"/>
    </row>
    <row r="747" spans="1:185" ht="12.95" customHeight="1">
      <c r="B747" s="1404"/>
      <c r="C747" s="1405"/>
      <c r="D747" s="1405"/>
      <c r="E747" s="1405"/>
      <c r="F747" s="1406"/>
      <c r="G747" s="1476"/>
      <c r="H747" s="1477"/>
      <c r="I747" s="1477"/>
      <c r="J747" s="1478"/>
      <c r="K747" s="1597"/>
      <c r="L747" s="1598"/>
      <c r="M747" s="1598"/>
      <c r="N747" s="1599"/>
      <c r="O747" s="1379"/>
      <c r="P747" s="1380"/>
      <c r="Q747" s="1380"/>
      <c r="R747" s="1380"/>
      <c r="S747" s="1381"/>
      <c r="T747" s="1379"/>
      <c r="U747" s="1380"/>
      <c r="V747" s="1380"/>
      <c r="W747" s="1381"/>
      <c r="X747" s="1382">
        <f t="shared" si="40"/>
        <v>0</v>
      </c>
      <c r="Y747" s="1383"/>
      <c r="Z747" s="1383"/>
      <c r="AA747" s="1383"/>
      <c r="AB747" s="1384"/>
      <c r="AC747" s="1606"/>
      <c r="AD747" s="1607"/>
      <c r="AE747" s="1607"/>
      <c r="AF747" s="1607"/>
      <c r="AG747" s="1608"/>
      <c r="AH747" s="1407" t="str">
        <f t="shared" si="36"/>
        <v/>
      </c>
      <c r="AI747" s="1408"/>
      <c r="AJ747" s="1409"/>
      <c r="AK747" s="1404" t="s">
        <v>592</v>
      </c>
      <c r="AL747" s="1405"/>
      <c r="AM747" s="1405"/>
      <c r="AN747" s="1405"/>
      <c r="AO747" s="1406"/>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3">
        <f t="shared" si="37"/>
        <v>0</v>
      </c>
      <c r="CH747" s="1355"/>
      <c r="CI747" s="1338">
        <f t="shared" si="38"/>
        <v>0</v>
      </c>
      <c r="CJ747" s="1340"/>
      <c r="CK747" s="1353">
        <f t="shared" si="16"/>
        <v>0</v>
      </c>
      <c r="CL747" s="1355"/>
      <c r="CM747" s="1338">
        <f t="shared" si="17"/>
        <v>0</v>
      </c>
      <c r="CN747" s="1340"/>
      <c r="CO747" s="3"/>
      <c r="CP747" s="1335">
        <f t="shared" si="18"/>
        <v>0</v>
      </c>
      <c r="CQ747" s="1336"/>
      <c r="CR747" s="1336"/>
      <c r="CS747" s="1336"/>
      <c r="CT747" s="1337"/>
      <c r="CU747" s="1344">
        <f t="shared" si="19"/>
        <v>0</v>
      </c>
      <c r="CV747" s="1344"/>
      <c r="CW747" s="1344"/>
      <c r="CX747" s="1344"/>
      <c r="CY747" s="1344"/>
      <c r="CZ747" s="1344">
        <f t="shared" si="20"/>
        <v>0</v>
      </c>
      <c r="DA747" s="1344"/>
      <c r="DB747" s="1344"/>
      <c r="DC747" s="1344"/>
      <c r="DD747" s="1344"/>
      <c r="DE747" s="1344">
        <f t="shared" si="21"/>
        <v>0</v>
      </c>
      <c r="DF747" s="1344"/>
      <c r="DG747" s="1344"/>
      <c r="DH747" s="1344"/>
      <c r="DI747" s="1344"/>
      <c r="DJ747" s="1344">
        <f t="shared" si="22"/>
        <v>0</v>
      </c>
      <c r="DK747" s="1344"/>
      <c r="DL747" s="1344"/>
      <c r="DM747" s="1344"/>
      <c r="DN747" s="1344"/>
      <c r="DO747" s="1344">
        <f t="shared" si="23"/>
        <v>0</v>
      </c>
      <c r="DP747" s="1344"/>
      <c r="DQ747" s="1344"/>
      <c r="DR747" s="1344"/>
      <c r="DS747" s="1344"/>
      <c r="DT747" s="6"/>
      <c r="DU747" s="1360">
        <f t="shared" si="24"/>
        <v>0</v>
      </c>
      <c r="DV747" s="1360"/>
      <c r="DW747" s="1360"/>
      <c r="DX747" s="1360"/>
      <c r="DY747" s="1360"/>
      <c r="DZ747" s="1360">
        <f t="shared" si="25"/>
        <v>0</v>
      </c>
      <c r="EA747" s="1360"/>
      <c r="EB747" s="1360"/>
      <c r="EC747" s="1360"/>
      <c r="ED747" s="1360"/>
      <c r="EE747" s="1360">
        <f t="shared" si="26"/>
        <v>0</v>
      </c>
      <c r="EF747" s="1360"/>
      <c r="EG747" s="1360"/>
      <c r="EH747" s="1360"/>
      <c r="EI747" s="1360"/>
      <c r="EJ747" s="1360">
        <f t="shared" si="27"/>
        <v>0</v>
      </c>
      <c r="EK747" s="1360"/>
      <c r="EL747" s="1360"/>
      <c r="EM747" s="1360"/>
      <c r="EN747" s="1360"/>
      <c r="EO747" s="1360">
        <f t="shared" si="28"/>
        <v>0</v>
      </c>
      <c r="EP747" s="1360"/>
      <c r="EQ747" s="1360"/>
      <c r="ER747" s="1360"/>
      <c r="ES747" s="1360"/>
      <c r="ET747" s="1360">
        <f t="shared" si="29"/>
        <v>0</v>
      </c>
      <c r="EU747" s="1360"/>
      <c r="EV747" s="1360"/>
      <c r="EW747" s="1360"/>
      <c r="EX747" s="1360"/>
      <c r="EZ747" s="1353" t="str">
        <f t="shared" si="30"/>
        <v/>
      </c>
      <c r="FA747" s="1354"/>
      <c r="FB747" s="1354"/>
      <c r="FC747" s="1354"/>
      <c r="FD747" s="1355"/>
      <c r="FE747" s="1353" t="str">
        <f t="shared" si="31"/>
        <v/>
      </c>
      <c r="FF747" s="1354"/>
      <c r="FG747" s="1354"/>
      <c r="FH747" s="1354"/>
      <c r="FI747" s="1355"/>
      <c r="FJ747" s="1353" t="str">
        <f t="shared" si="32"/>
        <v/>
      </c>
      <c r="FK747" s="1354"/>
      <c r="FL747" s="1354"/>
      <c r="FM747" s="1354"/>
      <c r="FN747" s="1355"/>
      <c r="FO747" s="1353" t="str">
        <f t="shared" si="33"/>
        <v/>
      </c>
      <c r="FP747" s="1354"/>
      <c r="FQ747" s="1354"/>
      <c r="FR747" s="1354"/>
      <c r="FS747" s="1355"/>
      <c r="FT747" s="1353" t="str">
        <f t="shared" si="34"/>
        <v/>
      </c>
      <c r="FU747" s="1354"/>
      <c r="FV747" s="1354"/>
      <c r="FW747" s="1354"/>
      <c r="FX747" s="1355"/>
      <c r="FY747" s="1353" t="str">
        <f t="shared" si="35"/>
        <v/>
      </c>
      <c r="FZ747" s="1354"/>
      <c r="GA747" s="1354"/>
      <c r="GB747" s="1354"/>
      <c r="GC747" s="1355"/>
    </row>
    <row r="748" spans="1:185" s="3" customFormat="1" ht="12.95" customHeight="1">
      <c r="A748"/>
      <c r="B748" s="1404"/>
      <c r="C748" s="1405"/>
      <c r="D748" s="1405"/>
      <c r="E748" s="1405"/>
      <c r="F748" s="1406"/>
      <c r="G748" s="1476"/>
      <c r="H748" s="1477"/>
      <c r="I748" s="1477"/>
      <c r="J748" s="1478"/>
      <c r="K748" s="1597"/>
      <c r="L748" s="1598"/>
      <c r="M748" s="1598"/>
      <c r="N748" s="1599"/>
      <c r="O748" s="1379"/>
      <c r="P748" s="1380"/>
      <c r="Q748" s="1380"/>
      <c r="R748" s="1380"/>
      <c r="S748" s="1381"/>
      <c r="T748" s="1379"/>
      <c r="U748" s="1380"/>
      <c r="V748" s="1380"/>
      <c r="W748" s="1381"/>
      <c r="X748" s="1382">
        <f t="shared" si="40"/>
        <v>0</v>
      </c>
      <c r="Y748" s="1383"/>
      <c r="Z748" s="1383"/>
      <c r="AA748" s="1383"/>
      <c r="AB748" s="1384"/>
      <c r="AC748" s="1606"/>
      <c r="AD748" s="1607"/>
      <c r="AE748" s="1607"/>
      <c r="AF748" s="1607"/>
      <c r="AG748" s="1608"/>
      <c r="AH748" s="1407" t="str">
        <f t="shared" si="36"/>
        <v/>
      </c>
      <c r="AI748" s="1408"/>
      <c r="AJ748" s="1409"/>
      <c r="AK748" s="1404" t="s">
        <v>592</v>
      </c>
      <c r="AL748" s="1405"/>
      <c r="AM748" s="1405"/>
      <c r="AN748" s="1405"/>
      <c r="AO748" s="1406"/>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3">
        <f t="shared" si="37"/>
        <v>0</v>
      </c>
      <c r="CH748" s="1355"/>
      <c r="CI748" s="1338">
        <f t="shared" si="38"/>
        <v>0</v>
      </c>
      <c r="CJ748" s="1340"/>
      <c r="CK748" s="1353">
        <f t="shared" si="16"/>
        <v>0</v>
      </c>
      <c r="CL748" s="1355"/>
      <c r="CM748" s="1338">
        <f t="shared" si="17"/>
        <v>0</v>
      </c>
      <c r="CN748" s="1340"/>
      <c r="CP748" s="1335">
        <f t="shared" si="18"/>
        <v>0</v>
      </c>
      <c r="CQ748" s="1336"/>
      <c r="CR748" s="1336"/>
      <c r="CS748" s="1336"/>
      <c r="CT748" s="1337"/>
      <c r="CU748" s="1344">
        <f t="shared" si="19"/>
        <v>0</v>
      </c>
      <c r="CV748" s="1344"/>
      <c r="CW748" s="1344"/>
      <c r="CX748" s="1344"/>
      <c r="CY748" s="1344"/>
      <c r="CZ748" s="1344">
        <f t="shared" si="20"/>
        <v>0</v>
      </c>
      <c r="DA748" s="1344"/>
      <c r="DB748" s="1344"/>
      <c r="DC748" s="1344"/>
      <c r="DD748" s="1344"/>
      <c r="DE748" s="1344">
        <f t="shared" si="21"/>
        <v>0</v>
      </c>
      <c r="DF748" s="1344"/>
      <c r="DG748" s="1344"/>
      <c r="DH748" s="1344"/>
      <c r="DI748" s="1344"/>
      <c r="DJ748" s="1344">
        <f t="shared" si="22"/>
        <v>0</v>
      </c>
      <c r="DK748" s="1344"/>
      <c r="DL748" s="1344"/>
      <c r="DM748" s="1344"/>
      <c r="DN748" s="1344"/>
      <c r="DO748" s="1344">
        <f t="shared" si="23"/>
        <v>0</v>
      </c>
      <c r="DP748" s="1344"/>
      <c r="DQ748" s="1344"/>
      <c r="DR748" s="1344"/>
      <c r="DS748" s="1344"/>
      <c r="DT748" s="6"/>
      <c r="DU748" s="1360">
        <f t="shared" si="24"/>
        <v>0</v>
      </c>
      <c r="DV748" s="1360"/>
      <c r="DW748" s="1360"/>
      <c r="DX748" s="1360"/>
      <c r="DY748" s="1360"/>
      <c r="DZ748" s="1360">
        <f t="shared" si="25"/>
        <v>0</v>
      </c>
      <c r="EA748" s="1360"/>
      <c r="EB748" s="1360"/>
      <c r="EC748" s="1360"/>
      <c r="ED748" s="1360"/>
      <c r="EE748" s="1360">
        <f t="shared" si="26"/>
        <v>0</v>
      </c>
      <c r="EF748" s="1360"/>
      <c r="EG748" s="1360"/>
      <c r="EH748" s="1360"/>
      <c r="EI748" s="1360"/>
      <c r="EJ748" s="1360">
        <f t="shared" si="27"/>
        <v>0</v>
      </c>
      <c r="EK748" s="1360"/>
      <c r="EL748" s="1360"/>
      <c r="EM748" s="1360"/>
      <c r="EN748" s="1360"/>
      <c r="EO748" s="1360">
        <f t="shared" si="28"/>
        <v>0</v>
      </c>
      <c r="EP748" s="1360"/>
      <c r="EQ748" s="1360"/>
      <c r="ER748" s="1360"/>
      <c r="ES748" s="1360"/>
      <c r="ET748" s="1360">
        <f t="shared" si="29"/>
        <v>0</v>
      </c>
      <c r="EU748" s="1360"/>
      <c r="EV748" s="1360"/>
      <c r="EW748" s="1360"/>
      <c r="EX748" s="1360"/>
      <c r="EY748"/>
      <c r="EZ748" s="1353" t="str">
        <f t="shared" si="30"/>
        <v/>
      </c>
      <c r="FA748" s="1354"/>
      <c r="FB748" s="1354"/>
      <c r="FC748" s="1354"/>
      <c r="FD748" s="1355"/>
      <c r="FE748" s="1353" t="str">
        <f t="shared" si="31"/>
        <v/>
      </c>
      <c r="FF748" s="1354"/>
      <c r="FG748" s="1354"/>
      <c r="FH748" s="1354"/>
      <c r="FI748" s="1355"/>
      <c r="FJ748" s="1353" t="str">
        <f t="shared" si="32"/>
        <v/>
      </c>
      <c r="FK748" s="1354"/>
      <c r="FL748" s="1354"/>
      <c r="FM748" s="1354"/>
      <c r="FN748" s="1355"/>
      <c r="FO748" s="1353" t="str">
        <f t="shared" si="33"/>
        <v/>
      </c>
      <c r="FP748" s="1354"/>
      <c r="FQ748" s="1354"/>
      <c r="FR748" s="1354"/>
      <c r="FS748" s="1355"/>
      <c r="FT748" s="1353" t="str">
        <f t="shared" si="34"/>
        <v/>
      </c>
      <c r="FU748" s="1354"/>
      <c r="FV748" s="1354"/>
      <c r="FW748" s="1354"/>
      <c r="FX748" s="1355"/>
      <c r="FY748" s="1353" t="str">
        <f t="shared" si="35"/>
        <v/>
      </c>
      <c r="FZ748" s="1354"/>
      <c r="GA748" s="1354"/>
      <c r="GB748" s="1354"/>
      <c r="GC748" s="1355"/>
    </row>
    <row r="749" spans="1:185" s="3" customFormat="1" ht="12.95" customHeight="1">
      <c r="A749"/>
      <c r="B749" s="1404"/>
      <c r="C749" s="1405"/>
      <c r="D749" s="1405"/>
      <c r="E749" s="1405"/>
      <c r="F749" s="1406"/>
      <c r="G749" s="1476"/>
      <c r="H749" s="1477"/>
      <c r="I749" s="1477"/>
      <c r="J749" s="1478"/>
      <c r="K749" s="1597"/>
      <c r="L749" s="1598"/>
      <c r="M749" s="1598"/>
      <c r="N749" s="1599"/>
      <c r="O749" s="1379"/>
      <c r="P749" s="1380"/>
      <c r="Q749" s="1380"/>
      <c r="R749" s="1380"/>
      <c r="S749" s="1381"/>
      <c r="T749" s="1379"/>
      <c r="U749" s="1380"/>
      <c r="V749" s="1380"/>
      <c r="W749" s="1381"/>
      <c r="X749" s="1382">
        <f t="shared" si="40"/>
        <v>0</v>
      </c>
      <c r="Y749" s="1383"/>
      <c r="Z749" s="1383"/>
      <c r="AA749" s="1383"/>
      <c r="AB749" s="1384"/>
      <c r="AC749" s="1606"/>
      <c r="AD749" s="1607"/>
      <c r="AE749" s="1607"/>
      <c r="AF749" s="1607"/>
      <c r="AG749" s="1608"/>
      <c r="AH749" s="1407" t="str">
        <f t="shared" si="36"/>
        <v/>
      </c>
      <c r="AI749" s="1408"/>
      <c r="AJ749" s="1409"/>
      <c r="AK749" s="1404" t="s">
        <v>592</v>
      </c>
      <c r="AL749" s="1405"/>
      <c r="AM749" s="1405"/>
      <c r="AN749" s="1405"/>
      <c r="AO749" s="1406"/>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3">
        <f t="shared" si="37"/>
        <v>0</v>
      </c>
      <c r="CH749" s="1355"/>
      <c r="CI749" s="1338">
        <f t="shared" si="38"/>
        <v>0</v>
      </c>
      <c r="CJ749" s="1340"/>
      <c r="CK749" s="1353">
        <f t="shared" si="16"/>
        <v>0</v>
      </c>
      <c r="CL749" s="1355"/>
      <c r="CM749" s="1338">
        <f t="shared" si="17"/>
        <v>0</v>
      </c>
      <c r="CN749" s="1340"/>
      <c r="CP749" s="1335">
        <f t="shared" si="18"/>
        <v>0</v>
      </c>
      <c r="CQ749" s="1336"/>
      <c r="CR749" s="1336"/>
      <c r="CS749" s="1336"/>
      <c r="CT749" s="1337"/>
      <c r="CU749" s="1344">
        <f t="shared" si="19"/>
        <v>0</v>
      </c>
      <c r="CV749" s="1344"/>
      <c r="CW749" s="1344"/>
      <c r="CX749" s="1344"/>
      <c r="CY749" s="1344"/>
      <c r="CZ749" s="1344">
        <f t="shared" si="20"/>
        <v>0</v>
      </c>
      <c r="DA749" s="1344"/>
      <c r="DB749" s="1344"/>
      <c r="DC749" s="1344"/>
      <c r="DD749" s="1344"/>
      <c r="DE749" s="1344">
        <f t="shared" si="21"/>
        <v>0</v>
      </c>
      <c r="DF749" s="1344"/>
      <c r="DG749" s="1344"/>
      <c r="DH749" s="1344"/>
      <c r="DI749" s="1344"/>
      <c r="DJ749" s="1344">
        <f t="shared" si="22"/>
        <v>0</v>
      </c>
      <c r="DK749" s="1344"/>
      <c r="DL749" s="1344"/>
      <c r="DM749" s="1344"/>
      <c r="DN749" s="1344"/>
      <c r="DO749" s="1344">
        <f t="shared" si="23"/>
        <v>0</v>
      </c>
      <c r="DP749" s="1344"/>
      <c r="DQ749" s="1344"/>
      <c r="DR749" s="1344"/>
      <c r="DS749" s="1344"/>
      <c r="DT749" s="6"/>
      <c r="DU749" s="1360">
        <f t="shared" si="24"/>
        <v>0</v>
      </c>
      <c r="DV749" s="1360"/>
      <c r="DW749" s="1360"/>
      <c r="DX749" s="1360"/>
      <c r="DY749" s="1360"/>
      <c r="DZ749" s="1360">
        <f t="shared" si="25"/>
        <v>0</v>
      </c>
      <c r="EA749" s="1360"/>
      <c r="EB749" s="1360"/>
      <c r="EC749" s="1360"/>
      <c r="ED749" s="1360"/>
      <c r="EE749" s="1360">
        <f t="shared" si="26"/>
        <v>0</v>
      </c>
      <c r="EF749" s="1360"/>
      <c r="EG749" s="1360"/>
      <c r="EH749" s="1360"/>
      <c r="EI749" s="1360"/>
      <c r="EJ749" s="1360">
        <f t="shared" si="27"/>
        <v>0</v>
      </c>
      <c r="EK749" s="1360"/>
      <c r="EL749" s="1360"/>
      <c r="EM749" s="1360"/>
      <c r="EN749" s="1360"/>
      <c r="EO749" s="1360">
        <f t="shared" si="28"/>
        <v>0</v>
      </c>
      <c r="EP749" s="1360"/>
      <c r="EQ749" s="1360"/>
      <c r="ER749" s="1360"/>
      <c r="ES749" s="1360"/>
      <c r="ET749" s="1360">
        <f t="shared" si="29"/>
        <v>0</v>
      </c>
      <c r="EU749" s="1360"/>
      <c r="EV749" s="1360"/>
      <c r="EW749" s="1360"/>
      <c r="EX749" s="1360"/>
      <c r="EY749"/>
      <c r="EZ749" s="1353" t="str">
        <f t="shared" si="30"/>
        <v/>
      </c>
      <c r="FA749" s="1354"/>
      <c r="FB749" s="1354"/>
      <c r="FC749" s="1354"/>
      <c r="FD749" s="1355"/>
      <c r="FE749" s="1353" t="str">
        <f t="shared" si="31"/>
        <v/>
      </c>
      <c r="FF749" s="1354"/>
      <c r="FG749" s="1354"/>
      <c r="FH749" s="1354"/>
      <c r="FI749" s="1355"/>
      <c r="FJ749" s="1353" t="str">
        <f t="shared" si="32"/>
        <v/>
      </c>
      <c r="FK749" s="1354"/>
      <c r="FL749" s="1354"/>
      <c r="FM749" s="1354"/>
      <c r="FN749" s="1355"/>
      <c r="FO749" s="1353" t="str">
        <f t="shared" si="33"/>
        <v/>
      </c>
      <c r="FP749" s="1354"/>
      <c r="FQ749" s="1354"/>
      <c r="FR749" s="1354"/>
      <c r="FS749" s="1355"/>
      <c r="FT749" s="1353" t="str">
        <f t="shared" si="34"/>
        <v/>
      </c>
      <c r="FU749" s="1354"/>
      <c r="FV749" s="1354"/>
      <c r="FW749" s="1354"/>
      <c r="FX749" s="1355"/>
      <c r="FY749" s="1353" t="str">
        <f t="shared" si="35"/>
        <v/>
      </c>
      <c r="FZ749" s="1354"/>
      <c r="GA749" s="1354"/>
      <c r="GB749" s="1354"/>
      <c r="GC749" s="1355"/>
    </row>
    <row r="750" spans="1:185" s="3" customFormat="1" ht="12.95" customHeight="1">
      <c r="A750"/>
      <c r="B750" s="1404"/>
      <c r="C750" s="1405"/>
      <c r="D750" s="1405"/>
      <c r="E750" s="1405"/>
      <c r="F750" s="1406"/>
      <c r="G750" s="1476"/>
      <c r="H750" s="1477"/>
      <c r="I750" s="1477"/>
      <c r="J750" s="1478"/>
      <c r="K750" s="1597"/>
      <c r="L750" s="1598"/>
      <c r="M750" s="1598"/>
      <c r="N750" s="1599"/>
      <c r="O750" s="1379"/>
      <c r="P750" s="1380"/>
      <c r="Q750" s="1380"/>
      <c r="R750" s="1380"/>
      <c r="S750" s="1381"/>
      <c r="T750" s="1379"/>
      <c r="U750" s="1380"/>
      <c r="V750" s="1380"/>
      <c r="W750" s="1381"/>
      <c r="X750" s="1382">
        <f t="shared" si="40"/>
        <v>0</v>
      </c>
      <c r="Y750" s="1383"/>
      <c r="Z750" s="1383"/>
      <c r="AA750" s="1383"/>
      <c r="AB750" s="1384"/>
      <c r="AC750" s="1606"/>
      <c r="AD750" s="1607"/>
      <c r="AE750" s="1607"/>
      <c r="AF750" s="1607"/>
      <c r="AG750" s="1608"/>
      <c r="AH750" s="1407" t="str">
        <f t="shared" si="36"/>
        <v/>
      </c>
      <c r="AI750" s="1408"/>
      <c r="AJ750" s="1409"/>
      <c r="AK750" s="1404" t="s">
        <v>592</v>
      </c>
      <c r="AL750" s="1405"/>
      <c r="AM750" s="1405"/>
      <c r="AN750" s="1405"/>
      <c r="AO750" s="1406"/>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3">
        <f t="shared" si="37"/>
        <v>0</v>
      </c>
      <c r="CH750" s="1355"/>
      <c r="CI750" s="1338">
        <f t="shared" si="38"/>
        <v>0</v>
      </c>
      <c r="CJ750" s="1340"/>
      <c r="CK750" s="1353">
        <f t="shared" si="16"/>
        <v>0</v>
      </c>
      <c r="CL750" s="1355"/>
      <c r="CM750" s="1338">
        <f t="shared" si="17"/>
        <v>0</v>
      </c>
      <c r="CN750" s="1340"/>
      <c r="CP750" s="1335">
        <f t="shared" si="18"/>
        <v>0</v>
      </c>
      <c r="CQ750" s="1336"/>
      <c r="CR750" s="1336"/>
      <c r="CS750" s="1336"/>
      <c r="CT750" s="1337"/>
      <c r="CU750" s="1344">
        <f t="shared" si="19"/>
        <v>0</v>
      </c>
      <c r="CV750" s="1344"/>
      <c r="CW750" s="1344"/>
      <c r="CX750" s="1344"/>
      <c r="CY750" s="1344"/>
      <c r="CZ750" s="1344">
        <f t="shared" si="20"/>
        <v>0</v>
      </c>
      <c r="DA750" s="1344"/>
      <c r="DB750" s="1344"/>
      <c r="DC750" s="1344"/>
      <c r="DD750" s="1344"/>
      <c r="DE750" s="1344">
        <f t="shared" si="21"/>
        <v>0</v>
      </c>
      <c r="DF750" s="1344"/>
      <c r="DG750" s="1344"/>
      <c r="DH750" s="1344"/>
      <c r="DI750" s="1344"/>
      <c r="DJ750" s="1344">
        <f t="shared" si="22"/>
        <v>0</v>
      </c>
      <c r="DK750" s="1344"/>
      <c r="DL750" s="1344"/>
      <c r="DM750" s="1344"/>
      <c r="DN750" s="1344"/>
      <c r="DO750" s="1344">
        <f t="shared" si="23"/>
        <v>0</v>
      </c>
      <c r="DP750" s="1344"/>
      <c r="DQ750" s="1344"/>
      <c r="DR750" s="1344"/>
      <c r="DS750" s="1344"/>
      <c r="DT750" s="6"/>
      <c r="DU750" s="1360">
        <f t="shared" si="24"/>
        <v>0</v>
      </c>
      <c r="DV750" s="1360"/>
      <c r="DW750" s="1360"/>
      <c r="DX750" s="1360"/>
      <c r="DY750" s="1360"/>
      <c r="DZ750" s="1360">
        <f t="shared" si="25"/>
        <v>0</v>
      </c>
      <c r="EA750" s="1360"/>
      <c r="EB750" s="1360"/>
      <c r="EC750" s="1360"/>
      <c r="ED750" s="1360"/>
      <c r="EE750" s="1360">
        <f t="shared" si="26"/>
        <v>0</v>
      </c>
      <c r="EF750" s="1360"/>
      <c r="EG750" s="1360"/>
      <c r="EH750" s="1360"/>
      <c r="EI750" s="1360"/>
      <c r="EJ750" s="1360">
        <f t="shared" si="27"/>
        <v>0</v>
      </c>
      <c r="EK750" s="1360"/>
      <c r="EL750" s="1360"/>
      <c r="EM750" s="1360"/>
      <c r="EN750" s="1360"/>
      <c r="EO750" s="1360">
        <f t="shared" si="28"/>
        <v>0</v>
      </c>
      <c r="EP750" s="1360"/>
      <c r="EQ750" s="1360"/>
      <c r="ER750" s="1360"/>
      <c r="ES750" s="1360"/>
      <c r="ET750" s="1360">
        <f t="shared" si="29"/>
        <v>0</v>
      </c>
      <c r="EU750" s="1360"/>
      <c r="EV750" s="1360"/>
      <c r="EW750" s="1360"/>
      <c r="EX750" s="1360"/>
      <c r="EY750"/>
      <c r="EZ750" s="1353" t="str">
        <f t="shared" si="30"/>
        <v/>
      </c>
      <c r="FA750" s="1354"/>
      <c r="FB750" s="1354"/>
      <c r="FC750" s="1354"/>
      <c r="FD750" s="1355"/>
      <c r="FE750" s="1353" t="str">
        <f t="shared" si="31"/>
        <v/>
      </c>
      <c r="FF750" s="1354"/>
      <c r="FG750" s="1354"/>
      <c r="FH750" s="1354"/>
      <c r="FI750" s="1355"/>
      <c r="FJ750" s="1353" t="str">
        <f t="shared" si="32"/>
        <v/>
      </c>
      <c r="FK750" s="1354"/>
      <c r="FL750" s="1354"/>
      <c r="FM750" s="1354"/>
      <c r="FN750" s="1355"/>
      <c r="FO750" s="1353" t="str">
        <f t="shared" si="33"/>
        <v/>
      </c>
      <c r="FP750" s="1354"/>
      <c r="FQ750" s="1354"/>
      <c r="FR750" s="1354"/>
      <c r="FS750" s="1355"/>
      <c r="FT750" s="1353" t="str">
        <f t="shared" si="34"/>
        <v/>
      </c>
      <c r="FU750" s="1354"/>
      <c r="FV750" s="1354"/>
      <c r="FW750" s="1354"/>
      <c r="FX750" s="1355"/>
      <c r="FY750" s="1353" t="str">
        <f t="shared" si="35"/>
        <v/>
      </c>
      <c r="FZ750" s="1354"/>
      <c r="GA750" s="1354"/>
      <c r="GB750" s="1354"/>
      <c r="GC750" s="1355"/>
    </row>
    <row r="751" spans="1:185" s="3" customFormat="1" ht="12.95" customHeight="1">
      <c r="A751"/>
      <c r="B751" s="1404"/>
      <c r="C751" s="1405"/>
      <c r="D751" s="1405"/>
      <c r="E751" s="1405"/>
      <c r="F751" s="1406"/>
      <c r="G751" s="1476"/>
      <c r="H751" s="1477"/>
      <c r="I751" s="1477"/>
      <c r="J751" s="1478"/>
      <c r="K751" s="1597"/>
      <c r="L751" s="1598"/>
      <c r="M751" s="1598"/>
      <c r="N751" s="1599"/>
      <c r="O751" s="1379"/>
      <c r="P751" s="1380"/>
      <c r="Q751" s="1380"/>
      <c r="R751" s="1380"/>
      <c r="S751" s="1381"/>
      <c r="T751" s="1379"/>
      <c r="U751" s="1380"/>
      <c r="V751" s="1380"/>
      <c r="W751" s="1381"/>
      <c r="X751" s="1382">
        <f t="shared" si="40"/>
        <v>0</v>
      </c>
      <c r="Y751" s="1383"/>
      <c r="Z751" s="1383"/>
      <c r="AA751" s="1383"/>
      <c r="AB751" s="1384"/>
      <c r="AC751" s="1606"/>
      <c r="AD751" s="1607"/>
      <c r="AE751" s="1607"/>
      <c r="AF751" s="1607"/>
      <c r="AG751" s="1608"/>
      <c r="AH751" s="1407" t="str">
        <f t="shared" si="36"/>
        <v/>
      </c>
      <c r="AI751" s="1408"/>
      <c r="AJ751" s="1409"/>
      <c r="AK751" s="1404" t="s">
        <v>592</v>
      </c>
      <c r="AL751" s="1405"/>
      <c r="AM751" s="1405"/>
      <c r="AN751" s="1405"/>
      <c r="AO751" s="1406"/>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3">
        <f t="shared" si="37"/>
        <v>0</v>
      </c>
      <c r="CH751" s="1355"/>
      <c r="CI751" s="1338">
        <f t="shared" si="38"/>
        <v>0</v>
      </c>
      <c r="CJ751" s="1340"/>
      <c r="CK751" s="1353">
        <f t="shared" si="16"/>
        <v>0</v>
      </c>
      <c r="CL751" s="1355"/>
      <c r="CM751" s="1338">
        <f t="shared" si="17"/>
        <v>0</v>
      </c>
      <c r="CN751" s="1340"/>
      <c r="CP751" s="1335">
        <f t="shared" si="18"/>
        <v>0</v>
      </c>
      <c r="CQ751" s="1336"/>
      <c r="CR751" s="1336"/>
      <c r="CS751" s="1336"/>
      <c r="CT751" s="1337"/>
      <c r="CU751" s="1344">
        <f t="shared" si="19"/>
        <v>0</v>
      </c>
      <c r="CV751" s="1344"/>
      <c r="CW751" s="1344"/>
      <c r="CX751" s="1344"/>
      <c r="CY751" s="1344"/>
      <c r="CZ751" s="1344">
        <f t="shared" si="20"/>
        <v>0</v>
      </c>
      <c r="DA751" s="1344"/>
      <c r="DB751" s="1344"/>
      <c r="DC751" s="1344"/>
      <c r="DD751" s="1344"/>
      <c r="DE751" s="1344">
        <f t="shared" si="21"/>
        <v>0</v>
      </c>
      <c r="DF751" s="1344"/>
      <c r="DG751" s="1344"/>
      <c r="DH751" s="1344"/>
      <c r="DI751" s="1344"/>
      <c r="DJ751" s="1344">
        <f t="shared" si="22"/>
        <v>0</v>
      </c>
      <c r="DK751" s="1344"/>
      <c r="DL751" s="1344"/>
      <c r="DM751" s="1344"/>
      <c r="DN751" s="1344"/>
      <c r="DO751" s="1344">
        <f t="shared" si="23"/>
        <v>0</v>
      </c>
      <c r="DP751" s="1344"/>
      <c r="DQ751" s="1344"/>
      <c r="DR751" s="1344"/>
      <c r="DS751" s="1344"/>
      <c r="DT751" s="6"/>
      <c r="DU751" s="1360">
        <f t="shared" si="24"/>
        <v>0</v>
      </c>
      <c r="DV751" s="1360"/>
      <c r="DW751" s="1360"/>
      <c r="DX751" s="1360"/>
      <c r="DY751" s="1360"/>
      <c r="DZ751" s="1360">
        <f t="shared" si="25"/>
        <v>0</v>
      </c>
      <c r="EA751" s="1360"/>
      <c r="EB751" s="1360"/>
      <c r="EC751" s="1360"/>
      <c r="ED751" s="1360"/>
      <c r="EE751" s="1360">
        <f t="shared" si="26"/>
        <v>0</v>
      </c>
      <c r="EF751" s="1360"/>
      <c r="EG751" s="1360"/>
      <c r="EH751" s="1360"/>
      <c r="EI751" s="1360"/>
      <c r="EJ751" s="1360">
        <f t="shared" si="27"/>
        <v>0</v>
      </c>
      <c r="EK751" s="1360"/>
      <c r="EL751" s="1360"/>
      <c r="EM751" s="1360"/>
      <c r="EN751" s="1360"/>
      <c r="EO751" s="1360">
        <f t="shared" si="28"/>
        <v>0</v>
      </c>
      <c r="EP751" s="1360"/>
      <c r="EQ751" s="1360"/>
      <c r="ER751" s="1360"/>
      <c r="ES751" s="1360"/>
      <c r="ET751" s="1360">
        <f t="shared" si="29"/>
        <v>0</v>
      </c>
      <c r="EU751" s="1360"/>
      <c r="EV751" s="1360"/>
      <c r="EW751" s="1360"/>
      <c r="EX751" s="1360"/>
      <c r="EY751"/>
      <c r="EZ751" s="1353" t="str">
        <f t="shared" si="30"/>
        <v/>
      </c>
      <c r="FA751" s="1354"/>
      <c r="FB751" s="1354"/>
      <c r="FC751" s="1354"/>
      <c r="FD751" s="1355"/>
      <c r="FE751" s="1353" t="str">
        <f t="shared" si="31"/>
        <v/>
      </c>
      <c r="FF751" s="1354"/>
      <c r="FG751" s="1354"/>
      <c r="FH751" s="1354"/>
      <c r="FI751" s="1355"/>
      <c r="FJ751" s="1353" t="str">
        <f t="shared" si="32"/>
        <v/>
      </c>
      <c r="FK751" s="1354"/>
      <c r="FL751" s="1354"/>
      <c r="FM751" s="1354"/>
      <c r="FN751" s="1355"/>
      <c r="FO751" s="1353" t="str">
        <f t="shared" si="33"/>
        <v/>
      </c>
      <c r="FP751" s="1354"/>
      <c r="FQ751" s="1354"/>
      <c r="FR751" s="1354"/>
      <c r="FS751" s="1355"/>
      <c r="FT751" s="1353" t="str">
        <f t="shared" si="34"/>
        <v/>
      </c>
      <c r="FU751" s="1354"/>
      <c r="FV751" s="1354"/>
      <c r="FW751" s="1354"/>
      <c r="FX751" s="1355"/>
      <c r="FY751" s="1353" t="str">
        <f t="shared" si="35"/>
        <v/>
      </c>
      <c r="FZ751" s="1354"/>
      <c r="GA751" s="1354"/>
      <c r="GB751" s="1354"/>
      <c r="GC751" s="1355"/>
    </row>
    <row r="752" spans="1:185" s="3" customFormat="1" ht="12.95" customHeight="1">
      <c r="A752"/>
      <c r="B752" s="1404"/>
      <c r="C752" s="1405"/>
      <c r="D752" s="1405"/>
      <c r="E752" s="1405"/>
      <c r="F752" s="1406"/>
      <c r="G752" s="1476"/>
      <c r="H752" s="1477"/>
      <c r="I752" s="1477"/>
      <c r="J752" s="1478"/>
      <c r="K752" s="1597"/>
      <c r="L752" s="1598"/>
      <c r="M752" s="1598"/>
      <c r="N752" s="1599"/>
      <c r="O752" s="1379"/>
      <c r="P752" s="1380"/>
      <c r="Q752" s="1380"/>
      <c r="R752" s="1380"/>
      <c r="S752" s="1381"/>
      <c r="T752" s="1379"/>
      <c r="U752" s="1380"/>
      <c r="V752" s="1380"/>
      <c r="W752" s="1381"/>
      <c r="X752" s="1382">
        <f>O752+T752</f>
        <v>0</v>
      </c>
      <c r="Y752" s="1383"/>
      <c r="Z752" s="1383"/>
      <c r="AA752" s="1383"/>
      <c r="AB752" s="1384"/>
      <c r="AC752" s="1606"/>
      <c r="AD752" s="1607"/>
      <c r="AE752" s="1607"/>
      <c r="AF752" s="1607"/>
      <c r="AG752" s="1608"/>
      <c r="AH752" s="1407" t="str">
        <f t="shared" si="36"/>
        <v/>
      </c>
      <c r="AI752" s="1408"/>
      <c r="AJ752" s="1409"/>
      <c r="AK752" s="1404" t="s">
        <v>592</v>
      </c>
      <c r="AL752" s="1405"/>
      <c r="AM752" s="1405"/>
      <c r="AN752" s="1405"/>
      <c r="AO752" s="1406"/>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3">
        <f t="shared" si="37"/>
        <v>0</v>
      </c>
      <c r="CH752" s="1355"/>
      <c r="CI752" s="1338">
        <f t="shared" si="38"/>
        <v>0</v>
      </c>
      <c r="CJ752" s="1340"/>
      <c r="CK752" s="1353">
        <f t="shared" si="16"/>
        <v>0</v>
      </c>
      <c r="CL752" s="1355"/>
      <c r="CM752" s="1338">
        <f t="shared" si="17"/>
        <v>0</v>
      </c>
      <c r="CN752" s="1340"/>
      <c r="CP752" s="1335">
        <f t="shared" si="18"/>
        <v>0</v>
      </c>
      <c r="CQ752" s="1336"/>
      <c r="CR752" s="1336"/>
      <c r="CS752" s="1336"/>
      <c r="CT752" s="1337"/>
      <c r="CU752" s="1344">
        <f t="shared" si="19"/>
        <v>0</v>
      </c>
      <c r="CV752" s="1344"/>
      <c r="CW752" s="1344"/>
      <c r="CX752" s="1344"/>
      <c r="CY752" s="1344"/>
      <c r="CZ752" s="1344">
        <f t="shared" si="20"/>
        <v>0</v>
      </c>
      <c r="DA752" s="1344"/>
      <c r="DB752" s="1344"/>
      <c r="DC752" s="1344"/>
      <c r="DD752" s="1344"/>
      <c r="DE752" s="1344">
        <f t="shared" si="21"/>
        <v>0</v>
      </c>
      <c r="DF752" s="1344"/>
      <c r="DG752" s="1344"/>
      <c r="DH752" s="1344"/>
      <c r="DI752" s="1344"/>
      <c r="DJ752" s="1344">
        <f t="shared" si="22"/>
        <v>0</v>
      </c>
      <c r="DK752" s="1344"/>
      <c r="DL752" s="1344"/>
      <c r="DM752" s="1344"/>
      <c r="DN752" s="1344"/>
      <c r="DO752" s="1344">
        <f t="shared" si="23"/>
        <v>0</v>
      </c>
      <c r="DP752" s="1344"/>
      <c r="DQ752" s="1344"/>
      <c r="DR752" s="1344"/>
      <c r="DS752" s="1344"/>
      <c r="DT752" s="6"/>
      <c r="DU752" s="1360">
        <f t="shared" si="24"/>
        <v>0</v>
      </c>
      <c r="DV752" s="1360"/>
      <c r="DW752" s="1360"/>
      <c r="DX752" s="1360"/>
      <c r="DY752" s="1360"/>
      <c r="DZ752" s="1360">
        <f t="shared" si="25"/>
        <v>0</v>
      </c>
      <c r="EA752" s="1360"/>
      <c r="EB752" s="1360"/>
      <c r="EC752" s="1360"/>
      <c r="ED752" s="1360"/>
      <c r="EE752" s="1360">
        <f t="shared" si="26"/>
        <v>0</v>
      </c>
      <c r="EF752" s="1360"/>
      <c r="EG752" s="1360"/>
      <c r="EH752" s="1360"/>
      <c r="EI752" s="1360"/>
      <c r="EJ752" s="1360">
        <f t="shared" si="27"/>
        <v>0</v>
      </c>
      <c r="EK752" s="1360"/>
      <c r="EL752" s="1360"/>
      <c r="EM752" s="1360"/>
      <c r="EN752" s="1360"/>
      <c r="EO752" s="1360">
        <f t="shared" si="28"/>
        <v>0</v>
      </c>
      <c r="EP752" s="1360"/>
      <c r="EQ752" s="1360"/>
      <c r="ER752" s="1360"/>
      <c r="ES752" s="1360"/>
      <c r="ET752" s="1360">
        <f t="shared" si="29"/>
        <v>0</v>
      </c>
      <c r="EU752" s="1360"/>
      <c r="EV752" s="1360"/>
      <c r="EW752" s="1360"/>
      <c r="EX752" s="1360"/>
      <c r="EY752"/>
      <c r="EZ752" s="1353" t="str">
        <f t="shared" si="30"/>
        <v/>
      </c>
      <c r="FA752" s="1354"/>
      <c r="FB752" s="1354"/>
      <c r="FC752" s="1354"/>
      <c r="FD752" s="1355"/>
      <c r="FE752" s="1353" t="str">
        <f t="shared" si="31"/>
        <v/>
      </c>
      <c r="FF752" s="1354"/>
      <c r="FG752" s="1354"/>
      <c r="FH752" s="1354"/>
      <c r="FI752" s="1355"/>
      <c r="FJ752" s="1353" t="str">
        <f t="shared" si="32"/>
        <v/>
      </c>
      <c r="FK752" s="1354"/>
      <c r="FL752" s="1354"/>
      <c r="FM752" s="1354"/>
      <c r="FN752" s="1355"/>
      <c r="FO752" s="1353" t="str">
        <f t="shared" si="33"/>
        <v/>
      </c>
      <c r="FP752" s="1354"/>
      <c r="FQ752" s="1354"/>
      <c r="FR752" s="1354"/>
      <c r="FS752" s="1355"/>
      <c r="FT752" s="1353" t="str">
        <f t="shared" si="34"/>
        <v/>
      </c>
      <c r="FU752" s="1354"/>
      <c r="FV752" s="1354"/>
      <c r="FW752" s="1354"/>
      <c r="FX752" s="1355"/>
      <c r="FY752" s="1353" t="str">
        <f t="shared" si="35"/>
        <v/>
      </c>
      <c r="FZ752" s="1354"/>
      <c r="GA752" s="1354"/>
      <c r="GB752" s="1354"/>
      <c r="GC752" s="1355"/>
    </row>
    <row r="753" spans="1:185" s="3" customFormat="1" ht="12.95" customHeight="1">
      <c r="A753"/>
      <c r="B753" s="1472" t="s">
        <v>125</v>
      </c>
      <c r="C753" s="1473"/>
      <c r="D753" s="1473"/>
      <c r="E753" s="1473"/>
      <c r="F753" s="1475"/>
      <c r="G753" s="1725">
        <f>SUM(G718:G752)</f>
        <v>141</v>
      </c>
      <c r="H753" s="1726"/>
      <c r="I753" s="1726"/>
      <c r="J753" s="1727"/>
      <c r="K753" s="902" t="s">
        <v>124</v>
      </c>
      <c r="L753" s="5"/>
      <c r="M753" s="5"/>
      <c r="N753" s="46"/>
      <c r="O753" s="1382">
        <f>SUMPRODUCT(G718:G752,O718:O752)</f>
        <v>161198</v>
      </c>
      <c r="P753" s="1383"/>
      <c r="Q753" s="1383"/>
      <c r="R753" s="1383"/>
      <c r="S753" s="1384"/>
      <c r="T753"/>
      <c r="U753"/>
      <c r="V753"/>
      <c r="W753"/>
      <c r="X753" s="904" t="s">
        <v>901</v>
      </c>
      <c r="Y753" s="903"/>
      <c r="Z753" s="903"/>
      <c r="AA753" s="903"/>
      <c r="AB753" s="905"/>
      <c r="AC753" s="1614">
        <f>BH753</f>
        <v>0.52624113475177303</v>
      </c>
      <c r="AD753" s="1615"/>
      <c r="AE753" s="1615"/>
      <c r="AF753" s="1615"/>
      <c r="AG753" s="1616"/>
      <c r="AH753" s="1614">
        <f>IFERROR(BU753,"")</f>
        <v>0.52627575172086993</v>
      </c>
      <c r="AI753" s="1615"/>
      <c r="AJ753" s="1616"/>
      <c r="AK753"/>
      <c r="AL753"/>
      <c r="AM753"/>
      <c r="AN753"/>
      <c r="AO753"/>
      <c r="AP753" s="205"/>
      <c r="AQ753" s="205"/>
      <c r="AR753" s="205"/>
      <c r="AS753" s="205"/>
      <c r="AT753"/>
      <c r="AU753"/>
      <c r="AV753"/>
      <c r="AW753"/>
      <c r="AX753"/>
      <c r="AY753"/>
      <c r="AZ753" s="34"/>
      <c r="BA753" s="34"/>
      <c r="BB753" s="34"/>
      <c r="BC753" s="34"/>
      <c r="BE753" s="290" t="s">
        <v>900</v>
      </c>
      <c r="BF753" s="299">
        <f>SUM(BF718:BF752)</f>
        <v>141</v>
      </c>
      <c r="BG753" s="300">
        <f>SUM(BG718:BG752)</f>
        <v>1</v>
      </c>
      <c r="BH753" s="300">
        <f>SUM(BH718:BH752)</f>
        <v>0.52624113475177303</v>
      </c>
      <c r="BI753"/>
      <c r="BJ753"/>
      <c r="BK753"/>
      <c r="BL753"/>
      <c r="BO753"/>
      <c r="BP753"/>
      <c r="BQ753"/>
      <c r="BR753"/>
      <c r="BS753" s="859">
        <f>SUM(BS718:BS752)</f>
        <v>141</v>
      </c>
      <c r="BT753" s="300">
        <f>SUM(BT718:BT752)</f>
        <v>1</v>
      </c>
      <c r="BU753" s="300">
        <f>SUM(BU718:BU752)</f>
        <v>0.52627575172086993</v>
      </c>
      <c r="CI753" s="1353">
        <f>SUM(CI718:CJ752)</f>
        <v>10</v>
      </c>
      <c r="CJ753" s="1355"/>
      <c r="CM753" s="1353">
        <f>SUM(CM718:CN752)</f>
        <v>28</v>
      </c>
      <c r="CN753" s="1355"/>
      <c r="CP753" s="1353">
        <f>SUM(CP718:CT752)</f>
        <v>0</v>
      </c>
      <c r="CQ753" s="1354"/>
      <c r="CR753" s="1354"/>
      <c r="CS753" s="1354"/>
      <c r="CT753" s="1355"/>
      <c r="CU753" s="1359">
        <f>SUM(CU718:CY752)</f>
        <v>40</v>
      </c>
      <c r="CV753" s="1359"/>
      <c r="CW753" s="1359"/>
      <c r="CX753" s="1359"/>
      <c r="CY753" s="1359"/>
      <c r="CZ753" s="1359">
        <f>SUM(CZ718:DD752)</f>
        <v>54</v>
      </c>
      <c r="DA753" s="1359"/>
      <c r="DB753" s="1359"/>
      <c r="DC753" s="1359"/>
      <c r="DD753" s="1359"/>
      <c r="DE753" s="1359">
        <f>SUM(DE718:DI752)</f>
        <v>35</v>
      </c>
      <c r="DF753" s="1359"/>
      <c r="DG753" s="1359"/>
      <c r="DH753" s="1359"/>
      <c r="DI753" s="1359"/>
      <c r="DJ753" s="1359">
        <f>SUM(DJ718:DN752)</f>
        <v>12</v>
      </c>
      <c r="DK753" s="1359"/>
      <c r="DL753" s="1359"/>
      <c r="DM753" s="1359"/>
      <c r="DN753" s="1359"/>
      <c r="DO753" s="1359">
        <f>SUM(DO718:DS752)</f>
        <v>0</v>
      </c>
      <c r="DP753" s="1359"/>
      <c r="DQ753" s="1359"/>
      <c r="DR753" s="1359"/>
      <c r="DS753" s="1359"/>
      <c r="DT753" s="354"/>
      <c r="DU753" s="1359">
        <f>SUM(DU718:DY752)</f>
        <v>0</v>
      </c>
      <c r="DV753" s="1359"/>
      <c r="DW753" s="1359"/>
      <c r="DX753" s="1359"/>
      <c r="DY753" s="1359"/>
      <c r="DZ753" s="1359">
        <f>SUM(DZ718:ED752)</f>
        <v>18</v>
      </c>
      <c r="EA753" s="1359"/>
      <c r="EB753" s="1359"/>
      <c r="EC753" s="1359"/>
      <c r="ED753" s="1359"/>
      <c r="EE753" s="1359">
        <f>SUM(EE718:EI752)</f>
        <v>5</v>
      </c>
      <c r="EF753" s="1359"/>
      <c r="EG753" s="1359"/>
      <c r="EH753" s="1359"/>
      <c r="EI753" s="1359"/>
      <c r="EJ753" s="1359">
        <f>SUM(EJ718:EN752)</f>
        <v>5</v>
      </c>
      <c r="EK753" s="1359"/>
      <c r="EL753" s="1359"/>
      <c r="EM753" s="1359"/>
      <c r="EN753" s="1359"/>
      <c r="EO753" s="1359">
        <f>SUM(EO718:ES752)</f>
        <v>0</v>
      </c>
      <c r="EP753" s="1359"/>
      <c r="EQ753" s="1359"/>
      <c r="ER753" s="1359"/>
      <c r="ES753" s="1359"/>
      <c r="ET753" s="1359">
        <f>SUM(ET718:EX752)</f>
        <v>0</v>
      </c>
      <c r="EU753" s="1359"/>
      <c r="EV753" s="1359"/>
      <c r="EW753" s="1359"/>
      <c r="EX753" s="1359"/>
      <c r="EY753"/>
      <c r="EZ753" s="1359">
        <f>SUM(EZ718:FD752)</f>
        <v>0</v>
      </c>
      <c r="FA753" s="1359"/>
      <c r="FB753" s="1359"/>
      <c r="FC753" s="1359"/>
      <c r="FD753" s="1359"/>
      <c r="FE753" s="1359">
        <f>SUM(FE718:FI752)</f>
        <v>4052</v>
      </c>
      <c r="FF753" s="1359"/>
      <c r="FG753" s="1359"/>
      <c r="FH753" s="1359"/>
      <c r="FI753" s="1359"/>
      <c r="FJ753" s="1359">
        <f>SUM(FJ718:FN752)</f>
        <v>4018</v>
      </c>
      <c r="FK753" s="1359"/>
      <c r="FL753" s="1359"/>
      <c r="FM753" s="1359"/>
      <c r="FN753" s="1359"/>
      <c r="FO753" s="1359">
        <f>SUM(FO718:FS752)</f>
        <v>4639</v>
      </c>
      <c r="FP753" s="1359"/>
      <c r="FQ753" s="1359"/>
      <c r="FR753" s="1359"/>
      <c r="FS753" s="1359"/>
      <c r="FT753" s="1359">
        <f>SUM(FT718:FX752)</f>
        <v>1635</v>
      </c>
      <c r="FU753" s="1359"/>
      <c r="FV753" s="1359"/>
      <c r="FW753" s="1359"/>
      <c r="FX753" s="1359"/>
      <c r="FY753" s="1359">
        <f>SUM(FY718:GC752)</f>
        <v>0</v>
      </c>
      <c r="FZ753" s="1359"/>
      <c r="GA753" s="1359"/>
      <c r="GB753" s="1359"/>
      <c r="GC753" s="1359"/>
    </row>
    <row r="754" spans="1:185" s="3" customFormat="1" ht="12.95" customHeight="1">
      <c r="A754"/>
      <c r="B754" s="1724" t="s">
        <v>1894</v>
      </c>
      <c r="C754" s="1724"/>
      <c r="D754" s="1724"/>
      <c r="E754" s="1724"/>
      <c r="F754" s="1724"/>
      <c r="G754" s="1724"/>
      <c r="H754" s="1724"/>
      <c r="I754" s="1724"/>
      <c r="J754" s="1724"/>
      <c r="K754" s="1724"/>
      <c r="L754" s="1724"/>
      <c r="M754" s="1724"/>
      <c r="N754" s="1724"/>
      <c r="O754" s="1724"/>
      <c r="P754" s="1724"/>
      <c r="Q754" s="1724"/>
      <c r="R754" s="1724"/>
      <c r="S754" s="1724"/>
      <c r="T754" s="1724"/>
      <c r="U754" s="1724"/>
      <c r="V754" s="1724"/>
      <c r="W754" s="1724"/>
      <c r="X754" s="1724"/>
      <c r="Y754" s="1724"/>
      <c r="Z754" s="1724"/>
      <c r="AA754" s="1724"/>
      <c r="AB754" s="1724"/>
      <c r="AC754" s="1724"/>
      <c r="AD754" s="1724"/>
      <c r="AE754" s="1724"/>
      <c r="AF754" s="1724"/>
      <c r="AG754" s="1724"/>
      <c r="AH754" s="1724"/>
      <c r="AI754"/>
      <c r="AJ754"/>
      <c r="AK754"/>
      <c r="AT754"/>
      <c r="AU754"/>
      <c r="AV754"/>
      <c r="AW754"/>
      <c r="AX754"/>
      <c r="AY754"/>
      <c r="CD754"/>
      <c r="DN754" s="56" t="s">
        <v>1861</v>
      </c>
      <c r="DO754" s="1353">
        <f>CP753+CU753+CZ753+DE753+DJ753+DO753</f>
        <v>141</v>
      </c>
      <c r="DP754" s="1354"/>
      <c r="DQ754" s="1354"/>
      <c r="DR754" s="1354"/>
      <c r="DS754" s="135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4"/>
      <c r="C755" s="1724"/>
      <c r="D755" s="1724"/>
      <c r="E755" s="1724"/>
      <c r="F755" s="1724"/>
      <c r="G755" s="1724"/>
      <c r="H755" s="1724"/>
      <c r="I755" s="1724"/>
      <c r="J755" s="1724"/>
      <c r="K755" s="1724"/>
      <c r="L755" s="1724"/>
      <c r="M755" s="1724"/>
      <c r="N755" s="1724"/>
      <c r="O755" s="1724"/>
      <c r="P755" s="1724"/>
      <c r="Q755" s="1724"/>
      <c r="R755" s="1724"/>
      <c r="S755" s="1724"/>
      <c r="T755" s="1724"/>
      <c r="U755" s="1724"/>
      <c r="V755" s="1724"/>
      <c r="W755" s="1724"/>
      <c r="X755" s="1724"/>
      <c r="Y755" s="1724"/>
      <c r="Z755" s="1724"/>
      <c r="AA755" s="1724"/>
      <c r="AB755" s="1724"/>
      <c r="AC755" s="1724"/>
      <c r="AD755" s="1724"/>
      <c r="AE755" s="1724"/>
      <c r="AF755" s="1724"/>
      <c r="AG755" s="1724"/>
      <c r="AH755" s="172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40</v>
      </c>
      <c r="CZ755" s="3"/>
      <c r="DA755" s="3"/>
      <c r="DB755" s="3"/>
      <c r="DC755" s="3"/>
      <c r="DD755" s="861">
        <f>CZ753*2</f>
        <v>108</v>
      </c>
      <c r="DE755" s="3"/>
      <c r="DF755" s="3"/>
      <c r="DG755" s="3"/>
      <c r="DH755" s="3"/>
      <c r="DI755" s="861">
        <f>DE753*3</f>
        <v>105</v>
      </c>
      <c r="DJ755" s="3"/>
      <c r="DK755" s="3"/>
      <c r="DL755" s="3"/>
      <c r="DM755" s="3"/>
      <c r="DN755" s="861">
        <f>DJ753*4</f>
        <v>48</v>
      </c>
      <c r="DO755" s="3"/>
      <c r="DP755" s="3"/>
      <c r="DQ755" s="3"/>
      <c r="DR755" s="3"/>
      <c r="DS755" s="861">
        <f>DO753*5</f>
        <v>0</v>
      </c>
      <c r="DU755" s="861">
        <f>CT755+CY755+DD755+DI755+DN755+DS755</f>
        <v>301</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359">
        <f>DU755</f>
        <v>301</v>
      </c>
      <c r="P756" s="1359"/>
      <c r="Q756" s="1359"/>
      <c r="R756" s="1359"/>
      <c r="S756" s="969"/>
      <c r="T756" s="969"/>
      <c r="U756" s="118" t="s">
        <v>1893</v>
      </c>
      <c r="V756" s="1032"/>
      <c r="W756" s="1032"/>
      <c r="X756" s="1032"/>
      <c r="Y756" s="1033"/>
      <c r="Z756" s="1033"/>
      <c r="AA756" s="1033"/>
      <c r="AB756" s="1033"/>
      <c r="AC756" s="1032"/>
      <c r="AD756" s="1032"/>
      <c r="AE756" s="1032"/>
      <c r="AF756" s="1032"/>
      <c r="AG756" s="1667">
        <v>0</v>
      </c>
      <c r="AH756" s="1667"/>
      <c r="AI756" s="1667"/>
      <c r="AJ756" s="166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7" t="str">
        <f>IF(G753&lt;&gt;AG440,"! Total Low-Income Units in the Unit Mix Table above does not match the number of Total Low-Income Units on row #"&amp;TEXT(ROW(D440),"#"),"")</f>
        <v/>
      </c>
      <c r="D757" s="1857"/>
      <c r="E757" s="1857"/>
      <c r="F757" s="1857"/>
      <c r="G757" s="1857"/>
      <c r="H757" s="1857"/>
      <c r="I757" s="1857"/>
      <c r="J757" s="1857"/>
      <c r="K757" s="1857"/>
      <c r="L757" s="1857"/>
      <c r="M757" s="1857"/>
      <c r="N757" s="1857"/>
      <c r="O757" s="1857"/>
      <c r="P757" s="1857"/>
      <c r="Q757" s="1857"/>
      <c r="R757" s="1857"/>
      <c r="S757" s="1857"/>
      <c r="T757" s="1857"/>
      <c r="U757" s="1857"/>
      <c r="V757" s="1857"/>
      <c r="W757" s="1857"/>
      <c r="X757" s="1857"/>
      <c r="Y757" s="1857"/>
      <c r="Z757" s="1857"/>
      <c r="AA757" s="1857"/>
      <c r="AB757" s="1857"/>
      <c r="AC757" s="1857"/>
      <c r="AD757" s="1857"/>
      <c r="AE757" s="1857"/>
      <c r="AF757" s="1857"/>
      <c r="AG757" s="1857"/>
      <c r="AH757" s="1857"/>
      <c r="AI757" s="1857"/>
      <c r="AJ757" s="1857"/>
      <c r="AK757" s="1857"/>
      <c r="AL757" s="1857"/>
      <c r="AM757" s="185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7"/>
      <c r="D758" s="1857"/>
      <c r="E758" s="1857"/>
      <c r="F758" s="1857"/>
      <c r="G758" s="1857"/>
      <c r="H758" s="1857"/>
      <c r="I758" s="1857"/>
      <c r="J758" s="1857"/>
      <c r="K758" s="1857"/>
      <c r="L758" s="1857"/>
      <c r="M758" s="1857"/>
      <c r="N758" s="1857"/>
      <c r="O758" s="1857"/>
      <c r="P758" s="1857"/>
      <c r="Q758" s="1857"/>
      <c r="R758" s="1857"/>
      <c r="S758" s="1857"/>
      <c r="T758" s="1857"/>
      <c r="U758" s="1857"/>
      <c r="V758" s="1857"/>
      <c r="W758" s="1857"/>
      <c r="X758" s="1857"/>
      <c r="Y758" s="1857"/>
      <c r="Z758" s="1857"/>
      <c r="AA758" s="1857"/>
      <c r="AB758" s="1857"/>
      <c r="AC758" s="1857"/>
      <c r="AD758" s="1857"/>
      <c r="AE758" s="1857"/>
      <c r="AF758" s="1857"/>
      <c r="AG758" s="1857"/>
      <c r="AH758" s="1857"/>
      <c r="AI758" s="1857"/>
      <c r="AJ758" s="1857"/>
      <c r="AK758" s="1857"/>
      <c r="AL758" s="1857"/>
      <c r="AM758" s="185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358" t="s">
        <v>592</v>
      </c>
      <c r="AE759" s="1358"/>
      <c r="AF759" s="1358"/>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2090</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2091</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9" t="s">
        <v>389</v>
      </c>
      <c r="K769" s="1500"/>
      <c r="L769" s="1500"/>
      <c r="M769" s="1500"/>
      <c r="N769" s="1501"/>
      <c r="O769" s="1594" t="s">
        <v>285</v>
      </c>
      <c r="P769" s="1594"/>
      <c r="Q769" s="1594"/>
      <c r="R769" s="1594"/>
      <c r="S769" s="1594"/>
      <c r="T769" s="1486" t="s">
        <v>1680</v>
      </c>
      <c r="U769" s="1487"/>
      <c r="V769" s="1487"/>
      <c r="W769" s="1488"/>
      <c r="X769" s="1499" t="s">
        <v>448</v>
      </c>
      <c r="Y769" s="1500"/>
      <c r="Z769" s="1500"/>
      <c r="AA769" s="1500"/>
      <c r="AB769" s="1501"/>
      <c r="AC769" s="1499" t="s">
        <v>286</v>
      </c>
      <c r="AD769" s="1500"/>
      <c r="AE769" s="1500"/>
      <c r="AF769" s="1500"/>
      <c r="AG769" s="150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502"/>
      <c r="K770" s="1503"/>
      <c r="L770" s="1503"/>
      <c r="M770" s="1503"/>
      <c r="N770" s="1504"/>
      <c r="O770" s="1594"/>
      <c r="P770" s="1594"/>
      <c r="Q770" s="1594"/>
      <c r="R770" s="1594"/>
      <c r="S770" s="1594"/>
      <c r="T770" s="1489"/>
      <c r="U770" s="1490"/>
      <c r="V770" s="1490"/>
      <c r="W770" s="1491"/>
      <c r="X770" s="1502"/>
      <c r="Y770" s="1503"/>
      <c r="Z770" s="1503"/>
      <c r="AA770" s="1503"/>
      <c r="AB770" s="1504"/>
      <c r="AC770" s="1502"/>
      <c r="AD770" s="1503"/>
      <c r="AE770" s="1503"/>
      <c r="AF770" s="1503"/>
      <c r="AG770" s="150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502"/>
      <c r="K771" s="1503"/>
      <c r="L771" s="1503"/>
      <c r="M771" s="1503"/>
      <c r="N771" s="1504"/>
      <c r="O771" s="1594"/>
      <c r="P771" s="1594"/>
      <c r="Q771" s="1594"/>
      <c r="R771" s="1594"/>
      <c r="S771" s="1594"/>
      <c r="T771" s="1489"/>
      <c r="U771" s="1490"/>
      <c r="V771" s="1490"/>
      <c r="W771" s="1491"/>
      <c r="X771" s="1502"/>
      <c r="Y771" s="1503"/>
      <c r="Z771" s="1503"/>
      <c r="AA771" s="1503"/>
      <c r="AB771" s="1504"/>
      <c r="AC771" s="1502"/>
      <c r="AD771" s="1503"/>
      <c r="AE771" s="1503"/>
      <c r="AF771" s="1503"/>
      <c r="AG771" s="150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5"/>
      <c r="K772" s="1506"/>
      <c r="L772" s="1506"/>
      <c r="M772" s="1506"/>
      <c r="N772" s="1507"/>
      <c r="O772" s="1594"/>
      <c r="P772" s="1594"/>
      <c r="Q772" s="1594"/>
      <c r="R772" s="1594"/>
      <c r="S772" s="1594"/>
      <c r="T772" s="1603"/>
      <c r="U772" s="1604"/>
      <c r="V772" s="1604"/>
      <c r="W772" s="1605"/>
      <c r="X772" s="1505"/>
      <c r="Y772" s="1506"/>
      <c r="Z772" s="1506"/>
      <c r="AA772" s="1506"/>
      <c r="AB772" s="1507"/>
      <c r="AC772" s="1505"/>
      <c r="AD772" s="1506"/>
      <c r="AE772" s="1506"/>
      <c r="AF772" s="1506"/>
      <c r="AG772" s="150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404" t="s">
        <v>164</v>
      </c>
      <c r="K773" s="1405"/>
      <c r="L773" s="1405"/>
      <c r="M773" s="1405"/>
      <c r="N773" s="1406"/>
      <c r="O773" s="1585">
        <v>1</v>
      </c>
      <c r="P773" s="1585"/>
      <c r="Q773" s="1585"/>
      <c r="R773" s="1585"/>
      <c r="S773" s="1585"/>
      <c r="T773" s="1597">
        <v>912</v>
      </c>
      <c r="U773" s="1598"/>
      <c r="V773" s="1598"/>
      <c r="W773" s="1599"/>
      <c r="X773" s="1379">
        <v>0</v>
      </c>
      <c r="Y773" s="1380"/>
      <c r="Z773" s="1380"/>
      <c r="AA773" s="1380"/>
      <c r="AB773" s="1381"/>
      <c r="AC773" s="1382">
        <f>X773*O773</f>
        <v>0</v>
      </c>
      <c r="AD773" s="1383"/>
      <c r="AE773" s="1383"/>
      <c r="AF773" s="1383"/>
      <c r="AG773" s="138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5">
        <f>IF(J773="SRO/Studio",O773,0)</f>
        <v>0</v>
      </c>
      <c r="CQ773" s="1336"/>
      <c r="CR773" s="1336"/>
      <c r="CS773" s="1336"/>
      <c r="CT773" s="1337"/>
      <c r="CU773" s="1344">
        <f>IF(J773="1 Bedroom",O773,0)</f>
        <v>0</v>
      </c>
      <c r="CV773" s="1344"/>
      <c r="CW773" s="1344"/>
      <c r="CX773" s="1344"/>
      <c r="CY773" s="1344"/>
      <c r="CZ773" s="1344">
        <f>IF(J773="2 Bedrooms",O773,0)</f>
        <v>0</v>
      </c>
      <c r="DA773" s="1344"/>
      <c r="DB773" s="1344"/>
      <c r="DC773" s="1344"/>
      <c r="DD773" s="1344"/>
      <c r="DE773" s="1344">
        <f>IF(J773="3 Bedrooms",O773,0)</f>
        <v>1</v>
      </c>
      <c r="DF773" s="1344"/>
      <c r="DG773" s="1344"/>
      <c r="DH773" s="1344"/>
      <c r="DI773" s="1344"/>
      <c r="DJ773" s="1344">
        <f>IF(J773="4 Bedrooms",O773,0)</f>
        <v>0</v>
      </c>
      <c r="DK773" s="1344"/>
      <c r="DL773" s="1344"/>
      <c r="DM773" s="1344"/>
      <c r="DN773" s="1344"/>
      <c r="DO773" s="1344">
        <f>IF(J773="5 Bedrooms",O773,0)</f>
        <v>0</v>
      </c>
      <c r="DP773" s="1344"/>
      <c r="DQ773" s="1344"/>
      <c r="DR773" s="1344"/>
      <c r="DS773" s="1344"/>
      <c r="DT773" s="6"/>
      <c r="DU773" s="3"/>
      <c r="DV773" s="3"/>
    </row>
    <row r="774" spans="1:126" ht="12.95" customHeight="1">
      <c r="J774" s="1404"/>
      <c r="K774" s="1405"/>
      <c r="L774" s="1405"/>
      <c r="M774" s="1405"/>
      <c r="N774" s="1406"/>
      <c r="O774" s="1585"/>
      <c r="P774" s="1585"/>
      <c r="Q774" s="1585"/>
      <c r="R774" s="1585"/>
      <c r="S774" s="1585"/>
      <c r="T774" s="1597"/>
      <c r="U774" s="1598"/>
      <c r="V774" s="1598"/>
      <c r="W774" s="1599"/>
      <c r="X774" s="1379"/>
      <c r="Y774" s="1380"/>
      <c r="Z774" s="1380"/>
      <c r="AA774" s="1380"/>
      <c r="AB774" s="1381"/>
      <c r="AC774" s="1382">
        <f>X774*O774</f>
        <v>0</v>
      </c>
      <c r="AD774" s="1383"/>
      <c r="AE774" s="1383"/>
      <c r="AF774" s="1383"/>
      <c r="AG774" s="138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5">
        <f>IF(J774="SRO/Studio",O774,0)</f>
        <v>0</v>
      </c>
      <c r="CQ774" s="1336"/>
      <c r="CR774" s="1336"/>
      <c r="CS774" s="1336"/>
      <c r="CT774" s="1337"/>
      <c r="CU774" s="1344">
        <f>IF(J774="1 Bedroom",O774,0)</f>
        <v>0</v>
      </c>
      <c r="CV774" s="1344"/>
      <c r="CW774" s="1344"/>
      <c r="CX774" s="1344"/>
      <c r="CY774" s="1344"/>
      <c r="CZ774" s="1344">
        <f>IF(J774="2 Bedrooms",O774,0)</f>
        <v>0</v>
      </c>
      <c r="DA774" s="1344"/>
      <c r="DB774" s="1344"/>
      <c r="DC774" s="1344"/>
      <c r="DD774" s="1344"/>
      <c r="DE774" s="1344">
        <f>IF(J774="3 Bedrooms",O774,0)</f>
        <v>0</v>
      </c>
      <c r="DF774" s="1344"/>
      <c r="DG774" s="1344"/>
      <c r="DH774" s="1344"/>
      <c r="DI774" s="1344"/>
      <c r="DJ774" s="1344">
        <f>IF(J774="4 Bedrooms",O774,0)</f>
        <v>0</v>
      </c>
      <c r="DK774" s="1344"/>
      <c r="DL774" s="1344"/>
      <c r="DM774" s="1344"/>
      <c r="DN774" s="1344"/>
      <c r="DO774" s="1344">
        <f>IF(J774="5 Bedrooms",O774,0)</f>
        <v>0</v>
      </c>
      <c r="DP774" s="1344"/>
      <c r="DQ774" s="1344"/>
      <c r="DR774" s="1344"/>
      <c r="DS774" s="1344"/>
      <c r="DT774" s="6"/>
      <c r="DU774" s="3"/>
      <c r="DV774" s="3"/>
    </row>
    <row r="775" spans="1:126" ht="12.95" customHeight="1">
      <c r="J775" s="1404"/>
      <c r="K775" s="1405"/>
      <c r="L775" s="1405"/>
      <c r="M775" s="1405"/>
      <c r="N775" s="1406"/>
      <c r="O775" s="1585"/>
      <c r="P775" s="1585"/>
      <c r="Q775" s="1585"/>
      <c r="R775" s="1585"/>
      <c r="S775" s="1585"/>
      <c r="T775" s="1597"/>
      <c r="U775" s="1598"/>
      <c r="V775" s="1598"/>
      <c r="W775" s="1599"/>
      <c r="X775" s="1379"/>
      <c r="Y775" s="1380"/>
      <c r="Z775" s="1380"/>
      <c r="AA775" s="1380"/>
      <c r="AB775" s="1381"/>
      <c r="AC775" s="1382">
        <f>X775*O775</f>
        <v>0</v>
      </c>
      <c r="AD775" s="1383"/>
      <c r="AE775" s="1383"/>
      <c r="AF775" s="1383"/>
      <c r="AG775" s="138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5">
        <f>IF(J775="SRO/Studio",O775,0)</f>
        <v>0</v>
      </c>
      <c r="CQ775" s="1336"/>
      <c r="CR775" s="1336"/>
      <c r="CS775" s="1336"/>
      <c r="CT775" s="1337"/>
      <c r="CU775" s="1344">
        <f>IF(J775="1 Bedroom",O775,0)</f>
        <v>0</v>
      </c>
      <c r="CV775" s="1344"/>
      <c r="CW775" s="1344"/>
      <c r="CX775" s="1344"/>
      <c r="CY775" s="1344"/>
      <c r="CZ775" s="1344">
        <f>IF(J775="2 Bedrooms",O775,0)</f>
        <v>0</v>
      </c>
      <c r="DA775" s="1344"/>
      <c r="DB775" s="1344"/>
      <c r="DC775" s="1344"/>
      <c r="DD775" s="1344"/>
      <c r="DE775" s="1344">
        <f>IF(J775="3 Bedrooms",O775,0)</f>
        <v>0</v>
      </c>
      <c r="DF775" s="1344"/>
      <c r="DG775" s="1344"/>
      <c r="DH775" s="1344"/>
      <c r="DI775" s="1344"/>
      <c r="DJ775" s="1344">
        <f>IF(J775="4 Bedrooms",O775,0)</f>
        <v>0</v>
      </c>
      <c r="DK775" s="1344"/>
      <c r="DL775" s="1344"/>
      <c r="DM775" s="1344"/>
      <c r="DN775" s="1344"/>
      <c r="DO775" s="1344">
        <f>IF(J775="5 Bedrooms",O775,0)</f>
        <v>0</v>
      </c>
      <c r="DP775" s="1344"/>
      <c r="DQ775" s="1344"/>
      <c r="DR775" s="1344"/>
      <c r="DS775" s="1344"/>
      <c r="DT775" s="1012"/>
    </row>
    <row r="776" spans="1:126" ht="12.95" customHeight="1">
      <c r="J776" s="1404"/>
      <c r="K776" s="1405"/>
      <c r="L776" s="1405"/>
      <c r="M776" s="1405"/>
      <c r="N776" s="1406"/>
      <c r="O776" s="1585"/>
      <c r="P776" s="1585"/>
      <c r="Q776" s="1585"/>
      <c r="R776" s="1585"/>
      <c r="S776" s="1585"/>
      <c r="T776" s="1597"/>
      <c r="U776" s="1598"/>
      <c r="V776" s="1598"/>
      <c r="W776" s="1599"/>
      <c r="X776" s="1379"/>
      <c r="Y776" s="1380"/>
      <c r="Z776" s="1380"/>
      <c r="AA776" s="1380"/>
      <c r="AB776" s="1381"/>
      <c r="AC776" s="1382">
        <f>X776*O776</f>
        <v>0</v>
      </c>
      <c r="AD776" s="1383"/>
      <c r="AE776" s="1383"/>
      <c r="AF776" s="1383"/>
      <c r="AG776" s="138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5">
        <f>IF(J776="SRO/Studio",O776,0)</f>
        <v>0</v>
      </c>
      <c r="CQ776" s="1336"/>
      <c r="CR776" s="1336"/>
      <c r="CS776" s="1336"/>
      <c r="CT776" s="1337"/>
      <c r="CU776" s="1344">
        <f>IF(J776="1 Bedroom",O776,0)</f>
        <v>0</v>
      </c>
      <c r="CV776" s="1344"/>
      <c r="CW776" s="1344"/>
      <c r="CX776" s="1344"/>
      <c r="CY776" s="1344"/>
      <c r="CZ776" s="1344">
        <f>IF(J776="2 Bedrooms",O776,0)</f>
        <v>0</v>
      </c>
      <c r="DA776" s="1344"/>
      <c r="DB776" s="1344"/>
      <c r="DC776" s="1344"/>
      <c r="DD776" s="1344"/>
      <c r="DE776" s="1344">
        <f>IF(J776="3 Bedrooms",O776,0)</f>
        <v>0</v>
      </c>
      <c r="DF776" s="1344"/>
      <c r="DG776" s="1344"/>
      <c r="DH776" s="1344"/>
      <c r="DI776" s="1344"/>
      <c r="DJ776" s="1344">
        <f>IF(J776="4 Bedrooms",O776,0)</f>
        <v>0</v>
      </c>
      <c r="DK776" s="1344"/>
      <c r="DL776" s="1344"/>
      <c r="DM776" s="1344"/>
      <c r="DN776" s="1344"/>
      <c r="DO776" s="1344">
        <f>IF(J776="5 Bedrooms",O776,0)</f>
        <v>0</v>
      </c>
      <c r="DP776" s="1344"/>
      <c r="DQ776" s="1344"/>
      <c r="DR776" s="1344"/>
      <c r="DS776" s="1344"/>
    </row>
    <row r="777" spans="1:126" ht="12.95" customHeight="1">
      <c r="J777" s="1472" t="s">
        <v>125</v>
      </c>
      <c r="K777" s="1473"/>
      <c r="L777" s="1473"/>
      <c r="M777" s="1473"/>
      <c r="N777" s="1475"/>
      <c r="O777" s="1338">
        <f>SUM(O773:S776)</f>
        <v>1</v>
      </c>
      <c r="P777" s="1339"/>
      <c r="Q777" s="1339"/>
      <c r="R777" s="1339"/>
      <c r="S777" s="1340"/>
      <c r="X777" s="1472" t="s">
        <v>124</v>
      </c>
      <c r="Y777" s="1473"/>
      <c r="Z777" s="1473"/>
      <c r="AA777" s="1473"/>
      <c r="AB777" s="1475"/>
      <c r="AC777" s="1382">
        <f>SUM(AC773:AG776)</f>
        <v>0</v>
      </c>
      <c r="AD777" s="1383"/>
      <c r="AE777" s="1383"/>
      <c r="AF777" s="1383"/>
      <c r="AG777" s="138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8">
        <f>SUM(CP773:CT776)</f>
        <v>0</v>
      </c>
      <c r="CQ777" s="1339"/>
      <c r="CR777" s="1339"/>
      <c r="CS777" s="1339"/>
      <c r="CT777" s="1340"/>
      <c r="CU777" s="1341">
        <f>SUM(CU773:CY776)</f>
        <v>0</v>
      </c>
      <c r="CV777" s="1342"/>
      <c r="CW777" s="1342"/>
      <c r="CX777" s="1342"/>
      <c r="CY777" s="1343"/>
      <c r="CZ777" s="1341">
        <f>SUM(CZ773:DD776)</f>
        <v>0</v>
      </c>
      <c r="DA777" s="1342"/>
      <c r="DB777" s="1342"/>
      <c r="DC777" s="1342"/>
      <c r="DD777" s="1343"/>
      <c r="DE777" s="1341">
        <f>SUM(DE773:DI776)</f>
        <v>1</v>
      </c>
      <c r="DF777" s="1342"/>
      <c r="DG777" s="1342"/>
      <c r="DH777" s="1342"/>
      <c r="DI777" s="1343"/>
      <c r="DJ777" s="1341">
        <f>SUM(DJ773:DN776)</f>
        <v>0</v>
      </c>
      <c r="DK777" s="1342"/>
      <c r="DL777" s="1342"/>
      <c r="DM777" s="1342"/>
      <c r="DN777" s="1343"/>
      <c r="DO777" s="1341">
        <f>SUM(DO773:DS776)</f>
        <v>0</v>
      </c>
      <c r="DP777" s="1342"/>
      <c r="DQ777" s="1342"/>
      <c r="DR777" s="1342"/>
      <c r="DS777" s="1343"/>
      <c r="DU777" s="861">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1862</v>
      </c>
    </row>
    <row r="779" spans="1:126" ht="12.95" customHeight="1">
      <c r="B779" s="56"/>
      <c r="C779" s="56"/>
      <c r="D779" s="56"/>
      <c r="E779" s="56"/>
      <c r="F779" s="56"/>
      <c r="G779" s="6"/>
      <c r="H779" s="6"/>
      <c r="I779" s="6"/>
      <c r="J779" s="1403" t="s">
        <v>670</v>
      </c>
      <c r="K779" s="1403"/>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9" t="s">
        <v>389</v>
      </c>
      <c r="K783" s="1500"/>
      <c r="L783" s="1500"/>
      <c r="M783" s="1500"/>
      <c r="N783" s="1501"/>
      <c r="O783" s="1594" t="s">
        <v>285</v>
      </c>
      <c r="P783" s="1594"/>
      <c r="Q783" s="1594"/>
      <c r="R783" s="1594"/>
      <c r="S783" s="1594"/>
      <c r="T783" s="1486" t="s">
        <v>1680</v>
      </c>
      <c r="U783" s="1487"/>
      <c r="V783" s="1487"/>
      <c r="W783" s="1488"/>
      <c r="X783" s="1499" t="s">
        <v>448</v>
      </c>
      <c r="Y783" s="1500"/>
      <c r="Z783" s="1500"/>
      <c r="AA783" s="1500"/>
      <c r="AB783" s="1501"/>
      <c r="AC783" s="1499" t="s">
        <v>286</v>
      </c>
      <c r="AD783" s="1500"/>
      <c r="AE783" s="1500"/>
      <c r="AF783" s="1500"/>
      <c r="AG783" s="150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502"/>
      <c r="K784" s="1503"/>
      <c r="L784" s="1503"/>
      <c r="M784" s="1503"/>
      <c r="N784" s="1504"/>
      <c r="O784" s="1594"/>
      <c r="P784" s="1594"/>
      <c r="Q784" s="1594"/>
      <c r="R784" s="1594"/>
      <c r="S784" s="1594"/>
      <c r="T784" s="1489"/>
      <c r="U784" s="1490"/>
      <c r="V784" s="1490"/>
      <c r="W784" s="1491"/>
      <c r="X784" s="1502"/>
      <c r="Y784" s="1503"/>
      <c r="Z784" s="1503"/>
      <c r="AA784" s="1503"/>
      <c r="AB784" s="1504"/>
      <c r="AC784" s="1502"/>
      <c r="AD784" s="1503"/>
      <c r="AE784" s="1503"/>
      <c r="AF784" s="1503"/>
      <c r="AG784" s="150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502"/>
      <c r="K785" s="1503"/>
      <c r="L785" s="1503"/>
      <c r="M785" s="1503"/>
      <c r="N785" s="1504"/>
      <c r="O785" s="1594"/>
      <c r="P785" s="1594"/>
      <c r="Q785" s="1594"/>
      <c r="R785" s="1594"/>
      <c r="S785" s="1594"/>
      <c r="T785" s="1489"/>
      <c r="U785" s="1490"/>
      <c r="V785" s="1490"/>
      <c r="W785" s="1491"/>
      <c r="X785" s="1502"/>
      <c r="Y785" s="1503"/>
      <c r="Z785" s="1503"/>
      <c r="AA785" s="1503"/>
      <c r="AB785" s="1504"/>
      <c r="AC785" s="1502"/>
      <c r="AD785" s="1503"/>
      <c r="AE785" s="1503"/>
      <c r="AF785" s="1503"/>
      <c r="AG785" s="150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5"/>
      <c r="K786" s="1506"/>
      <c r="L786" s="1506"/>
      <c r="M786" s="1506"/>
      <c r="N786" s="1507"/>
      <c r="O786" s="1594"/>
      <c r="P786" s="1594"/>
      <c r="Q786" s="1594"/>
      <c r="R786" s="1594"/>
      <c r="S786" s="1594"/>
      <c r="T786" s="1603"/>
      <c r="U786" s="1604"/>
      <c r="V786" s="1604"/>
      <c r="W786" s="1605"/>
      <c r="X786" s="1505"/>
      <c r="Y786" s="1506"/>
      <c r="Z786" s="1506"/>
      <c r="AA786" s="1506"/>
      <c r="AB786" s="1507"/>
      <c r="AC786" s="1505"/>
      <c r="AD786" s="1506"/>
      <c r="AE786" s="1506"/>
      <c r="AF786" s="1506"/>
      <c r="AG786" s="150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404"/>
      <c r="K787" s="1405"/>
      <c r="L787" s="1405"/>
      <c r="M787" s="1405"/>
      <c r="N787" s="1406"/>
      <c r="O787" s="1585"/>
      <c r="P787" s="1585"/>
      <c r="Q787" s="1585"/>
      <c r="R787" s="1585"/>
      <c r="S787" s="1585"/>
      <c r="T787" s="1597"/>
      <c r="U787" s="1598"/>
      <c r="V787" s="1598"/>
      <c r="W787" s="1599"/>
      <c r="X787" s="1379"/>
      <c r="Y787" s="1380"/>
      <c r="Z787" s="1380"/>
      <c r="AA787" s="1380"/>
      <c r="AB787" s="1381"/>
      <c r="AC787" s="1382">
        <f t="shared" ref="AC787:AC796" si="41">X787*O787</f>
        <v>0</v>
      </c>
      <c r="AD787" s="1383"/>
      <c r="AE787" s="1383"/>
      <c r="AF787" s="1383"/>
      <c r="AG787" s="138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5">
        <f t="shared" ref="CP787:CP796" si="42">IF(J787="SRO/Studio",O787,0)</f>
        <v>0</v>
      </c>
      <c r="CQ787" s="1336"/>
      <c r="CR787" s="1336"/>
      <c r="CS787" s="1336"/>
      <c r="CT787" s="1337"/>
      <c r="CU787" s="1335">
        <f t="shared" ref="CU787:CU796" si="43">IF(J787="1 Bedroom",O787,0)</f>
        <v>0</v>
      </c>
      <c r="CV787" s="1336"/>
      <c r="CW787" s="1336"/>
      <c r="CX787" s="1336"/>
      <c r="CY787" s="1337"/>
      <c r="CZ787" s="1335">
        <f t="shared" ref="CZ787:CZ796" si="44">IF(J787="2 Bedrooms",O787,0)</f>
        <v>0</v>
      </c>
      <c r="DA787" s="1336"/>
      <c r="DB787" s="1336"/>
      <c r="DC787" s="1336"/>
      <c r="DD787" s="1337"/>
      <c r="DE787" s="1335">
        <f t="shared" ref="DE787:DE796" si="45">IF(J787="3 Bedrooms",O787,0)</f>
        <v>0</v>
      </c>
      <c r="DF787" s="1336"/>
      <c r="DG787" s="1336"/>
      <c r="DH787" s="1336"/>
      <c r="DI787" s="1337"/>
      <c r="DJ787" s="1335">
        <f t="shared" ref="DJ787:DJ796" si="46">IF(J787="4 Bedrooms",O787,0)</f>
        <v>0</v>
      </c>
      <c r="DK787" s="1336"/>
      <c r="DL787" s="1336"/>
      <c r="DM787" s="1336"/>
      <c r="DN787" s="1337"/>
      <c r="DO787" s="1335">
        <f t="shared" ref="DO787:DO796" si="47">IF(J787="5 Bedrooms",O787,0)</f>
        <v>0</v>
      </c>
      <c r="DP787" s="1336"/>
      <c r="DQ787" s="1336"/>
      <c r="DR787" s="1336"/>
      <c r="DS787" s="1337"/>
      <c r="DT787" s="6"/>
      <c r="DU787" s="1335">
        <f t="shared" ref="DU787:DU796" si="48">IF(AND(CP787&gt;=1,AH787&gt;=0.1,AH787&lt;=1),O787,0)</f>
        <v>0</v>
      </c>
      <c r="DV787" s="1336"/>
      <c r="DW787" s="1336"/>
      <c r="DX787" s="1336"/>
      <c r="DY787" s="1337"/>
      <c r="DZ787" s="1335">
        <f t="shared" ref="DZ787:DZ796" si="49">IF(AND(CU787&gt;=1,AH787&gt;=0.1,AH787&lt;=1),O787,0)</f>
        <v>0</v>
      </c>
      <c r="EA787" s="1336"/>
      <c r="EB787" s="1336"/>
      <c r="EC787" s="1336"/>
      <c r="ED787" s="1337"/>
      <c r="EE787" s="1335">
        <f t="shared" ref="EE787:EE796" si="50">IF(AND(CZ787&gt;=1,AH787&gt;=0.1,AH787&lt;=1),O787,0)</f>
        <v>0</v>
      </c>
      <c r="EF787" s="1336"/>
      <c r="EG787" s="1336"/>
      <c r="EH787" s="1336"/>
      <c r="EI787" s="1337"/>
      <c r="EJ787" s="1335">
        <f t="shared" ref="EJ787:EJ796" si="51">IF(AND(DE787&gt;=1,AH787&gt;=0.1,AH787&lt;=1),O787,0)</f>
        <v>0</v>
      </c>
      <c r="EK787" s="1336"/>
      <c r="EL787" s="1336"/>
      <c r="EM787" s="1336"/>
      <c r="EN787" s="1337"/>
      <c r="EO787" s="1335">
        <f t="shared" ref="EO787:EO796" si="52">IF(AND(DJ787&gt;=1,AH787&gt;=0.1,AH787&lt;=1),O787,0)</f>
        <v>0</v>
      </c>
      <c r="EP787" s="1336"/>
      <c r="EQ787" s="1336"/>
      <c r="ER787" s="1336"/>
      <c r="ES787" s="1337"/>
      <c r="ET787" s="1335">
        <f t="shared" ref="ET787:ET796" si="53">IF(AND(DO787&gt;=1,AH787&gt;=0.1,AH787&lt;=1),O787,0)</f>
        <v>0</v>
      </c>
      <c r="EU787" s="1336"/>
      <c r="EV787" s="1336"/>
      <c r="EW787" s="1336"/>
      <c r="EX787" s="1337"/>
    </row>
    <row r="788" spans="1:154" s="14" customFormat="1" ht="12.95" customHeight="1">
      <c r="A788"/>
      <c r="B788"/>
      <c r="C788"/>
      <c r="D788"/>
      <c r="E788"/>
      <c r="F788"/>
      <c r="G788"/>
      <c r="H788"/>
      <c r="I788"/>
      <c r="J788" s="1404"/>
      <c r="K788" s="1405"/>
      <c r="L788" s="1405"/>
      <c r="M788" s="1405"/>
      <c r="N788" s="1406"/>
      <c r="O788" s="1585"/>
      <c r="P788" s="1585"/>
      <c r="Q788" s="1585"/>
      <c r="R788" s="1585"/>
      <c r="S788" s="1585"/>
      <c r="T788" s="1597"/>
      <c r="U788" s="1598"/>
      <c r="V788" s="1598"/>
      <c r="W788" s="1599"/>
      <c r="X788" s="1379"/>
      <c r="Y788" s="1380"/>
      <c r="Z788" s="1380"/>
      <c r="AA788" s="1380"/>
      <c r="AB788" s="1381"/>
      <c r="AC788" s="1382">
        <f t="shared" si="41"/>
        <v>0</v>
      </c>
      <c r="AD788" s="1383"/>
      <c r="AE788" s="1383"/>
      <c r="AF788" s="1383"/>
      <c r="AG788" s="138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5">
        <f t="shared" si="42"/>
        <v>0</v>
      </c>
      <c r="CQ788" s="1336"/>
      <c r="CR788" s="1336"/>
      <c r="CS788" s="1336"/>
      <c r="CT788" s="1337"/>
      <c r="CU788" s="1335">
        <f t="shared" si="43"/>
        <v>0</v>
      </c>
      <c r="CV788" s="1336"/>
      <c r="CW788" s="1336"/>
      <c r="CX788" s="1336"/>
      <c r="CY788" s="1337"/>
      <c r="CZ788" s="1335">
        <f t="shared" si="44"/>
        <v>0</v>
      </c>
      <c r="DA788" s="1336"/>
      <c r="DB788" s="1336"/>
      <c r="DC788" s="1336"/>
      <c r="DD788" s="1337"/>
      <c r="DE788" s="1335">
        <f t="shared" si="45"/>
        <v>0</v>
      </c>
      <c r="DF788" s="1336"/>
      <c r="DG788" s="1336"/>
      <c r="DH788" s="1336"/>
      <c r="DI788" s="1337"/>
      <c r="DJ788" s="1335">
        <f t="shared" si="46"/>
        <v>0</v>
      </c>
      <c r="DK788" s="1336"/>
      <c r="DL788" s="1336"/>
      <c r="DM788" s="1336"/>
      <c r="DN788" s="1337"/>
      <c r="DO788" s="1335">
        <f t="shared" si="47"/>
        <v>0</v>
      </c>
      <c r="DP788" s="1336"/>
      <c r="DQ788" s="1336"/>
      <c r="DR788" s="1336"/>
      <c r="DS788" s="1337"/>
      <c r="DT788" s="6"/>
      <c r="DU788" s="1335">
        <f t="shared" si="48"/>
        <v>0</v>
      </c>
      <c r="DV788" s="1336"/>
      <c r="DW788" s="1336"/>
      <c r="DX788" s="1336"/>
      <c r="DY788" s="1337"/>
      <c r="DZ788" s="1335">
        <f t="shared" si="49"/>
        <v>0</v>
      </c>
      <c r="EA788" s="1336"/>
      <c r="EB788" s="1336"/>
      <c r="EC788" s="1336"/>
      <c r="ED788" s="1337"/>
      <c r="EE788" s="1335">
        <f t="shared" si="50"/>
        <v>0</v>
      </c>
      <c r="EF788" s="1336"/>
      <c r="EG788" s="1336"/>
      <c r="EH788" s="1336"/>
      <c r="EI788" s="1337"/>
      <c r="EJ788" s="1335">
        <f t="shared" si="51"/>
        <v>0</v>
      </c>
      <c r="EK788" s="1336"/>
      <c r="EL788" s="1336"/>
      <c r="EM788" s="1336"/>
      <c r="EN788" s="1337"/>
      <c r="EO788" s="1335">
        <f t="shared" si="52"/>
        <v>0</v>
      </c>
      <c r="EP788" s="1336"/>
      <c r="EQ788" s="1336"/>
      <c r="ER788" s="1336"/>
      <c r="ES788" s="1337"/>
      <c r="ET788" s="1335">
        <f t="shared" si="53"/>
        <v>0</v>
      </c>
      <c r="EU788" s="1336"/>
      <c r="EV788" s="1336"/>
      <c r="EW788" s="1336"/>
      <c r="EX788" s="1337"/>
    </row>
    <row r="789" spans="1:154" s="14" customFormat="1" ht="12.95" customHeight="1">
      <c r="A789"/>
      <c r="B789"/>
      <c r="C789"/>
      <c r="D789"/>
      <c r="E789"/>
      <c r="F789"/>
      <c r="G789"/>
      <c r="H789"/>
      <c r="I789"/>
      <c r="J789" s="1404"/>
      <c r="K789" s="1405"/>
      <c r="L789" s="1405"/>
      <c r="M789" s="1405"/>
      <c r="N789" s="1406"/>
      <c r="O789" s="1585"/>
      <c r="P789" s="1585"/>
      <c r="Q789" s="1585"/>
      <c r="R789" s="1585"/>
      <c r="S789" s="1585"/>
      <c r="T789" s="1597"/>
      <c r="U789" s="1598"/>
      <c r="V789" s="1598"/>
      <c r="W789" s="1599"/>
      <c r="X789" s="1379"/>
      <c r="Y789" s="1380"/>
      <c r="Z789" s="1380"/>
      <c r="AA789" s="1380"/>
      <c r="AB789" s="1381"/>
      <c r="AC789" s="1382">
        <f t="shared" si="41"/>
        <v>0</v>
      </c>
      <c r="AD789" s="1383"/>
      <c r="AE789" s="1383"/>
      <c r="AF789" s="1383"/>
      <c r="AG789" s="138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5">
        <f t="shared" si="42"/>
        <v>0</v>
      </c>
      <c r="CQ789" s="1336"/>
      <c r="CR789" s="1336"/>
      <c r="CS789" s="1336"/>
      <c r="CT789" s="1337"/>
      <c r="CU789" s="1335">
        <f t="shared" si="43"/>
        <v>0</v>
      </c>
      <c r="CV789" s="1336"/>
      <c r="CW789" s="1336"/>
      <c r="CX789" s="1336"/>
      <c r="CY789" s="1337"/>
      <c r="CZ789" s="1335">
        <f t="shared" si="44"/>
        <v>0</v>
      </c>
      <c r="DA789" s="1336"/>
      <c r="DB789" s="1336"/>
      <c r="DC789" s="1336"/>
      <c r="DD789" s="1337"/>
      <c r="DE789" s="1335">
        <f t="shared" si="45"/>
        <v>0</v>
      </c>
      <c r="DF789" s="1336"/>
      <c r="DG789" s="1336"/>
      <c r="DH789" s="1336"/>
      <c r="DI789" s="1337"/>
      <c r="DJ789" s="1335">
        <f t="shared" si="46"/>
        <v>0</v>
      </c>
      <c r="DK789" s="1336"/>
      <c r="DL789" s="1336"/>
      <c r="DM789" s="1336"/>
      <c r="DN789" s="1337"/>
      <c r="DO789" s="1335">
        <f t="shared" si="47"/>
        <v>0</v>
      </c>
      <c r="DP789" s="1336"/>
      <c r="DQ789" s="1336"/>
      <c r="DR789" s="1336"/>
      <c r="DS789" s="1337"/>
      <c r="DT789" s="6"/>
      <c r="DU789" s="1335">
        <f t="shared" si="48"/>
        <v>0</v>
      </c>
      <c r="DV789" s="1336"/>
      <c r="DW789" s="1336"/>
      <c r="DX789" s="1336"/>
      <c r="DY789" s="1337"/>
      <c r="DZ789" s="1335">
        <f t="shared" si="49"/>
        <v>0</v>
      </c>
      <c r="EA789" s="1336"/>
      <c r="EB789" s="1336"/>
      <c r="EC789" s="1336"/>
      <c r="ED789" s="1337"/>
      <c r="EE789" s="1335">
        <f t="shared" si="50"/>
        <v>0</v>
      </c>
      <c r="EF789" s="1336"/>
      <c r="EG789" s="1336"/>
      <c r="EH789" s="1336"/>
      <c r="EI789" s="1337"/>
      <c r="EJ789" s="1335">
        <f t="shared" si="51"/>
        <v>0</v>
      </c>
      <c r="EK789" s="1336"/>
      <c r="EL789" s="1336"/>
      <c r="EM789" s="1336"/>
      <c r="EN789" s="1337"/>
      <c r="EO789" s="1335">
        <f t="shared" si="52"/>
        <v>0</v>
      </c>
      <c r="EP789" s="1336"/>
      <c r="EQ789" s="1336"/>
      <c r="ER789" s="1336"/>
      <c r="ES789" s="1337"/>
      <c r="ET789" s="1335">
        <f t="shared" si="53"/>
        <v>0</v>
      </c>
      <c r="EU789" s="1336"/>
      <c r="EV789" s="1336"/>
      <c r="EW789" s="1336"/>
      <c r="EX789" s="1337"/>
    </row>
    <row r="790" spans="1:154" s="14" customFormat="1" ht="12.95" customHeight="1">
      <c r="A790"/>
      <c r="B790"/>
      <c r="C790"/>
      <c r="D790"/>
      <c r="E790"/>
      <c r="F790"/>
      <c r="G790"/>
      <c r="H790"/>
      <c r="I790"/>
      <c r="J790" s="1404"/>
      <c r="K790" s="1405"/>
      <c r="L790" s="1405"/>
      <c r="M790" s="1405"/>
      <c r="N790" s="1406"/>
      <c r="O790" s="1585"/>
      <c r="P790" s="1585"/>
      <c r="Q790" s="1585"/>
      <c r="R790" s="1585"/>
      <c r="S790" s="1585"/>
      <c r="T790" s="1597"/>
      <c r="U790" s="1598"/>
      <c r="V790" s="1598"/>
      <c r="W790" s="1599"/>
      <c r="X790" s="1379"/>
      <c r="Y790" s="1380"/>
      <c r="Z790" s="1380"/>
      <c r="AA790" s="1380"/>
      <c r="AB790" s="1381"/>
      <c r="AC790" s="1382">
        <f t="shared" si="41"/>
        <v>0</v>
      </c>
      <c r="AD790" s="1383"/>
      <c r="AE790" s="1383"/>
      <c r="AF790" s="1383"/>
      <c r="AG790" s="138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5">
        <f t="shared" si="42"/>
        <v>0</v>
      </c>
      <c r="CQ790" s="1336"/>
      <c r="CR790" s="1336"/>
      <c r="CS790" s="1336"/>
      <c r="CT790" s="1337"/>
      <c r="CU790" s="1335">
        <f t="shared" si="43"/>
        <v>0</v>
      </c>
      <c r="CV790" s="1336"/>
      <c r="CW790" s="1336"/>
      <c r="CX790" s="1336"/>
      <c r="CY790" s="1337"/>
      <c r="CZ790" s="1335">
        <f t="shared" si="44"/>
        <v>0</v>
      </c>
      <c r="DA790" s="1336"/>
      <c r="DB790" s="1336"/>
      <c r="DC790" s="1336"/>
      <c r="DD790" s="1337"/>
      <c r="DE790" s="1335">
        <f t="shared" si="45"/>
        <v>0</v>
      </c>
      <c r="DF790" s="1336"/>
      <c r="DG790" s="1336"/>
      <c r="DH790" s="1336"/>
      <c r="DI790" s="1337"/>
      <c r="DJ790" s="1335">
        <f t="shared" si="46"/>
        <v>0</v>
      </c>
      <c r="DK790" s="1336"/>
      <c r="DL790" s="1336"/>
      <c r="DM790" s="1336"/>
      <c r="DN790" s="1337"/>
      <c r="DO790" s="1335">
        <f t="shared" si="47"/>
        <v>0</v>
      </c>
      <c r="DP790" s="1336"/>
      <c r="DQ790" s="1336"/>
      <c r="DR790" s="1336"/>
      <c r="DS790" s="1337"/>
      <c r="DT790" s="6"/>
      <c r="DU790" s="1335">
        <f t="shared" si="48"/>
        <v>0</v>
      </c>
      <c r="DV790" s="1336"/>
      <c r="DW790" s="1336"/>
      <c r="DX790" s="1336"/>
      <c r="DY790" s="1337"/>
      <c r="DZ790" s="1335">
        <f t="shared" si="49"/>
        <v>0</v>
      </c>
      <c r="EA790" s="1336"/>
      <c r="EB790" s="1336"/>
      <c r="EC790" s="1336"/>
      <c r="ED790" s="1337"/>
      <c r="EE790" s="1335">
        <f t="shared" si="50"/>
        <v>0</v>
      </c>
      <c r="EF790" s="1336"/>
      <c r="EG790" s="1336"/>
      <c r="EH790" s="1336"/>
      <c r="EI790" s="1337"/>
      <c r="EJ790" s="1335">
        <f t="shared" si="51"/>
        <v>0</v>
      </c>
      <c r="EK790" s="1336"/>
      <c r="EL790" s="1336"/>
      <c r="EM790" s="1336"/>
      <c r="EN790" s="1337"/>
      <c r="EO790" s="1335">
        <f t="shared" si="52"/>
        <v>0</v>
      </c>
      <c r="EP790" s="1336"/>
      <c r="EQ790" s="1336"/>
      <c r="ER790" s="1336"/>
      <c r="ES790" s="1337"/>
      <c r="ET790" s="1335">
        <f t="shared" si="53"/>
        <v>0</v>
      </c>
      <c r="EU790" s="1336"/>
      <c r="EV790" s="1336"/>
      <c r="EW790" s="1336"/>
      <c r="EX790" s="1337"/>
    </row>
    <row r="791" spans="1:154" s="14" customFormat="1" ht="12.95" customHeight="1">
      <c r="A791"/>
      <c r="B791"/>
      <c r="C791"/>
      <c r="D791"/>
      <c r="E791"/>
      <c r="F791"/>
      <c r="G791"/>
      <c r="H791"/>
      <c r="I791"/>
      <c r="J791" s="1404"/>
      <c r="K791" s="1405"/>
      <c r="L791" s="1405"/>
      <c r="M791" s="1405"/>
      <c r="N791" s="1406"/>
      <c r="O791" s="1585"/>
      <c r="P791" s="1585"/>
      <c r="Q791" s="1585"/>
      <c r="R791" s="1585"/>
      <c r="S791" s="1585"/>
      <c r="T791" s="1597"/>
      <c r="U791" s="1598"/>
      <c r="V791" s="1598"/>
      <c r="W791" s="1599"/>
      <c r="X791" s="1379"/>
      <c r="Y791" s="1380"/>
      <c r="Z791" s="1380"/>
      <c r="AA791" s="1380"/>
      <c r="AB791" s="1381"/>
      <c r="AC791" s="1382">
        <f t="shared" si="41"/>
        <v>0</v>
      </c>
      <c r="AD791" s="1383"/>
      <c r="AE791" s="1383"/>
      <c r="AF791" s="1383"/>
      <c r="AG791" s="138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5">
        <f t="shared" si="42"/>
        <v>0</v>
      </c>
      <c r="CQ791" s="1336"/>
      <c r="CR791" s="1336"/>
      <c r="CS791" s="1336"/>
      <c r="CT791" s="1337"/>
      <c r="CU791" s="1335">
        <f t="shared" si="43"/>
        <v>0</v>
      </c>
      <c r="CV791" s="1336"/>
      <c r="CW791" s="1336"/>
      <c r="CX791" s="1336"/>
      <c r="CY791" s="1337"/>
      <c r="CZ791" s="1335">
        <f t="shared" si="44"/>
        <v>0</v>
      </c>
      <c r="DA791" s="1336"/>
      <c r="DB791" s="1336"/>
      <c r="DC791" s="1336"/>
      <c r="DD791" s="1337"/>
      <c r="DE791" s="1335">
        <f t="shared" si="45"/>
        <v>0</v>
      </c>
      <c r="DF791" s="1336"/>
      <c r="DG791" s="1336"/>
      <c r="DH791" s="1336"/>
      <c r="DI791" s="1337"/>
      <c r="DJ791" s="1335">
        <f t="shared" si="46"/>
        <v>0</v>
      </c>
      <c r="DK791" s="1336"/>
      <c r="DL791" s="1336"/>
      <c r="DM791" s="1336"/>
      <c r="DN791" s="1337"/>
      <c r="DO791" s="1335">
        <f t="shared" si="47"/>
        <v>0</v>
      </c>
      <c r="DP791" s="1336"/>
      <c r="DQ791" s="1336"/>
      <c r="DR791" s="1336"/>
      <c r="DS791" s="1337"/>
      <c r="DT791" s="6"/>
      <c r="DU791" s="1335">
        <f t="shared" si="48"/>
        <v>0</v>
      </c>
      <c r="DV791" s="1336"/>
      <c r="DW791" s="1336"/>
      <c r="DX791" s="1336"/>
      <c r="DY791" s="1337"/>
      <c r="DZ791" s="1335">
        <f t="shared" si="49"/>
        <v>0</v>
      </c>
      <c r="EA791" s="1336"/>
      <c r="EB791" s="1336"/>
      <c r="EC791" s="1336"/>
      <c r="ED791" s="1337"/>
      <c r="EE791" s="1335">
        <f t="shared" si="50"/>
        <v>0</v>
      </c>
      <c r="EF791" s="1336"/>
      <c r="EG791" s="1336"/>
      <c r="EH791" s="1336"/>
      <c r="EI791" s="1337"/>
      <c r="EJ791" s="1335">
        <f t="shared" si="51"/>
        <v>0</v>
      </c>
      <c r="EK791" s="1336"/>
      <c r="EL791" s="1336"/>
      <c r="EM791" s="1336"/>
      <c r="EN791" s="1337"/>
      <c r="EO791" s="1335">
        <f t="shared" si="52"/>
        <v>0</v>
      </c>
      <c r="EP791" s="1336"/>
      <c r="EQ791" s="1336"/>
      <c r="ER791" s="1336"/>
      <c r="ES791" s="1337"/>
      <c r="ET791" s="1335">
        <f t="shared" si="53"/>
        <v>0</v>
      </c>
      <c r="EU791" s="1336"/>
      <c r="EV791" s="1336"/>
      <c r="EW791" s="1336"/>
      <c r="EX791" s="1337"/>
    </row>
    <row r="792" spans="1:154" s="14" customFormat="1" ht="12.95" customHeight="1">
      <c r="A792"/>
      <c r="B792"/>
      <c r="C792"/>
      <c r="D792"/>
      <c r="E792"/>
      <c r="F792"/>
      <c r="G792"/>
      <c r="H792"/>
      <c r="I792"/>
      <c r="J792" s="1404"/>
      <c r="K792" s="1405"/>
      <c r="L792" s="1405"/>
      <c r="M792" s="1405"/>
      <c r="N792" s="1406"/>
      <c r="O792" s="1585"/>
      <c r="P792" s="1585"/>
      <c r="Q792" s="1585"/>
      <c r="R792" s="1585"/>
      <c r="S792" s="1585"/>
      <c r="T792" s="1597"/>
      <c r="U792" s="1598"/>
      <c r="V792" s="1598"/>
      <c r="W792" s="1599"/>
      <c r="X792" s="1379"/>
      <c r="Y792" s="1380"/>
      <c r="Z792" s="1380"/>
      <c r="AA792" s="1380"/>
      <c r="AB792" s="1381"/>
      <c r="AC792" s="1382">
        <f t="shared" si="41"/>
        <v>0</v>
      </c>
      <c r="AD792" s="1383"/>
      <c r="AE792" s="1383"/>
      <c r="AF792" s="1383"/>
      <c r="AG792" s="138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5">
        <f t="shared" si="42"/>
        <v>0</v>
      </c>
      <c r="CQ792" s="1336"/>
      <c r="CR792" s="1336"/>
      <c r="CS792" s="1336"/>
      <c r="CT792" s="1337"/>
      <c r="CU792" s="1335">
        <f t="shared" si="43"/>
        <v>0</v>
      </c>
      <c r="CV792" s="1336"/>
      <c r="CW792" s="1336"/>
      <c r="CX792" s="1336"/>
      <c r="CY792" s="1337"/>
      <c r="CZ792" s="1335">
        <f t="shared" si="44"/>
        <v>0</v>
      </c>
      <c r="DA792" s="1336"/>
      <c r="DB792" s="1336"/>
      <c r="DC792" s="1336"/>
      <c r="DD792" s="1337"/>
      <c r="DE792" s="1335">
        <f t="shared" si="45"/>
        <v>0</v>
      </c>
      <c r="DF792" s="1336"/>
      <c r="DG792" s="1336"/>
      <c r="DH792" s="1336"/>
      <c r="DI792" s="1337"/>
      <c r="DJ792" s="1335">
        <f t="shared" si="46"/>
        <v>0</v>
      </c>
      <c r="DK792" s="1336"/>
      <c r="DL792" s="1336"/>
      <c r="DM792" s="1336"/>
      <c r="DN792" s="1337"/>
      <c r="DO792" s="1335">
        <f t="shared" si="47"/>
        <v>0</v>
      </c>
      <c r="DP792" s="1336"/>
      <c r="DQ792" s="1336"/>
      <c r="DR792" s="1336"/>
      <c r="DS792" s="1337"/>
      <c r="DT792" s="6"/>
      <c r="DU792" s="1335">
        <f t="shared" si="48"/>
        <v>0</v>
      </c>
      <c r="DV792" s="1336"/>
      <c r="DW792" s="1336"/>
      <c r="DX792" s="1336"/>
      <c r="DY792" s="1337"/>
      <c r="DZ792" s="1335">
        <f t="shared" si="49"/>
        <v>0</v>
      </c>
      <c r="EA792" s="1336"/>
      <c r="EB792" s="1336"/>
      <c r="EC792" s="1336"/>
      <c r="ED792" s="1337"/>
      <c r="EE792" s="1335">
        <f t="shared" si="50"/>
        <v>0</v>
      </c>
      <c r="EF792" s="1336"/>
      <c r="EG792" s="1336"/>
      <c r="EH792" s="1336"/>
      <c r="EI792" s="1337"/>
      <c r="EJ792" s="1335">
        <f t="shared" si="51"/>
        <v>0</v>
      </c>
      <c r="EK792" s="1336"/>
      <c r="EL792" s="1336"/>
      <c r="EM792" s="1336"/>
      <c r="EN792" s="1337"/>
      <c r="EO792" s="1335">
        <f t="shared" si="52"/>
        <v>0</v>
      </c>
      <c r="EP792" s="1336"/>
      <c r="EQ792" s="1336"/>
      <c r="ER792" s="1336"/>
      <c r="ES792" s="1337"/>
      <c r="ET792" s="1335">
        <f t="shared" si="53"/>
        <v>0</v>
      </c>
      <c r="EU792" s="1336"/>
      <c r="EV792" s="1336"/>
      <c r="EW792" s="1336"/>
      <c r="EX792" s="1337"/>
    </row>
    <row r="793" spans="1:154" s="14" customFormat="1" ht="12.95" customHeight="1">
      <c r="A793"/>
      <c r="B793"/>
      <c r="C793"/>
      <c r="D793"/>
      <c r="E793"/>
      <c r="F793"/>
      <c r="G793"/>
      <c r="H793"/>
      <c r="I793"/>
      <c r="J793" s="1404"/>
      <c r="K793" s="1405"/>
      <c r="L793" s="1405"/>
      <c r="M793" s="1405"/>
      <c r="N793" s="1406"/>
      <c r="O793" s="1585"/>
      <c r="P793" s="1585"/>
      <c r="Q793" s="1585"/>
      <c r="R793" s="1585"/>
      <c r="S793" s="1585"/>
      <c r="T793" s="1597"/>
      <c r="U793" s="1598"/>
      <c r="V793" s="1598"/>
      <c r="W793" s="1599"/>
      <c r="X793" s="1379"/>
      <c r="Y793" s="1380"/>
      <c r="Z793" s="1380"/>
      <c r="AA793" s="1380"/>
      <c r="AB793" s="1381"/>
      <c r="AC793" s="1382">
        <f t="shared" si="41"/>
        <v>0</v>
      </c>
      <c r="AD793" s="1383"/>
      <c r="AE793" s="1383"/>
      <c r="AF793" s="1383"/>
      <c r="AG793" s="138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5">
        <f t="shared" si="42"/>
        <v>0</v>
      </c>
      <c r="CQ793" s="1336"/>
      <c r="CR793" s="1336"/>
      <c r="CS793" s="1336"/>
      <c r="CT793" s="1337"/>
      <c r="CU793" s="1335">
        <f t="shared" si="43"/>
        <v>0</v>
      </c>
      <c r="CV793" s="1336"/>
      <c r="CW793" s="1336"/>
      <c r="CX793" s="1336"/>
      <c r="CY793" s="1337"/>
      <c r="CZ793" s="1335">
        <f t="shared" si="44"/>
        <v>0</v>
      </c>
      <c r="DA793" s="1336"/>
      <c r="DB793" s="1336"/>
      <c r="DC793" s="1336"/>
      <c r="DD793" s="1337"/>
      <c r="DE793" s="1335">
        <f t="shared" si="45"/>
        <v>0</v>
      </c>
      <c r="DF793" s="1336"/>
      <c r="DG793" s="1336"/>
      <c r="DH793" s="1336"/>
      <c r="DI793" s="1337"/>
      <c r="DJ793" s="1335">
        <f t="shared" si="46"/>
        <v>0</v>
      </c>
      <c r="DK793" s="1336"/>
      <c r="DL793" s="1336"/>
      <c r="DM793" s="1336"/>
      <c r="DN793" s="1337"/>
      <c r="DO793" s="1335">
        <f t="shared" si="47"/>
        <v>0</v>
      </c>
      <c r="DP793" s="1336"/>
      <c r="DQ793" s="1336"/>
      <c r="DR793" s="1336"/>
      <c r="DS793" s="1337"/>
      <c r="DT793" s="6"/>
      <c r="DU793" s="1335">
        <f t="shared" si="48"/>
        <v>0</v>
      </c>
      <c r="DV793" s="1336"/>
      <c r="DW793" s="1336"/>
      <c r="DX793" s="1336"/>
      <c r="DY793" s="1337"/>
      <c r="DZ793" s="1335">
        <f t="shared" si="49"/>
        <v>0</v>
      </c>
      <c r="EA793" s="1336"/>
      <c r="EB793" s="1336"/>
      <c r="EC793" s="1336"/>
      <c r="ED793" s="1337"/>
      <c r="EE793" s="1335">
        <f t="shared" si="50"/>
        <v>0</v>
      </c>
      <c r="EF793" s="1336"/>
      <c r="EG793" s="1336"/>
      <c r="EH793" s="1336"/>
      <c r="EI793" s="1337"/>
      <c r="EJ793" s="1335">
        <f t="shared" si="51"/>
        <v>0</v>
      </c>
      <c r="EK793" s="1336"/>
      <c r="EL793" s="1336"/>
      <c r="EM793" s="1336"/>
      <c r="EN793" s="1337"/>
      <c r="EO793" s="1335">
        <f t="shared" si="52"/>
        <v>0</v>
      </c>
      <c r="EP793" s="1336"/>
      <c r="EQ793" s="1336"/>
      <c r="ER793" s="1336"/>
      <c r="ES793" s="1337"/>
      <c r="ET793" s="1335">
        <f t="shared" si="53"/>
        <v>0</v>
      </c>
      <c r="EU793" s="1336"/>
      <c r="EV793" s="1336"/>
      <c r="EW793" s="1336"/>
      <c r="EX793" s="1337"/>
    </row>
    <row r="794" spans="1:154" s="14" customFormat="1" ht="12.95" customHeight="1">
      <c r="A794"/>
      <c r="B794"/>
      <c r="C794"/>
      <c r="D794"/>
      <c r="E794"/>
      <c r="F794"/>
      <c r="G794"/>
      <c r="H794"/>
      <c r="I794"/>
      <c r="J794" s="1404"/>
      <c r="K794" s="1405"/>
      <c r="L794" s="1405"/>
      <c r="M794" s="1405"/>
      <c r="N794" s="1406"/>
      <c r="O794" s="1585"/>
      <c r="P794" s="1585"/>
      <c r="Q794" s="1585"/>
      <c r="R794" s="1585"/>
      <c r="S794" s="1585"/>
      <c r="T794" s="1597"/>
      <c r="U794" s="1598"/>
      <c r="V794" s="1598"/>
      <c r="W794" s="1599"/>
      <c r="X794" s="1379"/>
      <c r="Y794" s="1380"/>
      <c r="Z794" s="1380"/>
      <c r="AA794" s="1380"/>
      <c r="AB794" s="1381"/>
      <c r="AC794" s="1382">
        <f t="shared" si="41"/>
        <v>0</v>
      </c>
      <c r="AD794" s="1383"/>
      <c r="AE794" s="1383"/>
      <c r="AF794" s="1383"/>
      <c r="AG794" s="138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5">
        <f t="shared" si="42"/>
        <v>0</v>
      </c>
      <c r="CQ794" s="1336"/>
      <c r="CR794" s="1336"/>
      <c r="CS794" s="1336"/>
      <c r="CT794" s="1337"/>
      <c r="CU794" s="1335">
        <f t="shared" si="43"/>
        <v>0</v>
      </c>
      <c r="CV794" s="1336"/>
      <c r="CW794" s="1336"/>
      <c r="CX794" s="1336"/>
      <c r="CY794" s="1337"/>
      <c r="CZ794" s="1335">
        <f t="shared" si="44"/>
        <v>0</v>
      </c>
      <c r="DA794" s="1336"/>
      <c r="DB794" s="1336"/>
      <c r="DC794" s="1336"/>
      <c r="DD794" s="1337"/>
      <c r="DE794" s="1335">
        <f t="shared" si="45"/>
        <v>0</v>
      </c>
      <c r="DF794" s="1336"/>
      <c r="DG794" s="1336"/>
      <c r="DH794" s="1336"/>
      <c r="DI794" s="1337"/>
      <c r="DJ794" s="1335">
        <f t="shared" si="46"/>
        <v>0</v>
      </c>
      <c r="DK794" s="1336"/>
      <c r="DL794" s="1336"/>
      <c r="DM794" s="1336"/>
      <c r="DN794" s="1337"/>
      <c r="DO794" s="1335">
        <f t="shared" si="47"/>
        <v>0</v>
      </c>
      <c r="DP794" s="1336"/>
      <c r="DQ794" s="1336"/>
      <c r="DR794" s="1336"/>
      <c r="DS794" s="1337"/>
      <c r="DT794" s="6"/>
      <c r="DU794" s="1335">
        <f t="shared" si="48"/>
        <v>0</v>
      </c>
      <c r="DV794" s="1336"/>
      <c r="DW794" s="1336"/>
      <c r="DX794" s="1336"/>
      <c r="DY794" s="1337"/>
      <c r="DZ794" s="1335">
        <f t="shared" si="49"/>
        <v>0</v>
      </c>
      <c r="EA794" s="1336"/>
      <c r="EB794" s="1336"/>
      <c r="EC794" s="1336"/>
      <c r="ED794" s="1337"/>
      <c r="EE794" s="1335">
        <f t="shared" si="50"/>
        <v>0</v>
      </c>
      <c r="EF794" s="1336"/>
      <c r="EG794" s="1336"/>
      <c r="EH794" s="1336"/>
      <c r="EI794" s="1337"/>
      <c r="EJ794" s="1335">
        <f t="shared" si="51"/>
        <v>0</v>
      </c>
      <c r="EK794" s="1336"/>
      <c r="EL794" s="1336"/>
      <c r="EM794" s="1336"/>
      <c r="EN794" s="1337"/>
      <c r="EO794" s="1335">
        <f t="shared" si="52"/>
        <v>0</v>
      </c>
      <c r="EP794" s="1336"/>
      <c r="EQ794" s="1336"/>
      <c r="ER794" s="1336"/>
      <c r="ES794" s="1337"/>
      <c r="ET794" s="1335">
        <f t="shared" si="53"/>
        <v>0</v>
      </c>
      <c r="EU794" s="1336"/>
      <c r="EV794" s="1336"/>
      <c r="EW794" s="1336"/>
      <c r="EX794" s="1337"/>
    </row>
    <row r="795" spans="1:154" s="14" customFormat="1" ht="12.95" customHeight="1">
      <c r="A795"/>
      <c r="B795"/>
      <c r="C795"/>
      <c r="D795"/>
      <c r="E795"/>
      <c r="F795"/>
      <c r="G795"/>
      <c r="H795"/>
      <c r="I795"/>
      <c r="J795" s="1404"/>
      <c r="K795" s="1405"/>
      <c r="L795" s="1405"/>
      <c r="M795" s="1405"/>
      <c r="N795" s="1406"/>
      <c r="O795" s="1585"/>
      <c r="P795" s="1585"/>
      <c r="Q795" s="1585"/>
      <c r="R795" s="1585"/>
      <c r="S795" s="1585"/>
      <c r="T795" s="1597"/>
      <c r="U795" s="1598"/>
      <c r="V795" s="1598"/>
      <c r="W795" s="1599"/>
      <c r="X795" s="1379"/>
      <c r="Y795" s="1380"/>
      <c r="Z795" s="1380"/>
      <c r="AA795" s="1380"/>
      <c r="AB795" s="1381"/>
      <c r="AC795" s="1382">
        <f t="shared" si="41"/>
        <v>0</v>
      </c>
      <c r="AD795" s="1383"/>
      <c r="AE795" s="1383"/>
      <c r="AF795" s="1383"/>
      <c r="AG795" s="138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5">
        <f t="shared" si="42"/>
        <v>0</v>
      </c>
      <c r="CQ795" s="1336"/>
      <c r="CR795" s="1336"/>
      <c r="CS795" s="1336"/>
      <c r="CT795" s="1337"/>
      <c r="CU795" s="1335">
        <f t="shared" si="43"/>
        <v>0</v>
      </c>
      <c r="CV795" s="1336"/>
      <c r="CW795" s="1336"/>
      <c r="CX795" s="1336"/>
      <c r="CY795" s="1337"/>
      <c r="CZ795" s="1335">
        <f t="shared" si="44"/>
        <v>0</v>
      </c>
      <c r="DA795" s="1336"/>
      <c r="DB795" s="1336"/>
      <c r="DC795" s="1336"/>
      <c r="DD795" s="1337"/>
      <c r="DE795" s="1335">
        <f t="shared" si="45"/>
        <v>0</v>
      </c>
      <c r="DF795" s="1336"/>
      <c r="DG795" s="1336"/>
      <c r="DH795" s="1336"/>
      <c r="DI795" s="1337"/>
      <c r="DJ795" s="1335">
        <f t="shared" si="46"/>
        <v>0</v>
      </c>
      <c r="DK795" s="1336"/>
      <c r="DL795" s="1336"/>
      <c r="DM795" s="1336"/>
      <c r="DN795" s="1337"/>
      <c r="DO795" s="1335">
        <f t="shared" si="47"/>
        <v>0</v>
      </c>
      <c r="DP795" s="1336"/>
      <c r="DQ795" s="1336"/>
      <c r="DR795" s="1336"/>
      <c r="DS795" s="1337"/>
      <c r="DT795" s="6"/>
      <c r="DU795" s="1335">
        <f t="shared" si="48"/>
        <v>0</v>
      </c>
      <c r="DV795" s="1336"/>
      <c r="DW795" s="1336"/>
      <c r="DX795" s="1336"/>
      <c r="DY795" s="1337"/>
      <c r="DZ795" s="1335">
        <f t="shared" si="49"/>
        <v>0</v>
      </c>
      <c r="EA795" s="1336"/>
      <c r="EB795" s="1336"/>
      <c r="EC795" s="1336"/>
      <c r="ED795" s="1337"/>
      <c r="EE795" s="1335">
        <f t="shared" si="50"/>
        <v>0</v>
      </c>
      <c r="EF795" s="1336"/>
      <c r="EG795" s="1336"/>
      <c r="EH795" s="1336"/>
      <c r="EI795" s="1337"/>
      <c r="EJ795" s="1335">
        <f t="shared" si="51"/>
        <v>0</v>
      </c>
      <c r="EK795" s="1336"/>
      <c r="EL795" s="1336"/>
      <c r="EM795" s="1336"/>
      <c r="EN795" s="1337"/>
      <c r="EO795" s="1335">
        <f t="shared" si="52"/>
        <v>0</v>
      </c>
      <c r="EP795" s="1336"/>
      <c r="EQ795" s="1336"/>
      <c r="ER795" s="1336"/>
      <c r="ES795" s="1337"/>
      <c r="ET795" s="1335">
        <f t="shared" si="53"/>
        <v>0</v>
      </c>
      <c r="EU795" s="1336"/>
      <c r="EV795" s="1336"/>
      <c r="EW795" s="1336"/>
      <c r="EX795" s="1337"/>
    </row>
    <row r="796" spans="1:154" s="4" customFormat="1" ht="12.95" customHeight="1">
      <c r="A796"/>
      <c r="B796"/>
      <c r="C796"/>
      <c r="D796"/>
      <c r="E796"/>
      <c r="F796"/>
      <c r="G796"/>
      <c r="H796"/>
      <c r="I796"/>
      <c r="J796" s="1404"/>
      <c r="K796" s="1405"/>
      <c r="L796" s="1405"/>
      <c r="M796" s="1405"/>
      <c r="N796" s="1406"/>
      <c r="O796" s="1585"/>
      <c r="P796" s="1585"/>
      <c r="Q796" s="1585"/>
      <c r="R796" s="1585"/>
      <c r="S796" s="1585"/>
      <c r="T796" s="1597"/>
      <c r="U796" s="1598"/>
      <c r="V796" s="1598"/>
      <c r="W796" s="1599"/>
      <c r="X796" s="1379"/>
      <c r="Y796" s="1380"/>
      <c r="Z796" s="1380"/>
      <c r="AA796" s="1380"/>
      <c r="AB796" s="1381"/>
      <c r="AC796" s="1382">
        <f t="shared" si="41"/>
        <v>0</v>
      </c>
      <c r="AD796" s="1383"/>
      <c r="AE796" s="1383"/>
      <c r="AF796" s="1383"/>
      <c r="AG796" s="1384"/>
      <c r="AH796"/>
      <c r="AI796"/>
      <c r="AJ796"/>
      <c r="AK796"/>
      <c r="AL796"/>
      <c r="AM796"/>
      <c r="AN796"/>
      <c r="AO796"/>
      <c r="AP796"/>
      <c r="AQ796"/>
      <c r="AR796"/>
      <c r="AS796"/>
      <c r="AT796"/>
      <c r="AU796"/>
      <c r="AV796"/>
      <c r="AW796"/>
      <c r="AX796"/>
      <c r="AY796"/>
      <c r="AZ796" s="3"/>
      <c r="CP796" s="1335">
        <f t="shared" si="42"/>
        <v>0</v>
      </c>
      <c r="CQ796" s="1336"/>
      <c r="CR796" s="1336"/>
      <c r="CS796" s="1336"/>
      <c r="CT796" s="1337"/>
      <c r="CU796" s="1335">
        <f t="shared" si="43"/>
        <v>0</v>
      </c>
      <c r="CV796" s="1336"/>
      <c r="CW796" s="1336"/>
      <c r="CX796" s="1336"/>
      <c r="CY796" s="1337"/>
      <c r="CZ796" s="1335">
        <f t="shared" si="44"/>
        <v>0</v>
      </c>
      <c r="DA796" s="1336"/>
      <c r="DB796" s="1336"/>
      <c r="DC796" s="1336"/>
      <c r="DD796" s="1337"/>
      <c r="DE796" s="1335">
        <f t="shared" si="45"/>
        <v>0</v>
      </c>
      <c r="DF796" s="1336"/>
      <c r="DG796" s="1336"/>
      <c r="DH796" s="1336"/>
      <c r="DI796" s="1337"/>
      <c r="DJ796" s="1335">
        <f t="shared" si="46"/>
        <v>0</v>
      </c>
      <c r="DK796" s="1336"/>
      <c r="DL796" s="1336"/>
      <c r="DM796" s="1336"/>
      <c r="DN796" s="1337"/>
      <c r="DO796" s="1335">
        <f t="shared" si="47"/>
        <v>0</v>
      </c>
      <c r="DP796" s="1336"/>
      <c r="DQ796" s="1336"/>
      <c r="DR796" s="1336"/>
      <c r="DS796" s="1337"/>
      <c r="DT796" s="6"/>
      <c r="DU796" s="1335">
        <f t="shared" si="48"/>
        <v>0</v>
      </c>
      <c r="DV796" s="1336"/>
      <c r="DW796" s="1336"/>
      <c r="DX796" s="1336"/>
      <c r="DY796" s="1337"/>
      <c r="DZ796" s="1335">
        <f t="shared" si="49"/>
        <v>0</v>
      </c>
      <c r="EA796" s="1336"/>
      <c r="EB796" s="1336"/>
      <c r="EC796" s="1336"/>
      <c r="ED796" s="1337"/>
      <c r="EE796" s="1335">
        <f t="shared" si="50"/>
        <v>0</v>
      </c>
      <c r="EF796" s="1336"/>
      <c r="EG796" s="1336"/>
      <c r="EH796" s="1336"/>
      <c r="EI796" s="1337"/>
      <c r="EJ796" s="1335">
        <f t="shared" si="51"/>
        <v>0</v>
      </c>
      <c r="EK796" s="1336"/>
      <c r="EL796" s="1336"/>
      <c r="EM796" s="1336"/>
      <c r="EN796" s="1337"/>
      <c r="EO796" s="1335">
        <f t="shared" si="52"/>
        <v>0</v>
      </c>
      <c r="EP796" s="1336"/>
      <c r="EQ796" s="1336"/>
      <c r="ER796" s="1336"/>
      <c r="ES796" s="1337"/>
      <c r="ET796" s="1335">
        <f t="shared" si="53"/>
        <v>0</v>
      </c>
      <c r="EU796" s="1336"/>
      <c r="EV796" s="1336"/>
      <c r="EW796" s="1336"/>
      <c r="EX796" s="1337"/>
    </row>
    <row r="797" spans="1:154" s="4" customFormat="1" ht="12.95" customHeight="1">
      <c r="A797"/>
      <c r="B797"/>
      <c r="C797"/>
      <c r="D797"/>
      <c r="E797"/>
      <c r="F797"/>
      <c r="G797"/>
      <c r="H797"/>
      <c r="I797"/>
      <c r="J797" s="1472" t="s">
        <v>125</v>
      </c>
      <c r="K797" s="1473"/>
      <c r="L797" s="1473"/>
      <c r="M797" s="1473"/>
      <c r="N797" s="1475"/>
      <c r="O797" s="1621">
        <f>SUM(O787:S796)</f>
        <v>0</v>
      </c>
      <c r="P797" s="1621"/>
      <c r="Q797" s="1621"/>
      <c r="R797" s="1621"/>
      <c r="S797" s="1621"/>
      <c r="T797"/>
      <c r="U797"/>
      <c r="V797"/>
      <c r="W797"/>
      <c r="X797" s="902" t="s">
        <v>124</v>
      </c>
      <c r="Y797" s="11"/>
      <c r="Z797" s="11"/>
      <c r="AA797" s="11"/>
      <c r="AB797" s="909"/>
      <c r="AC797" s="1382">
        <f>SUM(AC787:AG796)</f>
        <v>0</v>
      </c>
      <c r="AD797" s="1383"/>
      <c r="AE797" s="1383"/>
      <c r="AF797" s="1383"/>
      <c r="AG797" s="1384"/>
      <c r="AH797"/>
      <c r="AI797"/>
      <c r="AJ797"/>
      <c r="AK797"/>
      <c r="AL797"/>
      <c r="AM797"/>
      <c r="AN797"/>
      <c r="AO797"/>
      <c r="AP797"/>
      <c r="AQ797"/>
      <c r="AR797"/>
      <c r="AS797"/>
      <c r="AT797"/>
      <c r="AU797"/>
      <c r="AV797"/>
      <c r="AW797"/>
      <c r="AX797"/>
      <c r="AY797"/>
      <c r="AZ797" s="3"/>
      <c r="BA797"/>
      <c r="CP797" s="1338">
        <f>SUM(CP787:CT796)</f>
        <v>0</v>
      </c>
      <c r="CQ797" s="1339"/>
      <c r="CR797" s="1339"/>
      <c r="CS797" s="1339"/>
      <c r="CT797" s="1340"/>
      <c r="CU797" s="1341">
        <f>SUM(CU787:CY796)</f>
        <v>0</v>
      </c>
      <c r="CV797" s="1342"/>
      <c r="CW797" s="1342"/>
      <c r="CX797" s="1342"/>
      <c r="CY797" s="1343"/>
      <c r="CZ797" s="1341">
        <f>SUM(CZ787:DD796)</f>
        <v>0</v>
      </c>
      <c r="DA797" s="1342"/>
      <c r="DB797" s="1342"/>
      <c r="DC797" s="1342"/>
      <c r="DD797" s="1343"/>
      <c r="DE797" s="1341">
        <f>SUM(DE787:DI796)</f>
        <v>0</v>
      </c>
      <c r="DF797" s="1342"/>
      <c r="DG797" s="1342"/>
      <c r="DH797" s="1342"/>
      <c r="DI797" s="1343"/>
      <c r="DJ797" s="1341">
        <f>SUM(DJ787:DN796)</f>
        <v>0</v>
      </c>
      <c r="DK797" s="1342"/>
      <c r="DL797" s="1342"/>
      <c r="DM797" s="1342"/>
      <c r="DN797" s="1343"/>
      <c r="DO797" s="1341">
        <f>SUM(DO787:DS796)</f>
        <v>0</v>
      </c>
      <c r="DP797" s="1342"/>
      <c r="DQ797" s="1342"/>
      <c r="DR797" s="1342"/>
      <c r="DS797" s="1343"/>
      <c r="DT797" s="1012"/>
      <c r="DU797" s="1338">
        <f>SUM(DU787:DY796)</f>
        <v>0</v>
      </c>
      <c r="DV797" s="1339"/>
      <c r="DW797" s="1339"/>
      <c r="DX797" s="1339"/>
      <c r="DY797" s="1340"/>
      <c r="DZ797" s="1338">
        <f>SUM(DZ787:ED796)</f>
        <v>0</v>
      </c>
      <c r="EA797" s="1339"/>
      <c r="EB797" s="1339"/>
      <c r="EC797" s="1339"/>
      <c r="ED797" s="1340"/>
      <c r="EE797" s="1338">
        <f>SUM(EE787:EI796)</f>
        <v>0</v>
      </c>
      <c r="EF797" s="1339"/>
      <c r="EG797" s="1339"/>
      <c r="EH797" s="1339"/>
      <c r="EI797" s="1340"/>
      <c r="EJ797" s="1338">
        <f>SUM(EJ787:EN796)</f>
        <v>0</v>
      </c>
      <c r="EK797" s="1339"/>
      <c r="EL797" s="1339"/>
      <c r="EM797" s="1339"/>
      <c r="EN797" s="1340"/>
      <c r="EO797" s="1338">
        <f>SUM(EO787:ES796)</f>
        <v>0</v>
      </c>
      <c r="EP797" s="1339"/>
      <c r="EQ797" s="1339"/>
      <c r="ER797" s="1339"/>
      <c r="ES797" s="1340"/>
      <c r="ET797" s="1338">
        <f>SUM(ET787:EX796)</f>
        <v>0</v>
      </c>
      <c r="EU797" s="1339"/>
      <c r="EV797" s="1339"/>
      <c r="EW797" s="1339"/>
      <c r="EX797" s="1340"/>
    </row>
    <row r="798" spans="1:154" s="4" customFormat="1" ht="12.95" customHeight="1">
      <c r="A798"/>
      <c r="B798"/>
      <c r="C798" s="1388" t="str">
        <f>IF(O797&lt;&gt;AG438,"! Total market rate units in the Unit Mix Table above does not match the number of  market rate units on row #"&amp;TEXT(ROW(D438),"#"),"")</f>
        <v/>
      </c>
      <c r="D798" s="1388"/>
      <c r="E798" s="1388"/>
      <c r="F798" s="1388"/>
      <c r="G798" s="1388"/>
      <c r="H798" s="1388"/>
      <c r="I798" s="1388"/>
      <c r="J798" s="1388"/>
      <c r="K798" s="1388"/>
      <c r="L798" s="1388"/>
      <c r="M798" s="1388"/>
      <c r="N798" s="1388"/>
      <c r="O798" s="1388"/>
      <c r="P798" s="1388"/>
      <c r="Q798" s="1388"/>
      <c r="R798" s="1388"/>
      <c r="S798" s="1388"/>
      <c r="T798" s="1388"/>
      <c r="U798" s="1388"/>
      <c r="V798" s="1388"/>
      <c r="W798" s="1388"/>
      <c r="X798" s="1388"/>
      <c r="Y798" s="1388"/>
      <c r="Z798" s="1388"/>
      <c r="AA798" s="1388"/>
      <c r="AB798" s="1388"/>
      <c r="AC798" s="1388"/>
      <c r="AD798" s="1388"/>
      <c r="AE798" s="1388"/>
      <c r="AF798" s="1388"/>
      <c r="AG798" s="1388"/>
      <c r="AH798" s="1388"/>
      <c r="AI798" s="1388"/>
      <c r="AJ798" s="1388"/>
      <c r="AK798" s="1388"/>
      <c r="AL798" s="1388"/>
      <c r="AM798" s="1388"/>
      <c r="AN798" s="1388"/>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88"/>
      <c r="D799" s="1388"/>
      <c r="E799" s="1388"/>
      <c r="F799" s="1388"/>
      <c r="G799" s="1388"/>
      <c r="H799" s="1388"/>
      <c r="I799" s="1388"/>
      <c r="J799" s="1388"/>
      <c r="K799" s="1388"/>
      <c r="L799" s="1388"/>
      <c r="M799" s="1388"/>
      <c r="N799" s="1388"/>
      <c r="O799" s="1388"/>
      <c r="P799" s="1388"/>
      <c r="Q799" s="1388"/>
      <c r="R799" s="1388"/>
      <c r="S799" s="1388"/>
      <c r="T799" s="1388"/>
      <c r="U799" s="1388"/>
      <c r="V799" s="1388"/>
      <c r="W799" s="1388"/>
      <c r="X799" s="1388"/>
      <c r="Y799" s="1388"/>
      <c r="Z799" s="1388"/>
      <c r="AA799" s="1388"/>
      <c r="AB799" s="1388"/>
      <c r="AC799" s="1388"/>
      <c r="AD799" s="1388"/>
      <c r="AE799" s="1388"/>
      <c r="AF799" s="1388"/>
      <c r="AG799" s="1388"/>
      <c r="AH799" s="1388"/>
      <c r="AI799" s="1388"/>
      <c r="AJ799" s="1388"/>
      <c r="AK799" s="1388"/>
      <c r="AL799" s="1388"/>
      <c r="AM799" s="1388"/>
      <c r="AN799" s="1388"/>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50">
        <f>SUM(DU797:EX797)</f>
        <v>0</v>
      </c>
      <c r="EU799" s="1351"/>
      <c r="EV799" s="1351"/>
      <c r="EW799" s="1351"/>
      <c r="EX799" s="1352"/>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93">
        <f>O753+AC777+AC797</f>
        <v>161198</v>
      </c>
      <c r="Z800" s="1593"/>
      <c r="AA800" s="1593"/>
      <c r="AB800" s="1593"/>
      <c r="AC800" s="159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3">
        <f>(O753+AC777+AC797)*12</f>
        <v>1934376</v>
      </c>
      <c r="Z801" s="1593"/>
      <c r="AA801" s="1593"/>
      <c r="AB801" s="1593"/>
      <c r="AC801" s="159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1">
        <f>CP753+CP777+CP797</f>
        <v>0</v>
      </c>
      <c r="CQ802" s="1342"/>
      <c r="CR802" s="1342"/>
      <c r="CS802" s="1342"/>
      <c r="CT802" s="1343"/>
      <c r="CU802" s="1341">
        <f>CU753+CU777+CU797</f>
        <v>40</v>
      </c>
      <c r="CV802" s="1342"/>
      <c r="CW802" s="1342"/>
      <c r="CX802" s="1342"/>
      <c r="CY802" s="1343"/>
      <c r="CZ802" s="1341">
        <f>CZ753+CZ777+CZ797</f>
        <v>54</v>
      </c>
      <c r="DA802" s="1342"/>
      <c r="DB802" s="1342"/>
      <c r="DC802" s="1342"/>
      <c r="DD802" s="1343"/>
      <c r="DE802" s="1341">
        <f>DE753+DE777+DE797</f>
        <v>36</v>
      </c>
      <c r="DF802" s="1342"/>
      <c r="DG802" s="1342"/>
      <c r="DH802" s="1342"/>
      <c r="DI802" s="1343"/>
      <c r="DJ802" s="1341">
        <f>DJ753+DJ777+DJ797</f>
        <v>12</v>
      </c>
      <c r="DK802" s="1342"/>
      <c r="DL802" s="1342"/>
      <c r="DM802" s="1342"/>
      <c r="DN802" s="1343"/>
      <c r="DO802" s="1353">
        <f>DO797+DO777+DO753</f>
        <v>0</v>
      </c>
      <c r="DP802" s="1354"/>
      <c r="DQ802" s="1354"/>
      <c r="DR802" s="1354"/>
      <c r="DS802" s="1355"/>
      <c r="DT802" s="3"/>
      <c r="DU802" s="861">
        <f>DU755+DU800</f>
        <v>301</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3">
        <v>141</v>
      </c>
      <c r="AA806" s="1601"/>
      <c r="AB806" s="1601"/>
      <c r="AC806" s="1601"/>
      <c r="AD806" s="1601"/>
      <c r="AE806" s="160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0">
        <v>20</v>
      </c>
      <c r="AA807" s="1601"/>
      <c r="AB807" s="1601"/>
      <c r="AC807" s="1601"/>
      <c r="AD807" s="1601"/>
      <c r="AE807" s="160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9">
        <v>53997</v>
      </c>
      <c r="AA808" s="1519"/>
      <c r="AB808" s="1519"/>
      <c r="AC808" s="1519"/>
      <c r="AD808" s="1519"/>
      <c r="AE808" s="162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65">
        <f>'Subsidy Contract Calculation'!J40</f>
        <v>1066104</v>
      </c>
      <c r="AA809" s="1466"/>
      <c r="AB809" s="1466"/>
      <c r="AC809" s="1466"/>
      <c r="AD809" s="1466"/>
      <c r="AE809" s="146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8">
        <v>0</v>
      </c>
      <c r="AA813" s="1356"/>
      <c r="AB813" s="1356"/>
      <c r="AC813" s="1356"/>
      <c r="AD813" s="1356"/>
      <c r="AE813" s="135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8">
        <v>0</v>
      </c>
      <c r="AA814" s="1356"/>
      <c r="AB814" s="1356"/>
      <c r="AC814" s="1356"/>
      <c r="AD814" s="1356"/>
      <c r="AE814" s="135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8">
        <v>0</v>
      </c>
      <c r="AA815" s="1356"/>
      <c r="AB815" s="1356"/>
      <c r="AC815" s="1356"/>
      <c r="AD815" s="1356"/>
      <c r="AE815" s="135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0" t="s">
        <v>334</v>
      </c>
      <c r="Q816" s="1641"/>
      <c r="R816" s="1641"/>
      <c r="S816" s="1641"/>
      <c r="T816" s="1641"/>
      <c r="U816" s="1641"/>
      <c r="V816" s="1641"/>
      <c r="W816" s="1641"/>
      <c r="X816" s="1641"/>
      <c r="Y816" s="1642"/>
      <c r="Z816" s="1468"/>
      <c r="AA816" s="1356"/>
      <c r="AB816" s="1356"/>
      <c r="AC816" s="1356"/>
      <c r="AD816" s="1356"/>
      <c r="AE816" s="135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65">
        <f>SUM(Z813:AE816)</f>
        <v>0</v>
      </c>
      <c r="AA817" s="1466"/>
      <c r="AB817" s="1466"/>
      <c r="AC817" s="1466"/>
      <c r="AD817" s="1466"/>
      <c r="AE817" s="146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65">
        <f>Z817+Y801+Z809</f>
        <v>3000480</v>
      </c>
      <c r="AA818" s="1466"/>
      <c r="AB818" s="1466"/>
      <c r="AC818" s="1466"/>
      <c r="AD818" s="1466"/>
      <c r="AE818" s="146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09" t="s">
        <v>126</v>
      </c>
      <c r="N823" s="1609"/>
      <c r="O823" s="1609"/>
      <c r="P823" s="1610"/>
      <c r="Q823" s="1618" t="s">
        <v>290</v>
      </c>
      <c r="R823" s="1618"/>
      <c r="S823" s="1618"/>
      <c r="T823" s="1618"/>
      <c r="U823" s="1618" t="s">
        <v>291</v>
      </c>
      <c r="V823" s="1618"/>
      <c r="W823" s="1618"/>
      <c r="X823" s="1618"/>
      <c r="Y823" s="1618" t="s">
        <v>292</v>
      </c>
      <c r="Z823" s="1618"/>
      <c r="AA823" s="1618"/>
      <c r="AB823" s="1618"/>
      <c r="AC823" s="1618" t="s">
        <v>361</v>
      </c>
      <c r="AD823" s="1618"/>
      <c r="AE823" s="1618"/>
      <c r="AF823" s="1618"/>
      <c r="AG823" s="1613" t="s">
        <v>335</v>
      </c>
      <c r="AH823" s="1613"/>
      <c r="AI823" s="1613"/>
      <c r="AJ823" s="1613"/>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11"/>
      <c r="N824" s="1611"/>
      <c r="O824" s="1611"/>
      <c r="P824" s="1612"/>
      <c r="Q824" s="1618"/>
      <c r="R824" s="1618"/>
      <c r="S824" s="1618"/>
      <c r="T824" s="1618"/>
      <c r="U824" s="1618"/>
      <c r="V824" s="1618"/>
      <c r="W824" s="1618"/>
      <c r="X824" s="1618"/>
      <c r="Y824" s="1618"/>
      <c r="Z824" s="1618"/>
      <c r="AA824" s="1618"/>
      <c r="AB824" s="1618"/>
      <c r="AC824" s="1618"/>
      <c r="AD824" s="1618"/>
      <c r="AE824" s="1618"/>
      <c r="AF824" s="1618"/>
      <c r="AG824" s="1613"/>
      <c r="AH824" s="1613"/>
      <c r="AI824" s="1613"/>
      <c r="AJ824" s="1613"/>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95" t="s">
        <v>40</v>
      </c>
      <c r="D825" s="1482"/>
      <c r="E825" s="1482"/>
      <c r="F825" s="1482"/>
      <c r="G825" s="1482"/>
      <c r="H825" s="1482"/>
      <c r="I825" s="48"/>
      <c r="J825" s="48"/>
      <c r="K825" s="48"/>
      <c r="L825" s="49"/>
      <c r="M825" s="1592"/>
      <c r="N825" s="1592"/>
      <c r="O825" s="1592"/>
      <c r="P825" s="1592"/>
      <c r="Q825" s="1592"/>
      <c r="R825" s="1592"/>
      <c r="S825" s="1592"/>
      <c r="T825" s="1592"/>
      <c r="U825" s="1592"/>
      <c r="V825" s="1592"/>
      <c r="W825" s="1592"/>
      <c r="X825" s="1592"/>
      <c r="Y825" s="1592"/>
      <c r="Z825" s="1592"/>
      <c r="AA825" s="1592"/>
      <c r="AB825" s="1592"/>
      <c r="AC825" s="1496"/>
      <c r="AD825" s="1497"/>
      <c r="AE825" s="1497"/>
      <c r="AF825" s="1498"/>
      <c r="AG825" s="1496"/>
      <c r="AH825" s="1497"/>
      <c r="AI825" s="1497"/>
      <c r="AJ825" s="1498"/>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12" t="s">
        <v>41</v>
      </c>
      <c r="D826" s="1513"/>
      <c r="E826" s="1513"/>
      <c r="F826" s="1513"/>
      <c r="G826" s="1513"/>
      <c r="H826" s="1513"/>
      <c r="I826" s="5"/>
      <c r="J826" s="5"/>
      <c r="K826" s="5"/>
      <c r="L826" s="46"/>
      <c r="M826" s="1592"/>
      <c r="N826" s="1592"/>
      <c r="O826" s="1592"/>
      <c r="P826" s="1592"/>
      <c r="Q826" s="1592"/>
      <c r="R826" s="1592"/>
      <c r="S826" s="1592"/>
      <c r="T826" s="1592"/>
      <c r="U826" s="1592"/>
      <c r="V826" s="1592"/>
      <c r="W826" s="1592"/>
      <c r="X826" s="1592"/>
      <c r="Y826" s="1592"/>
      <c r="Z826" s="1592"/>
      <c r="AA826" s="1592"/>
      <c r="AB826" s="1592"/>
      <c r="AC826" s="1496"/>
      <c r="AD826" s="1497"/>
      <c r="AE826" s="1497"/>
      <c r="AF826" s="1498"/>
      <c r="AG826" s="1496"/>
      <c r="AH826" s="1497"/>
      <c r="AI826" s="1497"/>
      <c r="AJ826" s="1498"/>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12" t="s">
        <v>42</v>
      </c>
      <c r="D827" s="1513"/>
      <c r="E827" s="1513"/>
      <c r="F827" s="1513"/>
      <c r="G827" s="1513"/>
      <c r="H827" s="1513"/>
      <c r="I827" s="60"/>
      <c r="J827" s="60"/>
      <c r="K827" s="60"/>
      <c r="L827" s="61"/>
      <c r="M827" s="1592"/>
      <c r="N827" s="1592"/>
      <c r="O827" s="1592"/>
      <c r="P827" s="1592"/>
      <c r="Q827" s="1592"/>
      <c r="R827" s="1592"/>
      <c r="S827" s="1592"/>
      <c r="T827" s="1592"/>
      <c r="U827" s="1592"/>
      <c r="V827" s="1592"/>
      <c r="W827" s="1592"/>
      <c r="X827" s="1592"/>
      <c r="Y827" s="1592"/>
      <c r="Z827" s="1592"/>
      <c r="AA827" s="1592"/>
      <c r="AB827" s="1592"/>
      <c r="AC827" s="1496"/>
      <c r="AD827" s="1497"/>
      <c r="AE827" s="1497"/>
      <c r="AF827" s="1498"/>
      <c r="AG827" s="1496"/>
      <c r="AH827" s="1497"/>
      <c r="AI827" s="1497"/>
      <c r="AJ827" s="1498"/>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12" t="s">
        <v>763</v>
      </c>
      <c r="D828" s="1513"/>
      <c r="E828" s="1513"/>
      <c r="F828" s="1513"/>
      <c r="G828" s="1513"/>
      <c r="H828" s="1513"/>
      <c r="I828" s="60"/>
      <c r="J828" s="60"/>
      <c r="K828" s="60"/>
      <c r="L828" s="61"/>
      <c r="M828" s="1592"/>
      <c r="N828" s="1592"/>
      <c r="O828" s="1592"/>
      <c r="P828" s="1592"/>
      <c r="Q828" s="1592"/>
      <c r="R828" s="1592"/>
      <c r="S828" s="1592"/>
      <c r="T828" s="1592"/>
      <c r="U828" s="1592"/>
      <c r="V828" s="1592"/>
      <c r="W828" s="1592"/>
      <c r="X828" s="1592"/>
      <c r="Y828" s="1592"/>
      <c r="Z828" s="1592"/>
      <c r="AA828" s="1592"/>
      <c r="AB828" s="1592"/>
      <c r="AC828" s="1496"/>
      <c r="AD828" s="1497"/>
      <c r="AE828" s="1497"/>
      <c r="AF828" s="1498"/>
      <c r="AG828" s="1496"/>
      <c r="AH828" s="1497"/>
      <c r="AI828" s="1497"/>
      <c r="AJ828" s="1498"/>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12" t="s">
        <v>460</v>
      </c>
      <c r="D829" s="1513"/>
      <c r="E829" s="1513"/>
      <c r="F829" s="1513"/>
      <c r="G829" s="1513"/>
      <c r="H829" s="1513"/>
      <c r="I829" s="60"/>
      <c r="J829" s="60"/>
      <c r="K829" s="60"/>
      <c r="L829" s="61"/>
      <c r="M829" s="1592"/>
      <c r="N829" s="1592"/>
      <c r="O829" s="1592"/>
      <c r="P829" s="1592"/>
      <c r="Q829" s="1592"/>
      <c r="R829" s="1592"/>
      <c r="S829" s="1592"/>
      <c r="T829" s="1592"/>
      <c r="U829" s="1592"/>
      <c r="V829" s="1592"/>
      <c r="W829" s="1592"/>
      <c r="X829" s="1592"/>
      <c r="Y829" s="1592"/>
      <c r="Z829" s="1592"/>
      <c r="AA829" s="1592"/>
      <c r="AB829" s="1592"/>
      <c r="AC829" s="1496"/>
      <c r="AD829" s="1497"/>
      <c r="AE829" s="1497"/>
      <c r="AF829" s="1498"/>
      <c r="AG829" s="1496"/>
      <c r="AH829" s="1497"/>
      <c r="AI829" s="1497"/>
      <c r="AJ829" s="1498"/>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4" t="s">
        <v>784</v>
      </c>
      <c r="D830" s="1513"/>
      <c r="E830" s="1513"/>
      <c r="F830" s="1513"/>
      <c r="G830" s="1513"/>
      <c r="H830" s="1513"/>
      <c r="I830" s="60"/>
      <c r="J830" s="60"/>
      <c r="K830" s="60"/>
      <c r="L830" s="61"/>
      <c r="M830" s="1592"/>
      <c r="N830" s="1592"/>
      <c r="O830" s="1592"/>
      <c r="P830" s="1592"/>
      <c r="Q830" s="1592"/>
      <c r="R830" s="1592"/>
      <c r="S830" s="1592"/>
      <c r="T830" s="1592"/>
      <c r="U830" s="1592"/>
      <c r="V830" s="1592"/>
      <c r="W830" s="1592"/>
      <c r="X830" s="1592"/>
      <c r="Y830" s="1592"/>
      <c r="Z830" s="1592"/>
      <c r="AA830" s="1592"/>
      <c r="AB830" s="1592"/>
      <c r="AC830" s="1496"/>
      <c r="AD830" s="1497"/>
      <c r="AE830" s="1497"/>
      <c r="AF830" s="1498"/>
      <c r="AG830" s="1496"/>
      <c r="AH830" s="1497"/>
      <c r="AI830" s="1497"/>
      <c r="AJ830" s="1498"/>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0" t="s">
        <v>334</v>
      </c>
      <c r="G831" s="1641"/>
      <c r="H831" s="1641"/>
      <c r="I831" s="1641"/>
      <c r="J831" s="1641"/>
      <c r="K831" s="1641"/>
      <c r="L831" s="1641"/>
      <c r="M831" s="1592"/>
      <c r="N831" s="1592"/>
      <c r="O831" s="1592"/>
      <c r="P831" s="1592"/>
      <c r="Q831" s="1592"/>
      <c r="R831" s="1592"/>
      <c r="S831" s="1592"/>
      <c r="T831" s="1592"/>
      <c r="U831" s="1592"/>
      <c r="V831" s="1592"/>
      <c r="W831" s="1592"/>
      <c r="X831" s="1592"/>
      <c r="Y831" s="1592"/>
      <c r="Z831" s="1592"/>
      <c r="AA831" s="1592"/>
      <c r="AB831" s="1592"/>
      <c r="AC831" s="1496"/>
      <c r="AD831" s="1497"/>
      <c r="AE831" s="1497"/>
      <c r="AF831" s="1498"/>
      <c r="AG831" s="1496"/>
      <c r="AH831" s="1497"/>
      <c r="AI831" s="1497"/>
      <c r="AJ831" s="1498"/>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72" t="s">
        <v>124</v>
      </c>
      <c r="D832" s="1473"/>
      <c r="E832" s="1473"/>
      <c r="F832" s="1473"/>
      <c r="G832" s="1473"/>
      <c r="H832" s="1473"/>
      <c r="I832" s="1473"/>
      <c r="J832" s="1473"/>
      <c r="K832" s="1473"/>
      <c r="L832" s="1475"/>
      <c r="M832" s="1665">
        <f>SUM(M825:P831)</f>
        <v>0</v>
      </c>
      <c r="N832" s="1665"/>
      <c r="O832" s="1665"/>
      <c r="P832" s="1665"/>
      <c r="Q832" s="1665">
        <f>SUM(Q825:T831)</f>
        <v>0</v>
      </c>
      <c r="R832" s="1665"/>
      <c r="S832" s="1665"/>
      <c r="T832" s="1665"/>
      <c r="U832" s="1665">
        <f>SUM(U825:X831)</f>
        <v>0</v>
      </c>
      <c r="V832" s="1665"/>
      <c r="W832" s="1665"/>
      <c r="X832" s="1665"/>
      <c r="Y832" s="1665">
        <f>SUM(Y825:AB831)</f>
        <v>0</v>
      </c>
      <c r="Z832" s="1665"/>
      <c r="AA832" s="1665"/>
      <c r="AB832" s="1665"/>
      <c r="AC832" s="1665">
        <f>SUM(AC825:AF831)</f>
        <v>0</v>
      </c>
      <c r="AD832" s="1665"/>
      <c r="AE832" s="1665"/>
      <c r="AF832" s="1665"/>
      <c r="AG832" s="1665">
        <f>SUM(AG825:AJ831)</f>
        <v>0</v>
      </c>
      <c r="AH832" s="1665"/>
      <c r="AI832" s="1665"/>
      <c r="AJ832" s="1665"/>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4" t="s">
        <v>2792</v>
      </c>
      <c r="D837" s="1655"/>
      <c r="E837" s="1655"/>
      <c r="F837" s="1655"/>
      <c r="G837" s="1655"/>
      <c r="H837" s="1655"/>
      <c r="I837" s="1655"/>
      <c r="J837" s="1655"/>
      <c r="K837" s="1655"/>
      <c r="L837" s="1655"/>
      <c r="M837" s="1655"/>
      <c r="N837" s="1655"/>
      <c r="O837" s="1655"/>
      <c r="P837" s="1655"/>
      <c r="Q837" s="1655"/>
      <c r="R837" s="1655"/>
      <c r="S837" s="1655"/>
      <c r="T837" s="1655"/>
      <c r="U837" s="1655"/>
      <c r="V837" s="1655"/>
      <c r="W837" s="1655"/>
      <c r="X837" s="1655"/>
      <c r="Y837" s="1655"/>
      <c r="Z837" s="1655"/>
      <c r="AA837" s="1655"/>
      <c r="AB837" s="1655"/>
      <c r="AC837" s="1655"/>
      <c r="AD837" s="1655"/>
      <c r="AE837" s="1655"/>
      <c r="AF837" s="1655"/>
      <c r="AG837" s="1655"/>
      <c r="AH837" s="1655"/>
      <c r="AI837" s="1655"/>
      <c r="AJ837" s="1656"/>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7"/>
      <c r="BJ841" s="1647"/>
      <c r="BK841" s="1647"/>
      <c r="BL841" s="1647"/>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36">
        <v>2989</v>
      </c>
      <c r="X842" s="1636"/>
      <c r="Y842" s="1636"/>
      <c r="Z842" s="1636"/>
      <c r="AA842" s="1636"/>
      <c r="AB842" s="1636"/>
      <c r="AC842" s="1636"/>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36">
        <v>18684</v>
      </c>
      <c r="X843" s="1636"/>
      <c r="Y843" s="1636"/>
      <c r="Z843" s="1636"/>
      <c r="AA843" s="1636"/>
      <c r="AB843" s="1636"/>
      <c r="AC843" s="1636"/>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36">
        <v>17937</v>
      </c>
      <c r="X844" s="1636"/>
      <c r="Y844" s="1636"/>
      <c r="Z844" s="1636"/>
      <c r="AA844" s="1636"/>
      <c r="AB844" s="1636"/>
      <c r="AC844" s="1636"/>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36">
        <v>22421</v>
      </c>
      <c r="X845" s="1636"/>
      <c r="Y845" s="1636"/>
      <c r="Z845" s="1636"/>
      <c r="AA845" s="1636"/>
      <c r="AB845" s="1636"/>
      <c r="AC845" s="1636"/>
      <c r="AZ845" s="30"/>
      <c r="BA845" s="30"/>
      <c r="BB845" s="14"/>
      <c r="BC845" s="14"/>
      <c r="BD845" s="14"/>
      <c r="BE845" s="14"/>
      <c r="BF845" s="14"/>
      <c r="BG845" s="14"/>
      <c r="BH845" s="14"/>
      <c r="BI845" s="14"/>
      <c r="BJ845" s="14"/>
      <c r="BK845" s="14"/>
      <c r="BL845" s="14"/>
    </row>
    <row r="846" spans="1:64" ht="12.95" customHeight="1">
      <c r="J846" s="45" t="s">
        <v>170</v>
      </c>
      <c r="K846" s="5"/>
      <c r="L846" s="5"/>
      <c r="M846" s="1640" t="s">
        <v>2731</v>
      </c>
      <c r="N846" s="1641"/>
      <c r="O846" s="1641"/>
      <c r="P846" s="1641"/>
      <c r="Q846" s="1641"/>
      <c r="R846" s="1641"/>
      <c r="S846" s="1641"/>
      <c r="T846" s="1641"/>
      <c r="U846" s="1641"/>
      <c r="V846" s="1642"/>
      <c r="W846" s="1636">
        <f>3737+1495+2989+4970</f>
        <v>13191</v>
      </c>
      <c r="X846" s="1636"/>
      <c r="Y846" s="1636"/>
      <c r="Z846" s="1636"/>
      <c r="AA846" s="1636"/>
      <c r="AB846" s="1636"/>
      <c r="AC846" s="1636"/>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65">
        <f>SUM(W842:W846)</f>
        <v>75222</v>
      </c>
      <c r="X847" s="1466"/>
      <c r="Y847" s="1466"/>
      <c r="Z847" s="1466"/>
      <c r="AA847" s="1466"/>
      <c r="AB847" s="1466"/>
      <c r="AC847" s="146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1"/>
      <c r="BH848" s="1631"/>
      <c r="BI848" s="1631"/>
      <c r="BJ848" s="1631"/>
      <c r="BK848" s="1631"/>
      <c r="BL848" s="1631"/>
    </row>
    <row r="849" spans="3:55" ht="12.95" customHeight="1">
      <c r="C849" s="2" t="s">
        <v>344</v>
      </c>
      <c r="J849" s="1472" t="s">
        <v>345</v>
      </c>
      <c r="K849" s="1473"/>
      <c r="L849" s="1473"/>
      <c r="M849" s="1473"/>
      <c r="N849" s="1473"/>
      <c r="O849" s="1473"/>
      <c r="P849" s="1473"/>
      <c r="Q849" s="1473"/>
      <c r="R849" s="1473"/>
      <c r="S849" s="1473"/>
      <c r="T849" s="1473"/>
      <c r="U849" s="1473"/>
      <c r="V849" s="1475"/>
      <c r="W849" s="1468">
        <v>165064</v>
      </c>
      <c r="X849" s="1356"/>
      <c r="Y849" s="1356"/>
      <c r="Z849" s="1356"/>
      <c r="AA849" s="1356"/>
      <c r="AB849" s="1356"/>
      <c r="AC849" s="1357"/>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2">
        <v>0</v>
      </c>
      <c r="X851" s="1652"/>
      <c r="Y851" s="1652"/>
      <c r="Z851" s="1652"/>
      <c r="AA851" s="1652"/>
      <c r="AB851" s="1652"/>
      <c r="AC851" s="1652"/>
      <c r="AZ851" s="1617"/>
      <c r="BA851" s="1617"/>
      <c r="BB851" s="14"/>
      <c r="BC851" s="14"/>
    </row>
    <row r="852" spans="3:55" ht="12.95" customHeight="1">
      <c r="J852" s="45" t="s">
        <v>351</v>
      </c>
      <c r="K852" s="5"/>
      <c r="L852" s="5"/>
      <c r="M852" s="5"/>
      <c r="N852" s="5"/>
      <c r="O852" s="5"/>
      <c r="P852" s="5"/>
      <c r="Q852" s="5"/>
      <c r="R852" s="5"/>
      <c r="S852" s="5"/>
      <c r="T852" s="5"/>
      <c r="U852" s="5"/>
      <c r="V852" s="46"/>
      <c r="W852" s="1652">
        <v>0</v>
      </c>
      <c r="X852" s="1652"/>
      <c r="Y852" s="1652"/>
      <c r="Z852" s="1652"/>
      <c r="AA852" s="1652"/>
      <c r="AB852" s="1652"/>
      <c r="AC852" s="1652"/>
      <c r="AZ852" s="30"/>
      <c r="BA852" s="30"/>
      <c r="BB852" s="14"/>
      <c r="BC852" s="14"/>
    </row>
    <row r="853" spans="3:55" ht="12.95" customHeight="1">
      <c r="J853" s="45" t="s">
        <v>460</v>
      </c>
      <c r="K853" s="5"/>
      <c r="L853" s="5"/>
      <c r="M853" s="5"/>
      <c r="N853" s="5"/>
      <c r="O853" s="5"/>
      <c r="P853" s="5"/>
      <c r="Q853" s="5"/>
      <c r="R853" s="5"/>
      <c r="S853" s="5"/>
      <c r="T853" s="5"/>
      <c r="U853" s="5"/>
      <c r="V853" s="46"/>
      <c r="W853" s="1652">
        <f>7100+74737</f>
        <v>81837</v>
      </c>
      <c r="X853" s="1652"/>
      <c r="Y853" s="1652"/>
      <c r="Z853" s="1652"/>
      <c r="AA853" s="1652"/>
      <c r="AB853" s="1652"/>
      <c r="AC853" s="1652"/>
      <c r="AZ853" s="30"/>
      <c r="BA853" s="30"/>
      <c r="BB853" s="14"/>
      <c r="BC853" s="14"/>
    </row>
    <row r="854" spans="3:55" ht="12.95" customHeight="1">
      <c r="J854" s="62" t="s">
        <v>621</v>
      </c>
      <c r="K854" s="5"/>
      <c r="L854" s="5"/>
      <c r="M854" s="5"/>
      <c r="N854" s="5"/>
      <c r="O854" s="5"/>
      <c r="P854" s="5"/>
      <c r="Q854" s="5"/>
      <c r="R854" s="5"/>
      <c r="S854" s="5"/>
      <c r="T854" s="5"/>
      <c r="U854" s="5"/>
      <c r="V854" s="46"/>
      <c r="W854" s="1652">
        <f>56800</f>
        <v>56800</v>
      </c>
      <c r="X854" s="1652"/>
      <c r="Y854" s="1652"/>
      <c r="Z854" s="1652"/>
      <c r="AA854" s="1652"/>
      <c r="AB854" s="1652"/>
      <c r="AC854" s="1652"/>
      <c r="AZ854" s="34"/>
      <c r="BA854" s="34"/>
      <c r="BB854" s="34"/>
      <c r="BC854" s="34"/>
    </row>
    <row r="855" spans="3:55" ht="12.95" customHeight="1">
      <c r="J855" s="63"/>
      <c r="K855" s="48"/>
      <c r="L855" s="48"/>
      <c r="M855" s="48"/>
      <c r="N855" s="48"/>
      <c r="O855" s="48"/>
      <c r="P855" s="48"/>
      <c r="Q855" s="48"/>
      <c r="R855" s="48"/>
      <c r="S855" s="48"/>
      <c r="T855" s="48"/>
      <c r="U855" s="48"/>
      <c r="V855" s="54" t="s">
        <v>272</v>
      </c>
      <c r="W855" s="1653">
        <f>SUM(W851:W854)</f>
        <v>138637</v>
      </c>
      <c r="X855" s="1653"/>
      <c r="Y855" s="1653"/>
      <c r="Z855" s="1653"/>
      <c r="AA855" s="1653"/>
      <c r="AB855" s="1653"/>
      <c r="AC855" s="1653"/>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49">
        <f>70000*T858</f>
        <v>140000</v>
      </c>
      <c r="X857" s="1650"/>
      <c r="Y857" s="1650"/>
      <c r="Z857" s="1650"/>
      <c r="AA857" s="1650"/>
      <c r="AB857" s="1650"/>
      <c r="AC857" s="1651"/>
      <c r="AD857" s="528"/>
      <c r="AZ857" s="34"/>
      <c r="BA857" s="34"/>
      <c r="BB857" s="34"/>
      <c r="BC857" s="34"/>
    </row>
    <row r="858" spans="3:55" ht="12.95" customHeight="1">
      <c r="C858" s="2" t="s">
        <v>347</v>
      </c>
      <c r="J858" s="121" t="s">
        <v>1656</v>
      </c>
      <c r="K858" s="5"/>
      <c r="L858" s="5"/>
      <c r="M858" s="5"/>
      <c r="N858" s="5"/>
      <c r="O858" s="5"/>
      <c r="P858" s="5"/>
      <c r="Q858" s="5"/>
      <c r="R858" s="5"/>
      <c r="S858" s="5"/>
      <c r="T858" s="1633">
        <v>2</v>
      </c>
      <c r="U858" s="1634"/>
      <c r="V858" s="1635"/>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49">
        <f>55000*T860</f>
        <v>110000</v>
      </c>
      <c r="X859" s="1650"/>
      <c r="Y859" s="1650"/>
      <c r="Z859" s="1650"/>
      <c r="AA859" s="1650"/>
      <c r="AB859" s="1650"/>
      <c r="AC859" s="1651"/>
      <c r="AD859" s="533"/>
      <c r="AZ859" s="34"/>
      <c r="BA859" s="34"/>
      <c r="BB859" s="34"/>
      <c r="BC859" s="34"/>
    </row>
    <row r="860" spans="3:55" ht="12.95" customHeight="1">
      <c r="C860" s="2"/>
      <c r="J860" s="121" t="s">
        <v>1657</v>
      </c>
      <c r="K860" s="5"/>
      <c r="L860" s="5"/>
      <c r="M860" s="5"/>
      <c r="N860" s="5"/>
      <c r="O860" s="5"/>
      <c r="P860" s="5"/>
      <c r="Q860" s="5"/>
      <c r="R860" s="5"/>
      <c r="S860" s="5"/>
      <c r="T860" s="1633">
        <v>2</v>
      </c>
      <c r="U860" s="1634"/>
      <c r="V860" s="1635"/>
      <c r="W860" s="874"/>
      <c r="X860" s="875"/>
      <c r="Y860" s="875"/>
      <c r="Z860" s="875"/>
      <c r="AA860" s="875"/>
      <c r="AB860" s="875"/>
      <c r="AC860" s="876"/>
      <c r="AD860" s="533"/>
      <c r="AZ860" s="34"/>
      <c r="BA860" s="34"/>
      <c r="BB860" s="34"/>
      <c r="BC860" s="34"/>
    </row>
    <row r="861" spans="3:55" ht="12.95" customHeight="1">
      <c r="J861" s="45" t="s">
        <v>170</v>
      </c>
      <c r="K861" s="5"/>
      <c r="L861" s="5"/>
      <c r="M861" s="1640" t="s">
        <v>2732</v>
      </c>
      <c r="N861" s="1641"/>
      <c r="O861" s="1641"/>
      <c r="P861" s="1641"/>
      <c r="Q861" s="1641"/>
      <c r="R861" s="1641"/>
      <c r="S861" s="1641"/>
      <c r="T861" s="1641"/>
      <c r="U861" s="1641"/>
      <c r="V861" s="1642"/>
      <c r="W861" s="1649">
        <f>109116+9474+13316</f>
        <v>131906</v>
      </c>
      <c r="X861" s="1650"/>
      <c r="Y861" s="1650"/>
      <c r="Z861" s="1650"/>
      <c r="AA861" s="1650"/>
      <c r="AB861" s="1650"/>
      <c r="AC861" s="1651"/>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37">
        <f>SUM(W857:W861)</f>
        <v>381906</v>
      </c>
      <c r="X862" s="1638"/>
      <c r="Y862" s="1638"/>
      <c r="Z862" s="1638"/>
      <c r="AA862" s="1638"/>
      <c r="AB862" s="1638"/>
      <c r="AC862" s="1639"/>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49">
        <v>170400</v>
      </c>
      <c r="X863" s="1650"/>
      <c r="Y863" s="1650"/>
      <c r="Z863" s="1650"/>
      <c r="AA863" s="1650"/>
      <c r="AB863" s="1650"/>
      <c r="AC863" s="1651"/>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36">
        <f>31950+5979</f>
        <v>37929</v>
      </c>
      <c r="X865" s="1636"/>
      <c r="Y865" s="1636"/>
      <c r="Z865" s="1636"/>
      <c r="AA865" s="1636"/>
      <c r="AB865" s="1636"/>
      <c r="AC865" s="1636"/>
      <c r="AU865" s="14"/>
      <c r="AZ865" s="34"/>
      <c r="BA865" s="34"/>
      <c r="BB865" s="34"/>
      <c r="BC865" s="34"/>
    </row>
    <row r="866" spans="3:55" ht="12.95" customHeight="1">
      <c r="J866" s="45" t="s">
        <v>523</v>
      </c>
      <c r="K866" s="5"/>
      <c r="L866" s="5"/>
      <c r="M866" s="5"/>
      <c r="N866" s="5"/>
      <c r="O866" s="5"/>
      <c r="P866" s="5"/>
      <c r="Q866" s="5"/>
      <c r="R866" s="5"/>
      <c r="S866" s="5"/>
      <c r="T866" s="5"/>
      <c r="U866" s="5"/>
      <c r="V866" s="46"/>
      <c r="W866" s="1636">
        <f>14947+14947</f>
        <v>29894</v>
      </c>
      <c r="X866" s="1636"/>
      <c r="Y866" s="1636"/>
      <c r="Z866" s="1636"/>
      <c r="AA866" s="1636"/>
      <c r="AB866" s="1636"/>
      <c r="AC866" s="1636"/>
      <c r="AU866" s="4"/>
      <c r="AZ866" s="34"/>
      <c r="BA866" s="34"/>
      <c r="BB866" s="34"/>
      <c r="BC866" s="34"/>
    </row>
    <row r="867" spans="3:55" ht="12.95" customHeight="1">
      <c r="J867" s="45" t="s">
        <v>522</v>
      </c>
      <c r="K867" s="5"/>
      <c r="L867" s="5"/>
      <c r="M867" s="5"/>
      <c r="N867" s="5"/>
      <c r="O867" s="5"/>
      <c r="P867" s="5"/>
      <c r="Q867" s="5"/>
      <c r="R867" s="5"/>
      <c r="S867" s="5"/>
      <c r="T867" s="5"/>
      <c r="U867" s="5"/>
      <c r="V867" s="46"/>
      <c r="W867" s="1636">
        <v>35500</v>
      </c>
      <c r="X867" s="1636"/>
      <c r="Y867" s="1636"/>
      <c r="Z867" s="1636"/>
      <c r="AA867" s="1636"/>
      <c r="AB867" s="1636"/>
      <c r="AC867" s="1636"/>
      <c r="AU867" s="4"/>
      <c r="AZ867" s="34"/>
      <c r="BA867" s="34"/>
      <c r="BB867" s="34"/>
      <c r="BC867" s="34"/>
    </row>
    <row r="868" spans="3:55" ht="12.95" customHeight="1">
      <c r="J868" s="45" t="s">
        <v>521</v>
      </c>
      <c r="K868" s="5"/>
      <c r="L868" s="5"/>
      <c r="M868" s="5"/>
      <c r="N868" s="5"/>
      <c r="O868" s="5"/>
      <c r="P868" s="5"/>
      <c r="Q868" s="5"/>
      <c r="R868" s="5"/>
      <c r="S868" s="5"/>
      <c r="T868" s="5"/>
      <c r="U868" s="5"/>
      <c r="V868" s="46"/>
      <c r="W868" s="1636">
        <v>18684</v>
      </c>
      <c r="X868" s="1636"/>
      <c r="Y868" s="1636"/>
      <c r="Z868" s="1636"/>
      <c r="AA868" s="1636"/>
      <c r="AB868" s="1636"/>
      <c r="AC868" s="1636"/>
      <c r="AU868" s="4"/>
      <c r="AZ868" s="34"/>
      <c r="BA868" s="34"/>
      <c r="BB868" s="34"/>
      <c r="BC868" s="34"/>
    </row>
    <row r="869" spans="3:55" ht="12.95" customHeight="1">
      <c r="J869" s="45" t="s">
        <v>520</v>
      </c>
      <c r="K869" s="5"/>
      <c r="L869" s="5"/>
      <c r="M869" s="5"/>
      <c r="N869" s="5"/>
      <c r="O869" s="5"/>
      <c r="P869" s="5"/>
      <c r="Q869" s="5"/>
      <c r="R869" s="5"/>
      <c r="S869" s="5"/>
      <c r="T869" s="5"/>
      <c r="U869" s="5"/>
      <c r="V869" s="46"/>
      <c r="W869" s="1636">
        <v>29895</v>
      </c>
      <c r="X869" s="1636"/>
      <c r="Y869" s="1636"/>
      <c r="Z869" s="1636"/>
      <c r="AA869" s="1636"/>
      <c r="AB869" s="1636"/>
      <c r="AC869" s="1636"/>
      <c r="AU869" s="4"/>
      <c r="AZ869" s="34"/>
      <c r="BA869" s="34"/>
      <c r="BB869" s="34"/>
      <c r="BC869" s="34"/>
    </row>
    <row r="870" spans="3:55" ht="12.95" customHeight="1">
      <c r="J870" s="45" t="s">
        <v>519</v>
      </c>
      <c r="K870" s="5"/>
      <c r="L870" s="5"/>
      <c r="M870" s="5"/>
      <c r="N870" s="5"/>
      <c r="O870" s="5"/>
      <c r="P870" s="5"/>
      <c r="Q870" s="5"/>
      <c r="R870" s="5"/>
      <c r="S870" s="5"/>
      <c r="T870" s="5"/>
      <c r="U870" s="5"/>
      <c r="V870" s="46"/>
      <c r="W870" s="1636"/>
      <c r="X870" s="1636"/>
      <c r="Y870" s="1636"/>
      <c r="Z870" s="1636"/>
      <c r="AA870" s="1636"/>
      <c r="AB870" s="1636"/>
      <c r="AC870" s="1636"/>
      <c r="AU870" s="4"/>
      <c r="AZ870" s="34"/>
      <c r="BA870" s="34"/>
      <c r="BB870" s="34"/>
      <c r="BC870" s="34"/>
    </row>
    <row r="871" spans="3:55" ht="12.95" customHeight="1">
      <c r="J871" s="45" t="s">
        <v>170</v>
      </c>
      <c r="K871" s="5"/>
      <c r="L871" s="5"/>
      <c r="M871" s="1640" t="s">
        <v>2733</v>
      </c>
      <c r="N871" s="1641"/>
      <c r="O871" s="1641"/>
      <c r="P871" s="1641"/>
      <c r="Q871" s="1641"/>
      <c r="R871" s="1641"/>
      <c r="S871" s="1641"/>
      <c r="T871" s="1641"/>
      <c r="U871" s="1641"/>
      <c r="V871" s="1642"/>
      <c r="W871" s="1636">
        <v>22421</v>
      </c>
      <c r="X871" s="1636"/>
      <c r="Y871" s="1636"/>
      <c r="Z871" s="1636"/>
      <c r="AA871" s="1636"/>
      <c r="AB871" s="1636"/>
      <c r="AC871" s="1636"/>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593">
        <f>SUM(W865:W871)</f>
        <v>174323</v>
      </c>
      <c r="X872" s="1593"/>
      <c r="Y872" s="1593"/>
      <c r="Z872" s="1593"/>
      <c r="AA872" s="1593"/>
      <c r="AB872" s="1593"/>
      <c r="AC872" s="1593"/>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640" t="s">
        <v>2734</v>
      </c>
      <c r="N874" s="1641"/>
      <c r="O874" s="1641"/>
      <c r="P874" s="1641"/>
      <c r="Q874" s="1641"/>
      <c r="R874" s="1641"/>
      <c r="S874" s="1641"/>
      <c r="T874" s="1641"/>
      <c r="U874" s="1641"/>
      <c r="V874" s="1642"/>
      <c r="W874" s="1468">
        <v>2242</v>
      </c>
      <c r="X874" s="1356"/>
      <c r="Y874" s="1356"/>
      <c r="Z874" s="1356"/>
      <c r="AA874" s="1356"/>
      <c r="AB874" s="1356"/>
      <c r="AC874" s="1357"/>
      <c r="AD874" s="533"/>
      <c r="AV874" s="14"/>
      <c r="AW874" s="14"/>
      <c r="AX874" s="14"/>
      <c r="AY874" s="14"/>
      <c r="AZ874" s="34"/>
      <c r="BA874" s="34"/>
      <c r="BB874" s="34"/>
      <c r="BC874" s="34"/>
    </row>
    <row r="875" spans="3:55" ht="12.95" customHeight="1">
      <c r="C875" s="2" t="s">
        <v>1245</v>
      </c>
      <c r="J875" s="45" t="s">
        <v>170</v>
      </c>
      <c r="K875" s="5"/>
      <c r="L875" s="5"/>
      <c r="M875" s="1640" t="s">
        <v>334</v>
      </c>
      <c r="N875" s="1641"/>
      <c r="O875" s="1641"/>
      <c r="P875" s="1641"/>
      <c r="Q875" s="1641"/>
      <c r="R875" s="1641"/>
      <c r="S875" s="1641"/>
      <c r="T875" s="1641"/>
      <c r="U875" s="1641"/>
      <c r="V875" s="1642"/>
      <c r="W875" s="1468"/>
      <c r="X875" s="1356"/>
      <c r="Y875" s="1356"/>
      <c r="Z875" s="1356"/>
      <c r="AA875" s="1356"/>
      <c r="AB875" s="1356"/>
      <c r="AC875" s="1357"/>
      <c r="AD875" s="533"/>
      <c r="AV875" s="14"/>
      <c r="AW875" s="14"/>
      <c r="AX875" s="14"/>
      <c r="AY875" s="14"/>
      <c r="AZ875" s="34"/>
      <c r="BA875" s="34"/>
      <c r="BB875" s="34"/>
      <c r="BC875" s="34"/>
    </row>
    <row r="876" spans="3:55" ht="12.95" customHeight="1">
      <c r="J876" s="45" t="s">
        <v>170</v>
      </c>
      <c r="K876" s="5"/>
      <c r="L876" s="5"/>
      <c r="M876" s="1640" t="s">
        <v>334</v>
      </c>
      <c r="N876" s="1641"/>
      <c r="O876" s="1641"/>
      <c r="P876" s="1641"/>
      <c r="Q876" s="1641"/>
      <c r="R876" s="1641"/>
      <c r="S876" s="1641"/>
      <c r="T876" s="1641"/>
      <c r="U876" s="1641"/>
      <c r="V876" s="1642"/>
      <c r="W876" s="1468"/>
      <c r="X876" s="1356"/>
      <c r="Y876" s="1356"/>
      <c r="Z876" s="1356"/>
      <c r="AA876" s="1356"/>
      <c r="AB876" s="1356"/>
      <c r="AC876" s="1357"/>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0" t="s">
        <v>334</v>
      </c>
      <c r="N877" s="1641"/>
      <c r="O877" s="1641"/>
      <c r="P877" s="1641"/>
      <c r="Q877" s="1641"/>
      <c r="R877" s="1641"/>
      <c r="S877" s="1641"/>
      <c r="T877" s="1641"/>
      <c r="U877" s="1641"/>
      <c r="V877" s="1642"/>
      <c r="W877" s="1468"/>
      <c r="X877" s="1356"/>
      <c r="Y877" s="1356"/>
      <c r="Z877" s="1356"/>
      <c r="AA877" s="1356"/>
      <c r="AB877" s="1356"/>
      <c r="AC877" s="1357"/>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0" t="s">
        <v>334</v>
      </c>
      <c r="N878" s="1641"/>
      <c r="O878" s="1641"/>
      <c r="P878" s="1641"/>
      <c r="Q878" s="1641"/>
      <c r="R878" s="1641"/>
      <c r="S878" s="1641"/>
      <c r="T878" s="1641"/>
      <c r="U878" s="1641"/>
      <c r="V878" s="1642"/>
      <c r="W878" s="1468"/>
      <c r="X878" s="1356"/>
      <c r="Y878" s="1356"/>
      <c r="Z878" s="1356"/>
      <c r="AA878" s="1356"/>
      <c r="AB878" s="1356"/>
      <c r="AC878" s="1357"/>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65">
        <f>SUM(W874:W878)</f>
        <v>2242</v>
      </c>
      <c r="X879" s="1466"/>
      <c r="Y879" s="1466"/>
      <c r="Z879" s="1466"/>
      <c r="AA879" s="1466"/>
      <c r="AB879" s="1466"/>
      <c r="AC879" s="1467"/>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66">
        <f>W847+W855+W862+W863+W872+W879+W849</f>
        <v>1107794</v>
      </c>
      <c r="AD883" s="1466"/>
      <c r="AE883" s="1466"/>
      <c r="AF883" s="1466"/>
      <c r="AG883" s="1466"/>
      <c r="AH883" s="146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3">
        <f>O797+O777+G753</f>
        <v>142</v>
      </c>
      <c r="AD884" s="1643"/>
      <c r="AE884" s="1643"/>
      <c r="AF884" s="1643"/>
      <c r="AG884" s="1643"/>
      <c r="AH884" s="1644"/>
      <c r="AL884" s="4"/>
      <c r="AM884" s="4"/>
      <c r="AN884" s="4"/>
      <c r="AO884" s="4"/>
      <c r="AP884" s="4"/>
      <c r="AQ884" s="4"/>
      <c r="AR884" s="4"/>
      <c r="AS884" s="4"/>
      <c r="AT884" s="4"/>
      <c r="AZ884" s="34"/>
      <c r="BA884" s="34"/>
      <c r="BB884" s="34"/>
      <c r="BC884" s="34"/>
    </row>
    <row r="885" spans="3:55" ht="12.95" customHeight="1">
      <c r="C885" s="41"/>
      <c r="D885" s="42"/>
      <c r="E885" s="1712" t="s">
        <v>32</v>
      </c>
      <c r="F885" s="1712"/>
      <c r="G885" s="1712"/>
      <c r="H885" s="1712"/>
      <c r="I885" s="1712"/>
      <c r="J885" s="1712"/>
      <c r="K885" s="1712"/>
      <c r="L885" s="1712"/>
      <c r="M885" s="1712"/>
      <c r="N885" s="1712"/>
      <c r="O885" s="1712"/>
      <c r="P885" s="1712"/>
      <c r="Q885" s="1712"/>
      <c r="R885" s="1712"/>
      <c r="S885" s="1712"/>
      <c r="T885" s="1712"/>
      <c r="U885" s="1712"/>
      <c r="V885" s="1712"/>
      <c r="W885" s="1712"/>
      <c r="X885" s="1712"/>
      <c r="Y885" s="1712"/>
      <c r="Z885" s="1712"/>
      <c r="AA885" s="1712"/>
      <c r="AB885" s="1713"/>
      <c r="AC885" s="1593">
        <f>IF(ISERROR((ROUNDDOWN(AC883/AC884,0))),0,(ROUNDDOWN(AC883/AC884,0)))</f>
        <v>7801</v>
      </c>
      <c r="AD885" s="1593"/>
      <c r="AE885" s="1593"/>
      <c r="AF885" s="1593"/>
      <c r="AG885" s="1593"/>
      <c r="AH885" s="1593"/>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5"/>
      <c r="AD886" s="1646"/>
      <c r="AE886" s="1646"/>
      <c r="AF886" s="1646"/>
      <c r="AG886" s="1646"/>
      <c r="AH886" s="1646"/>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57"/>
      <c r="AD887" s="1636"/>
      <c r="AE887" s="1636"/>
      <c r="AF887" s="1636"/>
      <c r="AG887" s="1636"/>
      <c r="AH887" s="1636"/>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56">
        <v>40162</v>
      </c>
      <c r="AD888" s="1356"/>
      <c r="AE888" s="1356"/>
      <c r="AF888" s="1356"/>
      <c r="AG888" s="1356"/>
      <c r="AH888" s="1357"/>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56">
        <v>71000</v>
      </c>
      <c r="AD889" s="1356"/>
      <c r="AE889" s="1356"/>
      <c r="AF889" s="1356"/>
      <c r="AG889" s="1356"/>
      <c r="AH889" s="1357"/>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6"/>
      <c r="AD890" s="1497"/>
      <c r="AE890" s="1497"/>
      <c r="AF890" s="1497"/>
      <c r="AG890" s="1497"/>
      <c r="AH890" s="1498"/>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56"/>
      <c r="AD891" s="1356"/>
      <c r="AE891" s="1356"/>
      <c r="AF891" s="1356"/>
      <c r="AG891" s="1356"/>
      <c r="AH891" s="1357"/>
      <c r="AZ891" s="34"/>
      <c r="BA891" s="34"/>
      <c r="BB891" s="34"/>
      <c r="BC891" s="34"/>
    </row>
    <row r="892" spans="3:55" ht="12.95" hidden="1" customHeight="1">
      <c r="C892" s="1472" t="s">
        <v>2232</v>
      </c>
      <c r="D892" s="1473"/>
      <c r="E892" s="1473"/>
      <c r="F892" s="1473"/>
      <c r="G892" s="1473"/>
      <c r="H892" s="1473"/>
      <c r="I892" s="1473"/>
      <c r="J892" s="1473"/>
      <c r="K892" s="1473"/>
      <c r="L892" s="1473"/>
      <c r="M892" s="1473"/>
      <c r="N892" s="1473"/>
      <c r="O892" s="1473"/>
      <c r="P892" s="1473"/>
      <c r="Q892" s="1473"/>
      <c r="R892" s="1473"/>
      <c r="S892" s="1473"/>
      <c r="T892" s="1473"/>
      <c r="U892" s="1473"/>
      <c r="V892" s="1473"/>
      <c r="W892" s="1473"/>
      <c r="X892" s="1473"/>
      <c r="Y892" s="1473"/>
      <c r="Z892" s="1473"/>
      <c r="AA892" s="1473"/>
      <c r="AB892" s="1475"/>
      <c r="AC892" s="1356"/>
      <c r="AD892" s="1356"/>
      <c r="AE892" s="1356"/>
      <c r="AF892" s="1356"/>
      <c r="AG892" s="1356"/>
      <c r="AH892" s="1357"/>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56"/>
      <c r="AD893" s="1356"/>
      <c r="AE893" s="1356"/>
      <c r="AF893" s="1356"/>
      <c r="AG893" s="1356"/>
      <c r="AH893" s="1357"/>
      <c r="AZ893" s="34"/>
      <c r="BA893" s="34"/>
      <c r="BB893" s="34"/>
      <c r="BC893" s="34"/>
    </row>
    <row r="894" spans="3:55" ht="12.95" customHeight="1">
      <c r="C894" s="1657" t="s">
        <v>957</v>
      </c>
      <c r="D894" s="1658"/>
      <c r="E894" s="1658"/>
      <c r="F894" s="1658"/>
      <c r="G894" s="1658"/>
      <c r="H894" s="1658"/>
      <c r="I894" s="1658"/>
      <c r="J894" s="1658"/>
      <c r="K894" s="1658"/>
      <c r="L894" s="1658"/>
      <c r="M894" s="1658"/>
      <c r="N894" s="1658"/>
      <c r="O894" s="1658"/>
      <c r="P894" s="1658"/>
      <c r="Q894" s="1658"/>
      <c r="R894" s="1658"/>
      <c r="S894" s="1658"/>
      <c r="T894" s="1658"/>
      <c r="U894" s="1658"/>
      <c r="V894" s="1658"/>
      <c r="W894" s="1658"/>
      <c r="X894" s="1658"/>
      <c r="Y894" s="1658"/>
      <c r="Z894" s="1658"/>
      <c r="AA894" s="1658"/>
      <c r="AB894" s="1659"/>
      <c r="AC894" s="1636"/>
      <c r="AD894" s="1636"/>
      <c r="AE894" s="1636"/>
      <c r="AF894" s="1636"/>
      <c r="AG894" s="1636"/>
      <c r="AH894" s="1636"/>
      <c r="AZ894" s="34"/>
      <c r="BA894" s="34"/>
      <c r="BB894" s="34"/>
      <c r="BC894" s="34"/>
    </row>
    <row r="895" spans="3:55" ht="12.95" customHeight="1">
      <c r="C895" s="1657" t="s">
        <v>957</v>
      </c>
      <c r="D895" s="1658"/>
      <c r="E895" s="1658"/>
      <c r="F895" s="1658"/>
      <c r="G895" s="1658"/>
      <c r="H895" s="1658"/>
      <c r="I895" s="1658"/>
      <c r="J895" s="1658"/>
      <c r="K895" s="1658"/>
      <c r="L895" s="1658"/>
      <c r="M895" s="1658"/>
      <c r="N895" s="1658"/>
      <c r="O895" s="1658"/>
      <c r="P895" s="1658"/>
      <c r="Q895" s="1658"/>
      <c r="R895" s="1658"/>
      <c r="S895" s="1658"/>
      <c r="T895" s="1658"/>
      <c r="U895" s="1658"/>
      <c r="V895" s="1658"/>
      <c r="W895" s="1658"/>
      <c r="X895" s="1658"/>
      <c r="Y895" s="1658"/>
      <c r="Z895" s="1658"/>
      <c r="AA895" s="1658"/>
      <c r="AB895" s="1659"/>
      <c r="AC895" s="1636"/>
      <c r="AD895" s="1636"/>
      <c r="AE895" s="1636"/>
      <c r="AF895" s="1636"/>
      <c r="AG895" s="1636"/>
      <c r="AH895" s="1636"/>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8"/>
      <c r="AA899" s="1356"/>
      <c r="AB899" s="1356"/>
      <c r="AC899" s="1356"/>
      <c r="AD899" s="1356"/>
      <c r="AE899" s="1357"/>
      <c r="AF899" s="533"/>
      <c r="AZ899" s="34"/>
      <c r="BB899" s="30"/>
      <c r="BC899" s="816"/>
      <c r="BD899" s="1632"/>
      <c r="BE899" s="1632"/>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8"/>
      <c r="AA900" s="1356"/>
      <c r="AB900" s="1356"/>
      <c r="AC900" s="1356"/>
      <c r="AD900" s="1356"/>
      <c r="AE900" s="1357"/>
      <c r="AZ900" s="34"/>
      <c r="BB900" s="30"/>
      <c r="BC900" s="816"/>
      <c r="BD900" s="1632"/>
      <c r="BE900" s="1632"/>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8"/>
      <c r="AA901" s="1356"/>
      <c r="AB901" s="1356"/>
      <c r="AC901" s="1356"/>
      <c r="AD901" s="1356"/>
      <c r="AE901" s="1357"/>
      <c r="AZ901" s="34"/>
      <c r="BB901" s="30"/>
      <c r="BC901" s="816"/>
      <c r="BD901" s="1631"/>
      <c r="BE901" s="1631"/>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65">
        <f>Z899-(Z900+Z901)</f>
        <v>0</v>
      </c>
      <c r="AA902" s="1466"/>
      <c r="AB902" s="1466"/>
      <c r="AC902" s="1466"/>
      <c r="AD902" s="1466"/>
      <c r="AE902" s="1467"/>
      <c r="AZ902" s="34"/>
      <c r="BB902" s="30"/>
      <c r="BC902" s="816"/>
      <c r="BD902" s="1631"/>
      <c r="BE902" s="1631"/>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1"/>
      <c r="BE903" s="1631"/>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2"/>
      <c r="BE904" s="1631"/>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48"/>
      <c r="BE905" s="1648"/>
      <c r="BF905" s="1648"/>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47"/>
      <c r="BE906" s="1647"/>
      <c r="BF906" s="1647"/>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1"/>
      <c r="BE907" s="1631"/>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2"/>
      <c r="BE908" s="1631"/>
      <c r="BF908" s="14"/>
    </row>
    <row r="909" spans="1:58" ht="12.95" customHeight="1">
      <c r="AZ909" s="34"/>
      <c r="BB909" s="30"/>
      <c r="BC909" s="816"/>
    </row>
    <row r="910" spans="1:58" ht="12.95" customHeight="1">
      <c r="A910" s="1536" t="s">
        <v>96</v>
      </c>
      <c r="B910" s="1536"/>
      <c r="C910" s="1536"/>
      <c r="D910" s="1536"/>
      <c r="E910" s="1536"/>
      <c r="F910" s="1536"/>
      <c r="G910" s="1536"/>
      <c r="H910" s="1536"/>
      <c r="I910" s="1536"/>
      <c r="J910" s="1536"/>
      <c r="K910" s="1536"/>
      <c r="L910" s="1536"/>
      <c r="M910" s="1536"/>
      <c r="N910" s="1536"/>
      <c r="O910" s="1536"/>
      <c r="P910" s="1536"/>
      <c r="Q910" s="1536"/>
      <c r="R910" s="1536"/>
      <c r="S910" s="1536"/>
      <c r="T910" s="1536"/>
      <c r="U910" s="1536"/>
      <c r="V910" s="1536"/>
      <c r="W910" s="1536"/>
      <c r="X910" s="1536"/>
      <c r="Y910" s="1536"/>
      <c r="Z910" s="1536"/>
      <c r="AA910" s="1536"/>
      <c r="AB910" s="1536"/>
      <c r="AC910" s="1536"/>
      <c r="AD910" s="1536"/>
      <c r="AE910" s="1536"/>
      <c r="AF910" s="1536"/>
      <c r="AG910" s="1536"/>
      <c r="AH910" s="1536"/>
      <c r="AI910" s="1536"/>
      <c r="AJ910" s="1536"/>
      <c r="AK910" s="1536"/>
      <c r="AL910" s="1536"/>
      <c r="AM910" s="1536"/>
      <c r="AN910" s="1536"/>
      <c r="AO910" s="1536"/>
      <c r="AP910" s="1536"/>
      <c r="AQ910" s="1536"/>
      <c r="AR910" s="1536"/>
      <c r="AS910" s="1536"/>
      <c r="AT910" s="1536"/>
      <c r="AZ910" s="34"/>
      <c r="BA910" s="34"/>
      <c r="BB910" s="30"/>
      <c r="BC910" s="30"/>
      <c r="BD910" s="1632"/>
      <c r="BE910" s="1631"/>
      <c r="BF910" s="911"/>
    </row>
    <row r="911" spans="1:58" ht="12.95" customHeight="1">
      <c r="A911" s="1536"/>
      <c r="B911" s="1536"/>
      <c r="C911" s="1536"/>
      <c r="D911" s="1536"/>
      <c r="E911" s="1536"/>
      <c r="F911" s="1536"/>
      <c r="G911" s="1536"/>
      <c r="H911" s="1536"/>
      <c r="I911" s="1536"/>
      <c r="J911" s="1536"/>
      <c r="K911" s="1536"/>
      <c r="L911" s="1536"/>
      <c r="M911" s="1536"/>
      <c r="N911" s="1536"/>
      <c r="O911" s="1536"/>
      <c r="P911" s="1536"/>
      <c r="Q911" s="1536"/>
      <c r="R911" s="1536"/>
      <c r="S911" s="1536"/>
      <c r="T911" s="1536"/>
      <c r="U911" s="1536"/>
      <c r="V911" s="1536"/>
      <c r="W911" s="1536"/>
      <c r="X911" s="1536"/>
      <c r="Y911" s="1536"/>
      <c r="Z911" s="1536"/>
      <c r="AA911" s="1536"/>
      <c r="AB911" s="1536"/>
      <c r="AC911" s="1536"/>
      <c r="AD911" s="1536"/>
      <c r="AE911" s="1536"/>
      <c r="AF911" s="1536"/>
      <c r="AG911" s="1536"/>
      <c r="AH911" s="1536"/>
      <c r="AI911" s="1536"/>
      <c r="AJ911" s="1536"/>
      <c r="AK911" s="1536"/>
      <c r="AL911" s="1536"/>
      <c r="AM911" s="1536"/>
      <c r="AN911" s="1536"/>
      <c r="AO911" s="1536"/>
      <c r="AP911" s="1536"/>
      <c r="AQ911" s="1536"/>
      <c r="AR911" s="1536"/>
      <c r="AS911" s="1536"/>
      <c r="AT911" s="1536"/>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4" t="s">
        <v>793</v>
      </c>
      <c r="G915" s="1715"/>
      <c r="H915" s="1715"/>
      <c r="I915" s="1715"/>
      <c r="J915" s="1715"/>
      <c r="K915" s="1715"/>
      <c r="L915" s="1715"/>
      <c r="M915" s="1715"/>
      <c r="N915" s="1715"/>
      <c r="O915" s="1715"/>
      <c r="P915" s="1715"/>
      <c r="Q915" s="1715"/>
      <c r="R915" s="1715"/>
      <c r="S915" s="1715"/>
      <c r="T915" s="1716"/>
      <c r="U915" s="1760" t="s">
        <v>31</v>
      </c>
      <c r="V915" s="1609"/>
      <c r="W915" s="1609"/>
      <c r="X915" s="1609"/>
      <c r="Y915" s="1609"/>
      <c r="Z915" s="1609"/>
      <c r="AA915" s="43"/>
      <c r="AB915" s="105"/>
      <c r="AC915" s="105"/>
      <c r="AD915" s="105"/>
      <c r="AE915" s="105"/>
      <c r="AF915" s="106"/>
      <c r="AZ915" s="34"/>
      <c r="BA915" s="34"/>
      <c r="BB915" s="34"/>
      <c r="BC915" s="34"/>
    </row>
    <row r="916" spans="1:58" ht="12.95" customHeight="1">
      <c r="B916" s="2"/>
      <c r="F916" s="1761" t="s">
        <v>819</v>
      </c>
      <c r="G916" s="1762"/>
      <c r="H916" s="1762"/>
      <c r="I916" s="1762"/>
      <c r="J916" s="1762"/>
      <c r="K916" s="1762"/>
      <c r="L916" s="1762"/>
      <c r="M916" s="1762"/>
      <c r="N916" s="1762"/>
      <c r="O916" s="1762"/>
      <c r="P916" s="1762"/>
      <c r="Q916" s="1762"/>
      <c r="R916" s="1762"/>
      <c r="S916" s="1762"/>
      <c r="T916" s="1784"/>
      <c r="U916" s="1761"/>
      <c r="V916" s="1762"/>
      <c r="W916" s="1762"/>
      <c r="X916" s="1762"/>
      <c r="Y916" s="1762"/>
      <c r="Z916" s="1762"/>
      <c r="AA916" s="44"/>
      <c r="AB916" s="4"/>
      <c r="AC916" s="4"/>
      <c r="AD916" s="4"/>
      <c r="AE916" s="4"/>
      <c r="AF916" s="107"/>
      <c r="AZ916" s="34"/>
      <c r="BA916" s="34"/>
      <c r="BB916" s="34"/>
      <c r="BC916" s="34"/>
    </row>
    <row r="917" spans="1:58" ht="12.95" customHeight="1">
      <c r="B917" s="2"/>
      <c r="F917" s="1763"/>
      <c r="G917" s="1611"/>
      <c r="H917" s="1611"/>
      <c r="I917" s="1611"/>
      <c r="J917" s="1611"/>
      <c r="K917" s="1611"/>
      <c r="L917" s="1611"/>
      <c r="M917" s="1611"/>
      <c r="N917" s="1611"/>
      <c r="O917" s="1611"/>
      <c r="P917" s="1611"/>
      <c r="Q917" s="1611"/>
      <c r="R917" s="1611"/>
      <c r="S917" s="1611"/>
      <c r="T917" s="1612"/>
      <c r="U917" s="1763"/>
      <c r="V917" s="1611"/>
      <c r="W917" s="1611"/>
      <c r="X917" s="1611"/>
      <c r="Y917" s="1611"/>
      <c r="Z917" s="1611"/>
      <c r="AA917" s="108"/>
      <c r="AB917" s="1456" t="s">
        <v>391</v>
      </c>
      <c r="AC917" s="1456"/>
      <c r="AD917" s="1456"/>
      <c r="AE917" s="1456"/>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25" t="s">
        <v>546</v>
      </c>
      <c r="V918" s="1413"/>
      <c r="W918" s="1413"/>
      <c r="X918" s="1413"/>
      <c r="Y918" s="1413"/>
      <c r="Z918" s="1414"/>
      <c r="AA918" s="1629">
        <v>20570676</v>
      </c>
      <c r="AB918" s="1524"/>
      <c r="AC918" s="1524"/>
      <c r="AD918" s="1524"/>
      <c r="AE918" s="1524"/>
      <c r="AF918" s="1630"/>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25" t="s">
        <v>592</v>
      </c>
      <c r="V919" s="1413"/>
      <c r="W919" s="1413"/>
      <c r="X919" s="1413"/>
      <c r="Y919" s="1413"/>
      <c r="Z919" s="1414"/>
      <c r="AA919" s="1629"/>
      <c r="AB919" s="1524"/>
      <c r="AC919" s="1524"/>
      <c r="AD919" s="1524"/>
      <c r="AE919" s="1524"/>
      <c r="AF919" s="1630"/>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25" t="s">
        <v>592</v>
      </c>
      <c r="V920" s="1413"/>
      <c r="W920" s="1413"/>
      <c r="X920" s="1413"/>
      <c r="Y920" s="1413"/>
      <c r="Z920" s="1414"/>
      <c r="AA920" s="1629"/>
      <c r="AB920" s="1524"/>
      <c r="AC920" s="1524"/>
      <c r="AD920" s="1524"/>
      <c r="AE920" s="1524"/>
      <c r="AF920" s="1630"/>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25" t="s">
        <v>592</v>
      </c>
      <c r="V921" s="1413"/>
      <c r="W921" s="1413"/>
      <c r="X921" s="1413"/>
      <c r="Y921" s="1413"/>
      <c r="Z921" s="1414"/>
      <c r="AA921" s="1629"/>
      <c r="AB921" s="1524"/>
      <c r="AC921" s="1524"/>
      <c r="AD921" s="1524"/>
      <c r="AE921" s="1524"/>
      <c r="AF921" s="1630"/>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25" t="s">
        <v>592</v>
      </c>
      <c r="V922" s="1413"/>
      <c r="W922" s="1413"/>
      <c r="X922" s="1413"/>
      <c r="Y922" s="1413"/>
      <c r="Z922" s="1414"/>
      <c r="AA922" s="1629"/>
      <c r="AB922" s="1524"/>
      <c r="AC922" s="1524"/>
      <c r="AD922" s="1524"/>
      <c r="AE922" s="1524"/>
      <c r="AF922" s="1630"/>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25" t="s">
        <v>592</v>
      </c>
      <c r="V923" s="1413"/>
      <c r="W923" s="1413"/>
      <c r="X923" s="1413"/>
      <c r="Y923" s="1413"/>
      <c r="Z923" s="1414"/>
      <c r="AA923" s="1629"/>
      <c r="AB923" s="1524"/>
      <c r="AC923" s="1524"/>
      <c r="AD923" s="1524"/>
      <c r="AE923" s="1524"/>
      <c r="AF923" s="1630"/>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25" t="s">
        <v>592</v>
      </c>
      <c r="V924" s="1413"/>
      <c r="W924" s="1413"/>
      <c r="X924" s="1413"/>
      <c r="Y924" s="1413"/>
      <c r="Z924" s="1414"/>
      <c r="AA924" s="1629"/>
      <c r="AB924" s="1524"/>
      <c r="AC924" s="1524"/>
      <c r="AD924" s="1524"/>
      <c r="AE924" s="1524"/>
      <c r="AF924" s="1630"/>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25" t="s">
        <v>592</v>
      </c>
      <c r="V925" s="1413"/>
      <c r="W925" s="1413"/>
      <c r="X925" s="1413"/>
      <c r="Y925" s="1413"/>
      <c r="Z925" s="1414"/>
      <c r="AA925" s="1629"/>
      <c r="AB925" s="1524"/>
      <c r="AC925" s="1524"/>
      <c r="AD925" s="1524"/>
      <c r="AE925" s="1524"/>
      <c r="AF925" s="1630"/>
      <c r="AZ925" s="34"/>
      <c r="BA925" s="34"/>
      <c r="BB925" s="34"/>
      <c r="BC925" s="34"/>
    </row>
    <row r="926" spans="1:58" ht="12.95" customHeight="1">
      <c r="F926" s="1626" t="s">
        <v>2193</v>
      </c>
      <c r="G926" s="1627"/>
      <c r="H926" s="1627"/>
      <c r="I926" s="1627"/>
      <c r="J926" s="1627"/>
      <c r="K926" s="1627"/>
      <c r="L926" s="1627"/>
      <c r="M926" s="1627"/>
      <c r="N926" s="1627"/>
      <c r="O926" s="1627"/>
      <c r="P926" s="1627"/>
      <c r="Q926" s="1627"/>
      <c r="R926" s="1627"/>
      <c r="S926" s="1627"/>
      <c r="T926" s="1628"/>
      <c r="U926" s="1625" t="s">
        <v>592</v>
      </c>
      <c r="V926" s="1413"/>
      <c r="W926" s="1413"/>
      <c r="X926" s="1413"/>
      <c r="Y926" s="1413"/>
      <c r="Z926" s="1414"/>
      <c r="AA926" s="1629"/>
      <c r="AB926" s="1524"/>
      <c r="AC926" s="1524"/>
      <c r="AD926" s="1524"/>
      <c r="AE926" s="1524"/>
      <c r="AF926" s="1630"/>
      <c r="AZ926" s="34"/>
      <c r="BA926" s="34"/>
      <c r="BB926" s="34"/>
      <c r="BC926" s="34"/>
    </row>
    <row r="927" spans="1:58" ht="12.95" customHeight="1">
      <c r="F927" s="1626" t="s">
        <v>680</v>
      </c>
      <c r="G927" s="1627"/>
      <c r="H927" s="1627"/>
      <c r="I927" s="1627"/>
      <c r="J927" s="1627"/>
      <c r="K927" s="1627"/>
      <c r="L927" s="1627"/>
      <c r="M927" s="1627"/>
      <c r="N927" s="1627"/>
      <c r="O927" s="1627"/>
      <c r="P927" s="1627"/>
      <c r="Q927" s="1627"/>
      <c r="R927" s="1627"/>
      <c r="S927" s="1627"/>
      <c r="T927" s="1628"/>
      <c r="U927" s="1625" t="s">
        <v>592</v>
      </c>
      <c r="V927" s="1413"/>
      <c r="W927" s="1413"/>
      <c r="X927" s="1413"/>
      <c r="Y927" s="1413"/>
      <c r="Z927" s="1414"/>
      <c r="AA927" s="1629"/>
      <c r="AB927" s="1524"/>
      <c r="AC927" s="1524"/>
      <c r="AD927" s="1524"/>
      <c r="AE927" s="1524"/>
      <c r="AF927" s="1630"/>
      <c r="AU927" s="2"/>
      <c r="AZ927" s="34"/>
      <c r="BA927" s="34"/>
      <c r="BB927" s="34"/>
      <c r="BC927" s="34"/>
    </row>
    <row r="928" spans="1:58" ht="12.95" customHeight="1">
      <c r="F928" s="1626" t="s">
        <v>2194</v>
      </c>
      <c r="G928" s="1627"/>
      <c r="H928" s="1627"/>
      <c r="I928" s="1627"/>
      <c r="J928" s="1627"/>
      <c r="K928" s="1627"/>
      <c r="L928" s="1627"/>
      <c r="M928" s="1627"/>
      <c r="N928" s="1627"/>
      <c r="O928" s="1627"/>
      <c r="P928" s="1627"/>
      <c r="Q928" s="1627"/>
      <c r="R928" s="1627"/>
      <c r="S928" s="1627"/>
      <c r="T928" s="1628"/>
      <c r="U928" s="1625" t="s">
        <v>592</v>
      </c>
      <c r="V928" s="1413"/>
      <c r="W928" s="1413"/>
      <c r="X928" s="1413"/>
      <c r="Y928" s="1413"/>
      <c r="Z928" s="1414"/>
      <c r="AA928" s="1629"/>
      <c r="AB928" s="1524"/>
      <c r="AC928" s="1524"/>
      <c r="AD928" s="1524"/>
      <c r="AE928" s="1524"/>
      <c r="AF928" s="1630"/>
      <c r="AU928" s="2"/>
      <c r="AZ928" s="34"/>
      <c r="BA928" s="34"/>
      <c r="BB928" s="34"/>
      <c r="BC928" s="34"/>
    </row>
    <row r="929" spans="6:55" ht="12.95" customHeight="1">
      <c r="F929" s="1626" t="s">
        <v>2195</v>
      </c>
      <c r="G929" s="1627"/>
      <c r="H929" s="1627"/>
      <c r="I929" s="1627"/>
      <c r="J929" s="1627"/>
      <c r="K929" s="1627"/>
      <c r="L929" s="1627"/>
      <c r="M929" s="1627"/>
      <c r="N929" s="1627"/>
      <c r="O929" s="1627"/>
      <c r="P929" s="1627"/>
      <c r="Q929" s="1627"/>
      <c r="R929" s="1627"/>
      <c r="S929" s="1627"/>
      <c r="T929" s="1628"/>
      <c r="U929" s="1625" t="s">
        <v>592</v>
      </c>
      <c r="V929" s="1413"/>
      <c r="W929" s="1413"/>
      <c r="X929" s="1413"/>
      <c r="Y929" s="1413"/>
      <c r="Z929" s="1414"/>
      <c r="AA929" s="1629"/>
      <c r="AB929" s="1524"/>
      <c r="AC929" s="1524"/>
      <c r="AD929" s="1524"/>
      <c r="AE929" s="1524"/>
      <c r="AF929" s="1630"/>
      <c r="AU929" s="2"/>
      <c r="AZ929" s="34"/>
      <c r="BA929" s="34"/>
      <c r="BB929" s="34"/>
      <c r="BC929" s="34"/>
    </row>
    <row r="930" spans="6:55" ht="12.95" customHeight="1">
      <c r="F930" s="1626" t="s">
        <v>2196</v>
      </c>
      <c r="G930" s="1627"/>
      <c r="H930" s="1627"/>
      <c r="I930" s="1627"/>
      <c r="J930" s="1627"/>
      <c r="K930" s="1627"/>
      <c r="L930" s="1627"/>
      <c r="M930" s="1627"/>
      <c r="N930" s="1627"/>
      <c r="O930" s="1627"/>
      <c r="P930" s="1627"/>
      <c r="Q930" s="1627"/>
      <c r="R930" s="1627"/>
      <c r="S930" s="1627"/>
      <c r="T930" s="1628"/>
      <c r="U930" s="1625" t="s">
        <v>592</v>
      </c>
      <c r="V930" s="1413"/>
      <c r="W930" s="1413"/>
      <c r="X930" s="1413"/>
      <c r="Y930" s="1413"/>
      <c r="Z930" s="1414"/>
      <c r="AA930" s="1629"/>
      <c r="AB930" s="1524"/>
      <c r="AC930" s="1524"/>
      <c r="AD930" s="1524"/>
      <c r="AE930" s="1524"/>
      <c r="AF930" s="1630"/>
      <c r="AU930" s="2"/>
      <c r="AZ930" s="34"/>
      <c r="BA930" s="34"/>
      <c r="BB930" s="34"/>
      <c r="BC930" s="34"/>
    </row>
    <row r="931" spans="6:55" ht="12.95" customHeight="1">
      <c r="F931" s="1626" t="s">
        <v>2197</v>
      </c>
      <c r="G931" s="1627"/>
      <c r="H931" s="1627"/>
      <c r="I931" s="1627"/>
      <c r="J931" s="1627"/>
      <c r="K931" s="1627"/>
      <c r="L931" s="1627"/>
      <c r="M931" s="1627"/>
      <c r="N931" s="1627"/>
      <c r="O931" s="1627"/>
      <c r="P931" s="1627"/>
      <c r="Q931" s="1627"/>
      <c r="R931" s="1627"/>
      <c r="S931" s="1627"/>
      <c r="T931" s="1628"/>
      <c r="U931" s="1625" t="s">
        <v>592</v>
      </c>
      <c r="V931" s="1413"/>
      <c r="W931" s="1413"/>
      <c r="X931" s="1413"/>
      <c r="Y931" s="1413"/>
      <c r="Z931" s="1414"/>
      <c r="AA931" s="1629"/>
      <c r="AB931" s="1524"/>
      <c r="AC931" s="1524"/>
      <c r="AD931" s="1524"/>
      <c r="AE931" s="1524"/>
      <c r="AF931" s="1630"/>
      <c r="AU931" s="2"/>
      <c r="AZ931" s="34"/>
      <c r="BA931" s="34"/>
      <c r="BB931" s="34"/>
      <c r="BC931" s="34"/>
    </row>
    <row r="932" spans="6:55" ht="12.95" customHeight="1">
      <c r="F932" s="1626" t="s">
        <v>2198</v>
      </c>
      <c r="G932" s="1627"/>
      <c r="H932" s="1627"/>
      <c r="I932" s="1627"/>
      <c r="J932" s="1627"/>
      <c r="K932" s="1627"/>
      <c r="L932" s="1627"/>
      <c r="M932" s="1627"/>
      <c r="N932" s="1627"/>
      <c r="O932" s="1627"/>
      <c r="P932" s="1627"/>
      <c r="Q932" s="1627"/>
      <c r="R932" s="1627"/>
      <c r="S932" s="1627"/>
      <c r="T932" s="1628"/>
      <c r="U932" s="1625" t="s">
        <v>592</v>
      </c>
      <c r="V932" s="1413"/>
      <c r="W932" s="1413"/>
      <c r="X932" s="1413"/>
      <c r="Y932" s="1413"/>
      <c r="Z932" s="1414"/>
      <c r="AA932" s="1629"/>
      <c r="AB932" s="1524"/>
      <c r="AC932" s="1524"/>
      <c r="AD932" s="1524"/>
      <c r="AE932" s="1524"/>
      <c r="AF932" s="1630"/>
      <c r="AZ932" s="30"/>
      <c r="BA932" s="30"/>
    </row>
    <row r="933" spans="6:55" ht="12.95" customHeight="1">
      <c r="F933" s="178" t="s">
        <v>677</v>
      </c>
      <c r="G933" s="5"/>
      <c r="H933" s="5"/>
      <c r="I933" s="5"/>
      <c r="J933" s="5"/>
      <c r="K933" s="5"/>
      <c r="L933" s="5"/>
      <c r="M933" s="5"/>
      <c r="N933" s="5"/>
      <c r="O933" s="5"/>
      <c r="P933" s="5"/>
      <c r="Q933" s="5"/>
      <c r="R933" s="5"/>
      <c r="S933" s="5"/>
      <c r="T933" s="46"/>
      <c r="U933" s="1625" t="s">
        <v>592</v>
      </c>
      <c r="V933" s="1413"/>
      <c r="W933" s="1413"/>
      <c r="X933" s="1413"/>
      <c r="Y933" s="1413"/>
      <c r="Z933" s="1414"/>
      <c r="AA933" s="1629"/>
      <c r="AB933" s="1524"/>
      <c r="AC933" s="1524"/>
      <c r="AD933" s="1524"/>
      <c r="AE933" s="1524"/>
      <c r="AF933" s="1630"/>
    </row>
    <row r="934" spans="6:55" ht="12.95" customHeight="1">
      <c r="F934" s="121" t="s">
        <v>1278</v>
      </c>
      <c r="G934" s="5"/>
      <c r="H934" s="5"/>
      <c r="I934" s="5"/>
      <c r="J934" s="5"/>
      <c r="K934" s="5"/>
      <c r="L934" s="5"/>
      <c r="M934" s="5"/>
      <c r="N934" s="5"/>
      <c r="O934" s="5"/>
      <c r="P934" s="5"/>
      <c r="Q934" s="5"/>
      <c r="R934" s="5"/>
      <c r="S934" s="5"/>
      <c r="T934" s="46"/>
      <c r="U934" s="1625" t="s">
        <v>592</v>
      </c>
      <c r="V934" s="1413"/>
      <c r="W934" s="1413"/>
      <c r="X934" s="1413"/>
      <c r="Y934" s="1413"/>
      <c r="Z934" s="1414"/>
      <c r="AA934" s="1629"/>
      <c r="AB934" s="1524"/>
      <c r="AC934" s="1524"/>
      <c r="AD934" s="1524"/>
      <c r="AE934" s="1524"/>
      <c r="AF934" s="1630"/>
      <c r="AZ934" s="30"/>
      <c r="BA934" s="14"/>
    </row>
    <row r="935" spans="6:55" ht="12.95" customHeight="1">
      <c r="F935" s="66" t="s">
        <v>803</v>
      </c>
      <c r="G935" s="5"/>
      <c r="H935" s="5"/>
      <c r="I935" s="5"/>
      <c r="J935" s="5"/>
      <c r="K935" s="5"/>
      <c r="L935" s="5"/>
      <c r="M935" s="5"/>
      <c r="N935" s="5"/>
      <c r="O935" s="5"/>
      <c r="P935" s="5"/>
      <c r="Q935" s="5"/>
      <c r="R935" s="5"/>
      <c r="S935" s="5"/>
      <c r="T935" s="46"/>
      <c r="U935" s="1625" t="s">
        <v>592</v>
      </c>
      <c r="V935" s="1413"/>
      <c r="W935" s="1413"/>
      <c r="X935" s="1413"/>
      <c r="Y935" s="1413"/>
      <c r="Z935" s="1414"/>
      <c r="AA935" s="1629"/>
      <c r="AB935" s="1524"/>
      <c r="AC935" s="1524"/>
      <c r="AD935" s="1524"/>
      <c r="AE935" s="1524"/>
      <c r="AF935" s="1630"/>
      <c r="AZ935" s="30"/>
      <c r="BA935" s="14"/>
    </row>
    <row r="936" spans="6:55" ht="12.95" customHeight="1">
      <c r="F936" s="1622" t="s">
        <v>2202</v>
      </c>
      <c r="G936" s="1623"/>
      <c r="H936" s="1623"/>
      <c r="I936" s="1623"/>
      <c r="J936" s="1623"/>
      <c r="K936" s="1623"/>
      <c r="L936" s="1623"/>
      <c r="M936" s="1623"/>
      <c r="N936" s="1623"/>
      <c r="O936" s="1623"/>
      <c r="P936" s="1623"/>
      <c r="Q936" s="1623"/>
      <c r="R936" s="1623"/>
      <c r="S936" s="1623"/>
      <c r="T936" s="1624"/>
      <c r="U936" s="1625" t="s">
        <v>592</v>
      </c>
      <c r="V936" s="1413"/>
      <c r="W936" s="1413"/>
      <c r="X936" s="1413"/>
      <c r="Y936" s="1413"/>
      <c r="Z936" s="1414"/>
      <c r="AA936" s="1629"/>
      <c r="AB936" s="1524"/>
      <c r="AC936" s="1524"/>
      <c r="AD936" s="1524"/>
      <c r="AE936" s="1524"/>
      <c r="AF936" s="1630"/>
      <c r="AZ936" s="30"/>
      <c r="BA936" s="14"/>
    </row>
    <row r="937" spans="6:55" ht="12.95" customHeight="1">
      <c r="F937" s="1622" t="s">
        <v>2203</v>
      </c>
      <c r="G937" s="1623"/>
      <c r="H937" s="1623"/>
      <c r="I937" s="1623"/>
      <c r="J937" s="1623"/>
      <c r="K937" s="1623"/>
      <c r="L937" s="1623"/>
      <c r="M937" s="1623"/>
      <c r="N937" s="1623"/>
      <c r="O937" s="1623"/>
      <c r="P937" s="1623"/>
      <c r="Q937" s="1623"/>
      <c r="R937" s="1623"/>
      <c r="S937" s="1623"/>
      <c r="T937" s="1624"/>
      <c r="U937" s="1625" t="s">
        <v>592</v>
      </c>
      <c r="V937" s="1413"/>
      <c r="W937" s="1413"/>
      <c r="X937" s="1413"/>
      <c r="Y937" s="1413"/>
      <c r="Z937" s="1414"/>
      <c r="AA937" s="1629"/>
      <c r="AB937" s="1524"/>
      <c r="AC937" s="1524"/>
      <c r="AD937" s="1524"/>
      <c r="AE937" s="1524"/>
      <c r="AF937" s="1630"/>
      <c r="AZ937" s="30"/>
      <c r="BA937" s="30"/>
    </row>
    <row r="938" spans="6:55" ht="12.95" customHeight="1">
      <c r="F938" s="1626" t="s">
        <v>2199</v>
      </c>
      <c r="G938" s="1627"/>
      <c r="H938" s="1627"/>
      <c r="I938" s="1627"/>
      <c r="J938" s="1627"/>
      <c r="K938" s="1627"/>
      <c r="L938" s="1627"/>
      <c r="M938" s="1627"/>
      <c r="N938" s="1627"/>
      <c r="O938" s="1627"/>
      <c r="P938" s="1627"/>
      <c r="Q938" s="1627"/>
      <c r="R938" s="1627"/>
      <c r="S938" s="1627"/>
      <c r="T938" s="1628"/>
      <c r="U938" s="1625" t="s">
        <v>592</v>
      </c>
      <c r="V938" s="1413"/>
      <c r="W938" s="1413"/>
      <c r="X938" s="1413"/>
      <c r="Y938" s="1413"/>
      <c r="Z938" s="1414"/>
      <c r="AA938" s="1629"/>
      <c r="AB938" s="1524"/>
      <c r="AC938" s="1524"/>
      <c r="AD938" s="1524"/>
      <c r="AE938" s="1524"/>
      <c r="AF938" s="1630"/>
      <c r="AZ938" s="30"/>
      <c r="BA938" s="30"/>
    </row>
    <row r="939" spans="6:55" ht="12.95" customHeight="1">
      <c r="F939" s="1626" t="s">
        <v>2200</v>
      </c>
      <c r="G939" s="1627"/>
      <c r="H939" s="1627"/>
      <c r="I939" s="1627"/>
      <c r="J939" s="1627"/>
      <c r="K939" s="1627"/>
      <c r="L939" s="1627"/>
      <c r="M939" s="1627"/>
      <c r="N939" s="1627"/>
      <c r="O939" s="1627"/>
      <c r="P939" s="1627"/>
      <c r="Q939" s="1627"/>
      <c r="R939" s="1627"/>
      <c r="S939" s="1627"/>
      <c r="T939" s="1628"/>
      <c r="U939" s="1625" t="s">
        <v>592</v>
      </c>
      <c r="V939" s="1413"/>
      <c r="W939" s="1413"/>
      <c r="X939" s="1413"/>
      <c r="Y939" s="1413"/>
      <c r="Z939" s="1414"/>
      <c r="AA939" s="1629"/>
      <c r="AB939" s="1524"/>
      <c r="AC939" s="1524"/>
      <c r="AD939" s="1524"/>
      <c r="AE939" s="1524"/>
      <c r="AF939" s="1630"/>
      <c r="AZ939" s="30"/>
      <c r="BA939" s="30"/>
    </row>
    <row r="940" spans="6:55" ht="12.95" customHeight="1">
      <c r="F940" s="1626" t="s">
        <v>2201</v>
      </c>
      <c r="G940" s="1627"/>
      <c r="H940" s="1627"/>
      <c r="I940" s="1627"/>
      <c r="J940" s="1627"/>
      <c r="K940" s="1627"/>
      <c r="L940" s="1627"/>
      <c r="M940" s="1627"/>
      <c r="N940" s="1627"/>
      <c r="O940" s="1627"/>
      <c r="P940" s="1627"/>
      <c r="Q940" s="1627"/>
      <c r="R940" s="1627"/>
      <c r="S940" s="1627"/>
      <c r="T940" s="1628"/>
      <c r="U940" s="1625" t="s">
        <v>592</v>
      </c>
      <c r="V940" s="1413"/>
      <c r="W940" s="1413"/>
      <c r="X940" s="1413"/>
      <c r="Y940" s="1413"/>
      <c r="Z940" s="1414"/>
      <c r="AA940" s="1629"/>
      <c r="AB940" s="1524"/>
      <c r="AC940" s="1524"/>
      <c r="AD940" s="1524"/>
      <c r="AE940" s="1524"/>
      <c r="AF940" s="1630"/>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625" t="s">
        <v>592</v>
      </c>
      <c r="V941" s="1413"/>
      <c r="W941" s="1413"/>
      <c r="X941" s="1413"/>
      <c r="Y941" s="1413"/>
      <c r="Z941" s="1414"/>
      <c r="AA941" s="1629"/>
      <c r="AB941" s="1524"/>
      <c r="AC941" s="1524"/>
      <c r="AD941" s="1524"/>
      <c r="AE941" s="1524"/>
      <c r="AF941" s="1630"/>
      <c r="AZ941" s="34"/>
      <c r="BA941" s="34"/>
      <c r="BB941" s="14"/>
      <c r="BC941" s="14"/>
    </row>
    <row r="942" spans="6:55" ht="12.95" customHeight="1">
      <c r="F942" s="1622" t="s">
        <v>2204</v>
      </c>
      <c r="G942" s="1623"/>
      <c r="H942" s="1623"/>
      <c r="I942" s="1623"/>
      <c r="J942" s="1623"/>
      <c r="K942" s="1623"/>
      <c r="L942" s="1623"/>
      <c r="M942" s="1623"/>
      <c r="N942" s="1623"/>
      <c r="O942" s="1623"/>
      <c r="P942" s="1623"/>
      <c r="Q942" s="1623"/>
      <c r="R942" s="1623"/>
      <c r="S942" s="1623"/>
      <c r="T942" s="1624"/>
      <c r="U942" s="1625" t="s">
        <v>592</v>
      </c>
      <c r="V942" s="1413"/>
      <c r="W942" s="1413"/>
      <c r="X942" s="1413"/>
      <c r="Y942" s="1413"/>
      <c r="Z942" s="1414"/>
      <c r="AA942" s="1629"/>
      <c r="AB942" s="1524"/>
      <c r="AC942" s="1524"/>
      <c r="AD942" s="1524"/>
      <c r="AE942" s="1524"/>
      <c r="AF942" s="1630"/>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625" t="s">
        <v>592</v>
      </c>
      <c r="V943" s="1413"/>
      <c r="W943" s="1413"/>
      <c r="X943" s="1413"/>
      <c r="Y943" s="1413"/>
      <c r="Z943" s="1414"/>
      <c r="AA943" s="1629"/>
      <c r="AB943" s="1524"/>
      <c r="AC943" s="1524"/>
      <c r="AD943" s="1524"/>
      <c r="AE943" s="1524"/>
      <c r="AF943" s="1630"/>
      <c r="AZ943" s="34"/>
      <c r="BA943" s="34"/>
      <c r="BB943" s="34"/>
      <c r="BC943" s="34"/>
    </row>
    <row r="944" spans="6:55" ht="12.95" customHeight="1">
      <c r="F944" s="1622" t="s">
        <v>2205</v>
      </c>
      <c r="G944" s="1623"/>
      <c r="H944" s="1623"/>
      <c r="I944" s="1623"/>
      <c r="J944" s="1623"/>
      <c r="K944" s="1623"/>
      <c r="L944" s="1623"/>
      <c r="M944" s="1623"/>
      <c r="N944" s="1623"/>
      <c r="O944" s="1623"/>
      <c r="P944" s="1623"/>
      <c r="Q944" s="1623"/>
      <c r="R944" s="1623"/>
      <c r="S944" s="1623"/>
      <c r="T944" s="1624"/>
      <c r="U944" s="1625" t="s">
        <v>592</v>
      </c>
      <c r="V944" s="1413"/>
      <c r="W944" s="1413"/>
      <c r="X944" s="1413"/>
      <c r="Y944" s="1413"/>
      <c r="Z944" s="1414"/>
      <c r="AA944" s="1629"/>
      <c r="AB944" s="1524"/>
      <c r="AC944" s="1524"/>
      <c r="AD944" s="1524"/>
      <c r="AE944" s="1524"/>
      <c r="AF944" s="1630"/>
      <c r="AZ944" s="34"/>
      <c r="BA944" s="34"/>
      <c r="BB944" s="34"/>
      <c r="BC944" s="34"/>
    </row>
    <row r="945" spans="1:55" ht="12.95" customHeight="1">
      <c r="F945" s="45" t="s">
        <v>807</v>
      </c>
      <c r="G945" s="5"/>
      <c r="H945" s="5"/>
      <c r="I945" s="5"/>
      <c r="J945" s="5"/>
      <c r="K945" s="5"/>
      <c r="L945" s="5"/>
      <c r="M945" s="5"/>
      <c r="N945" s="5"/>
      <c r="O945" s="5"/>
      <c r="P945" s="1625" t="s">
        <v>670</v>
      </c>
      <c r="Q945" s="1413"/>
      <c r="R945" s="1413"/>
      <c r="S945" s="1413"/>
      <c r="T945" s="1414"/>
      <c r="U945" s="1625" t="s">
        <v>592</v>
      </c>
      <c r="V945" s="1413"/>
      <c r="W945" s="1413"/>
      <c r="X945" s="1413"/>
      <c r="Y945" s="1413"/>
      <c r="Z945" s="1414"/>
      <c r="AA945" s="1629"/>
      <c r="AB945" s="1524"/>
      <c r="AC945" s="1524"/>
      <c r="AD945" s="1524"/>
      <c r="AE945" s="1524"/>
      <c r="AF945" s="1630"/>
      <c r="AZ945" s="34"/>
      <c r="BA945" s="34"/>
      <c r="BB945" s="34"/>
      <c r="BC945" s="34"/>
    </row>
    <row r="946" spans="1:55" ht="12.95" customHeight="1">
      <c r="F946" s="1626" t="s">
        <v>2192</v>
      </c>
      <c r="G946" s="1627"/>
      <c r="H946" s="1628"/>
      <c r="I946" s="1640" t="s">
        <v>334</v>
      </c>
      <c r="J946" s="1641"/>
      <c r="K946" s="1641"/>
      <c r="L946" s="1641"/>
      <c r="M946" s="1641"/>
      <c r="N946" s="1641"/>
      <c r="O946" s="1641"/>
      <c r="P946" s="1641"/>
      <c r="Q946" s="1641"/>
      <c r="R946" s="1641"/>
      <c r="S946" s="1641"/>
      <c r="T946" s="1642"/>
      <c r="U946" s="1625" t="s">
        <v>592</v>
      </c>
      <c r="V946" s="1413"/>
      <c r="W946" s="1413"/>
      <c r="X946" s="1413"/>
      <c r="Y946" s="1413"/>
      <c r="Z946" s="1414"/>
      <c r="AA946" s="1629"/>
      <c r="AB946" s="1524"/>
      <c r="AC946" s="1524"/>
      <c r="AD946" s="1524"/>
      <c r="AE946" s="1524"/>
      <c r="AF946" s="1630"/>
      <c r="AZ946" s="34"/>
      <c r="BA946" s="34"/>
      <c r="BB946" s="34"/>
      <c r="BC946" s="34"/>
    </row>
    <row r="947" spans="1:55" ht="12.95" customHeight="1">
      <c r="F947" s="45" t="s">
        <v>86</v>
      </c>
      <c r="G947" s="48"/>
      <c r="H947" s="48"/>
      <c r="I947" s="1640" t="s">
        <v>2711</v>
      </c>
      <c r="J947" s="1641"/>
      <c r="K947" s="1641"/>
      <c r="L947" s="1641"/>
      <c r="M947" s="1641"/>
      <c r="N947" s="1641"/>
      <c r="O947" s="1641"/>
      <c r="P947" s="1641"/>
      <c r="Q947" s="1641"/>
      <c r="R947" s="1641"/>
      <c r="S947" s="1641"/>
      <c r="T947" s="1642"/>
      <c r="U947" s="1625" t="s">
        <v>592</v>
      </c>
      <c r="V947" s="1413"/>
      <c r="W947" s="1413"/>
      <c r="X947" s="1413"/>
      <c r="Y947" s="1413"/>
      <c r="Z947" s="1414"/>
      <c r="AA947" s="1629">
        <v>2402000</v>
      </c>
      <c r="AB947" s="1524"/>
      <c r="AC947" s="1524"/>
      <c r="AD947" s="1524"/>
      <c r="AE947" s="1524"/>
      <c r="AF947" s="1630"/>
      <c r="AZ947" s="34"/>
      <c r="BA947" s="34"/>
      <c r="BB947" s="34"/>
      <c r="BC947" s="34"/>
    </row>
    <row r="948" spans="1:55" ht="12.95" customHeight="1">
      <c r="F948" s="45" t="s">
        <v>10</v>
      </c>
      <c r="G948" s="48"/>
      <c r="H948" s="48"/>
      <c r="I948" s="1640" t="s">
        <v>2735</v>
      </c>
      <c r="J948" s="1702"/>
      <c r="K948" s="1702"/>
      <c r="L948" s="1702"/>
      <c r="M948" s="1702"/>
      <c r="N948" s="1702"/>
      <c r="O948" s="1702"/>
      <c r="P948" s="1702"/>
      <c r="Q948" s="1702"/>
      <c r="R948" s="1702"/>
      <c r="S948" s="1702"/>
      <c r="T948" s="1703"/>
      <c r="U948" s="1625" t="s">
        <v>592</v>
      </c>
      <c r="V948" s="1413"/>
      <c r="W948" s="1413"/>
      <c r="X948" s="1413"/>
      <c r="Y948" s="1413"/>
      <c r="Z948" s="1414"/>
      <c r="AA948" s="1629">
        <v>4360000</v>
      </c>
      <c r="AB948" s="1524"/>
      <c r="AC948" s="1524"/>
      <c r="AD948" s="1524"/>
      <c r="AE948" s="1524"/>
      <c r="AF948" s="1630"/>
      <c r="AV948" s="2"/>
      <c r="AW948" s="2"/>
      <c r="AX948" s="2"/>
      <c r="AY948" s="2"/>
      <c r="AZ948" s="34"/>
      <c r="BA948" s="34"/>
      <c r="BB948" s="34"/>
      <c r="BC948" s="34"/>
    </row>
    <row r="949" spans="1:55" ht="12.95" customHeight="1">
      <c r="F949" s="47" t="s">
        <v>170</v>
      </c>
      <c r="G949" s="48"/>
      <c r="H949" s="48"/>
      <c r="I949" s="1640" t="s">
        <v>334</v>
      </c>
      <c r="J949" s="1702"/>
      <c r="K949" s="1702"/>
      <c r="L949" s="1702"/>
      <c r="M949" s="1702"/>
      <c r="N949" s="1702"/>
      <c r="O949" s="1702"/>
      <c r="P949" s="1702"/>
      <c r="Q949" s="1702"/>
      <c r="R949" s="1702"/>
      <c r="S949" s="1702"/>
      <c r="T949" s="1703"/>
      <c r="U949" s="1625" t="s">
        <v>592</v>
      </c>
      <c r="V949" s="1413"/>
      <c r="W949" s="1413"/>
      <c r="X949" s="1413"/>
      <c r="Y949" s="1413"/>
      <c r="Z949" s="1414"/>
      <c r="AA949" s="1629"/>
      <c r="AB949" s="1524"/>
      <c r="AC949" s="1524"/>
      <c r="AD949" s="1524"/>
      <c r="AE949" s="1524"/>
      <c r="AF949" s="1630"/>
      <c r="AU949" s="2"/>
      <c r="AZ949" s="34"/>
      <c r="BA949" s="34"/>
      <c r="BB949" s="34"/>
      <c r="BC949" s="34"/>
    </row>
    <row r="950" spans="1:55" ht="12.95" customHeight="1">
      <c r="F950" s="47" t="s">
        <v>170</v>
      </c>
      <c r="G950" s="48"/>
      <c r="H950" s="48"/>
      <c r="I950" s="1835" t="s">
        <v>334</v>
      </c>
      <c r="J950" s="1702"/>
      <c r="K950" s="1702"/>
      <c r="L950" s="1702"/>
      <c r="M950" s="1702"/>
      <c r="N950" s="1702"/>
      <c r="O950" s="1702"/>
      <c r="P950" s="1702"/>
      <c r="Q950" s="1702"/>
      <c r="R950" s="1702"/>
      <c r="S950" s="1702"/>
      <c r="T950" s="1703"/>
      <c r="U950" s="1625" t="s">
        <v>592</v>
      </c>
      <c r="V950" s="1413"/>
      <c r="W950" s="1413"/>
      <c r="X950" s="1413"/>
      <c r="Y950" s="1413"/>
      <c r="Z950" s="1414"/>
      <c r="AA950" s="1629"/>
      <c r="AB950" s="1524"/>
      <c r="AC950" s="1524"/>
      <c r="AD950" s="1524"/>
      <c r="AE950" s="1524"/>
      <c r="AF950" s="1630"/>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5">
        <v>45901</v>
      </c>
      <c r="N955" s="1519"/>
      <c r="O955" s="1519"/>
      <c r="P955" s="1519"/>
      <c r="Q955" s="1519"/>
      <c r="R955" s="1519"/>
      <c r="S955" s="1620"/>
      <c r="U955" s="66" t="s">
        <v>11</v>
      </c>
      <c r="V955" s="5"/>
      <c r="W955" s="5"/>
      <c r="X955" s="5"/>
      <c r="Y955" s="5"/>
      <c r="Z955" s="5"/>
      <c r="AA955" s="5"/>
      <c r="AB955" s="5"/>
      <c r="AC955" s="5"/>
      <c r="AD955" s="46"/>
      <c r="AE955" s="1705"/>
      <c r="AF955" s="1519"/>
      <c r="AG955" s="1519"/>
      <c r="AH955" s="1519"/>
      <c r="AI955" s="1519"/>
      <c r="AJ955" s="1519"/>
      <c r="AK955" s="1620"/>
      <c r="AZ955" s="34"/>
      <c r="BA955" s="34"/>
      <c r="BB955" s="34"/>
      <c r="BC955" s="34"/>
    </row>
    <row r="956" spans="1:55" ht="12.95" customHeight="1">
      <c r="C956" s="66" t="s">
        <v>12</v>
      </c>
      <c r="D956" s="5"/>
      <c r="E956" s="5"/>
      <c r="F956" s="5"/>
      <c r="G956" s="5"/>
      <c r="H956" s="5"/>
      <c r="I956" s="5"/>
      <c r="J956" s="5"/>
      <c r="K956" s="5"/>
      <c r="L956" s="46"/>
      <c r="M956" s="1663" t="s">
        <v>2736</v>
      </c>
      <c r="N956" s="1569"/>
      <c r="O956" s="1569"/>
      <c r="P956" s="1569"/>
      <c r="Q956" s="1569"/>
      <c r="R956" s="1569"/>
      <c r="S956" s="1664"/>
      <c r="U956" s="66" t="s">
        <v>12</v>
      </c>
      <c r="V956" s="5"/>
      <c r="W956" s="5"/>
      <c r="X956" s="5"/>
      <c r="Y956" s="5"/>
      <c r="Z956" s="5"/>
      <c r="AA956" s="5"/>
      <c r="AB956" s="5"/>
      <c r="AC956" s="5"/>
      <c r="AD956" s="46"/>
      <c r="AE956" s="1663"/>
      <c r="AF956" s="1569"/>
      <c r="AG956" s="1569"/>
      <c r="AH956" s="1569"/>
      <c r="AI956" s="1569"/>
      <c r="AJ956" s="1569"/>
      <c r="AK956" s="1664"/>
      <c r="AZ956" s="34"/>
      <c r="BA956" s="34"/>
      <c r="BB956" s="34"/>
      <c r="BC956" s="34"/>
    </row>
    <row r="957" spans="1:55" ht="12.95" customHeight="1">
      <c r="C957" s="66" t="s">
        <v>881</v>
      </c>
      <c r="D957" s="5"/>
      <c r="E957" s="5"/>
      <c r="J957" s="1717" t="s">
        <v>2737</v>
      </c>
      <c r="K957" s="1718"/>
      <c r="L957" s="1718"/>
      <c r="M957" s="1718"/>
      <c r="N957" s="1718"/>
      <c r="O957" s="1718"/>
      <c r="P957" s="1718"/>
      <c r="Q957" s="1718"/>
      <c r="R957" s="1718"/>
      <c r="S957" s="1719"/>
      <c r="U957" s="66" t="s">
        <v>881</v>
      </c>
      <c r="V957" s="5"/>
      <c r="W957" s="5"/>
      <c r="AB957" s="1717" t="s">
        <v>307</v>
      </c>
      <c r="AC957" s="1718"/>
      <c r="AD957" s="1718"/>
      <c r="AE957" s="1718"/>
      <c r="AF957" s="1718"/>
      <c r="AG957" s="1718"/>
      <c r="AH957" s="1718"/>
      <c r="AI957" s="1718"/>
      <c r="AJ957" s="1718"/>
      <c r="AK957" s="1719"/>
      <c r="AZ957" s="34"/>
      <c r="BA957" s="34"/>
      <c r="BB957" s="34"/>
      <c r="BC957" s="34"/>
    </row>
    <row r="958" spans="1:55" ht="12.95" customHeight="1">
      <c r="C958" s="66" t="s">
        <v>13</v>
      </c>
      <c r="D958" s="5"/>
      <c r="E958" s="5"/>
      <c r="F958" s="5"/>
      <c r="G958" s="5"/>
      <c r="H958" s="5"/>
      <c r="I958" s="5"/>
      <c r="J958" s="5"/>
      <c r="K958" s="5"/>
      <c r="L958" s="46"/>
      <c r="M958" s="1706">
        <v>1</v>
      </c>
      <c r="N958" s="1707"/>
      <c r="O958" s="1707"/>
      <c r="P958" s="1707"/>
      <c r="Q958" s="1707"/>
      <c r="R958" s="1707"/>
      <c r="S958" s="1708"/>
      <c r="U958" s="66" t="s">
        <v>13</v>
      </c>
      <c r="V958" s="5"/>
      <c r="W958" s="5"/>
      <c r="X958" s="5"/>
      <c r="Y958" s="5"/>
      <c r="Z958" s="5"/>
      <c r="AA958" s="5"/>
      <c r="AB958" s="5"/>
      <c r="AC958" s="5"/>
      <c r="AD958" s="46"/>
      <c r="AE958" s="1783"/>
      <c r="AF958" s="1707"/>
      <c r="AG958" s="1707"/>
      <c r="AH958" s="1707"/>
      <c r="AI958" s="1707"/>
      <c r="AJ958" s="1707"/>
      <c r="AK958" s="1708"/>
      <c r="AZ958" s="34"/>
      <c r="BA958" s="34"/>
      <c r="BB958" s="34"/>
      <c r="BC958" s="34"/>
    </row>
    <row r="959" spans="1:55" ht="12.95" customHeight="1">
      <c r="C959" s="66" t="s">
        <v>14</v>
      </c>
      <c r="D959" s="5"/>
      <c r="E959" s="5"/>
      <c r="F959" s="5"/>
      <c r="G959" s="5"/>
      <c r="H959" s="5"/>
      <c r="I959" s="5"/>
      <c r="J959" s="5"/>
      <c r="K959" s="5"/>
      <c r="L959" s="46"/>
      <c r="M959" s="1723">
        <v>141</v>
      </c>
      <c r="N959" s="1601"/>
      <c r="O959" s="1601"/>
      <c r="P959" s="1601"/>
      <c r="Q959" s="1601"/>
      <c r="R959" s="1601"/>
      <c r="S959" s="1602"/>
      <c r="U959" s="66" t="s">
        <v>14</v>
      </c>
      <c r="V959" s="5"/>
      <c r="W959" s="5"/>
      <c r="X959" s="5"/>
      <c r="Y959" s="5"/>
      <c r="Z959" s="5"/>
      <c r="AA959" s="5"/>
      <c r="AB959" s="5"/>
      <c r="AC959" s="5"/>
      <c r="AD959" s="46"/>
      <c r="AE959" s="1723"/>
      <c r="AF959" s="1601"/>
      <c r="AG959" s="1601"/>
      <c r="AH959" s="1601"/>
      <c r="AI959" s="1601"/>
      <c r="AJ959" s="1601"/>
      <c r="AK959" s="1602"/>
      <c r="AV959" s="2"/>
      <c r="AW959" s="2"/>
      <c r="AX959" s="2"/>
      <c r="AY959" s="2"/>
      <c r="AZ959" s="34"/>
      <c r="BA959" s="34"/>
      <c r="BB959" s="34"/>
      <c r="BC959" s="34"/>
    </row>
    <row r="960" spans="1:55" ht="12.95" customHeight="1">
      <c r="C960" s="66" t="s">
        <v>15</v>
      </c>
      <c r="D960" s="5"/>
      <c r="E960" s="5"/>
      <c r="F960" s="5"/>
      <c r="G960" s="5"/>
      <c r="H960" s="5"/>
      <c r="I960" s="5"/>
      <c r="J960" s="5"/>
      <c r="K960" s="5"/>
      <c r="L960" s="46"/>
      <c r="M960" s="1629">
        <f>'Subsidy Contract Calculation'!G40</f>
        <v>3000480</v>
      </c>
      <c r="N960" s="1524"/>
      <c r="O960" s="1524"/>
      <c r="P960" s="1524"/>
      <c r="Q960" s="1524"/>
      <c r="R960" s="1524"/>
      <c r="S960" s="1630"/>
      <c r="U960" s="66" t="s">
        <v>15</v>
      </c>
      <c r="V960" s="5"/>
      <c r="W960" s="5"/>
      <c r="X960" s="5"/>
      <c r="Y960" s="5"/>
      <c r="Z960" s="5"/>
      <c r="AA960" s="5"/>
      <c r="AB960" s="5"/>
      <c r="AC960" s="5"/>
      <c r="AD960" s="46"/>
      <c r="AE960" s="1629"/>
      <c r="AF960" s="1524"/>
      <c r="AG960" s="1524"/>
      <c r="AH960" s="1524"/>
      <c r="AI960" s="1524"/>
      <c r="AJ960" s="1524"/>
      <c r="AK960" s="1630"/>
      <c r="AV960" s="2"/>
      <c r="AW960" s="2"/>
      <c r="AX960" s="2"/>
      <c r="AY960" s="2"/>
      <c r="AZ960" s="34"/>
      <c r="BA960" s="34"/>
      <c r="BB960" s="34"/>
      <c r="BC960" s="34"/>
    </row>
    <row r="961" spans="1:64" ht="12.95" customHeight="1">
      <c r="C961" s="66" t="s">
        <v>16</v>
      </c>
      <c r="D961" s="5"/>
      <c r="E961" s="5"/>
      <c r="F961" s="5"/>
      <c r="G961" s="5"/>
      <c r="H961" s="5"/>
      <c r="I961" s="5"/>
      <c r="J961" s="5"/>
      <c r="K961" s="5"/>
      <c r="L961" s="46"/>
      <c r="M961" s="1629">
        <f>M960*M962</f>
        <v>60009600</v>
      </c>
      <c r="N961" s="1524"/>
      <c r="O961" s="1524"/>
      <c r="P961" s="1524"/>
      <c r="Q961" s="1524"/>
      <c r="R961" s="1524"/>
      <c r="S961" s="1630"/>
      <c r="U961" s="66" t="s">
        <v>16</v>
      </c>
      <c r="V961" s="5"/>
      <c r="W961" s="5"/>
      <c r="X961" s="5"/>
      <c r="Y961" s="5"/>
      <c r="Z961" s="5"/>
      <c r="AA961" s="5"/>
      <c r="AB961" s="5"/>
      <c r="AC961" s="5"/>
      <c r="AD961" s="46"/>
      <c r="AE961" s="1629"/>
      <c r="AF961" s="1524"/>
      <c r="AG961" s="1524"/>
      <c r="AH961" s="1524"/>
      <c r="AI961" s="1524"/>
      <c r="AJ961" s="1524"/>
      <c r="AK961" s="1630"/>
      <c r="AV961" s="2"/>
      <c r="AW961" s="2"/>
      <c r="AX961" s="2"/>
      <c r="AY961" s="2"/>
      <c r="AZ961" s="34"/>
      <c r="BB961" s="34"/>
      <c r="BC961" s="34"/>
    </row>
    <row r="962" spans="1:64" ht="12.95" customHeight="1">
      <c r="C962" s="121" t="s">
        <v>1662</v>
      </c>
      <c r="D962" s="5"/>
      <c r="E962" s="5"/>
      <c r="F962" s="5"/>
      <c r="G962" s="5"/>
      <c r="H962" s="5"/>
      <c r="I962" s="5"/>
      <c r="J962" s="5"/>
      <c r="K962" s="5"/>
      <c r="L962" s="46"/>
      <c r="M962" s="1780">
        <v>20</v>
      </c>
      <c r="N962" s="1781"/>
      <c r="O962" s="1781"/>
      <c r="P962" s="1781"/>
      <c r="Q962" s="1781"/>
      <c r="R962" s="1781"/>
      <c r="S962" s="1782"/>
      <c r="U962" s="121" t="s">
        <v>1662</v>
      </c>
      <c r="V962" s="5"/>
      <c r="W962" s="5"/>
      <c r="X962" s="5"/>
      <c r="Y962" s="5"/>
      <c r="Z962" s="5"/>
      <c r="AA962" s="5"/>
      <c r="AB962" s="5"/>
      <c r="AC962" s="5"/>
      <c r="AD962" s="46"/>
      <c r="AE962" s="1780"/>
      <c r="AF962" s="1781"/>
      <c r="AG962" s="1781"/>
      <c r="AH962" s="1781"/>
      <c r="AI962" s="1781"/>
      <c r="AJ962" s="1781"/>
      <c r="AK962" s="1782"/>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60"/>
      <c r="N967" s="1661"/>
      <c r="O967" s="1661"/>
      <c r="P967" s="1661"/>
      <c r="Q967" s="1661"/>
      <c r="R967" s="1661"/>
      <c r="S967" s="1662"/>
      <c r="T967" s="66" t="s">
        <v>791</v>
      </c>
      <c r="U967" s="5"/>
      <c r="V967" s="5"/>
      <c r="W967" s="5"/>
      <c r="X967" s="5"/>
      <c r="Y967" s="5"/>
      <c r="Z967" s="46"/>
      <c r="AA967" s="1660"/>
      <c r="AB967" s="1661"/>
      <c r="AC967" s="1661"/>
      <c r="AD967" s="1661"/>
      <c r="AE967" s="1661"/>
      <c r="AF967" s="1661"/>
      <c r="AG967" s="166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60"/>
      <c r="N968" s="1661"/>
      <c r="O968" s="1661"/>
      <c r="P968" s="1661"/>
      <c r="Q968" s="1661"/>
      <c r="R968" s="1661"/>
      <c r="S968" s="1662"/>
      <c r="T968" s="66" t="s">
        <v>790</v>
      </c>
      <c r="U968" s="5"/>
      <c r="V968" s="5"/>
      <c r="W968" s="5"/>
      <c r="X968" s="5"/>
      <c r="Y968" s="5"/>
      <c r="Z968" s="46"/>
      <c r="AA968" s="1660"/>
      <c r="AB968" s="1661"/>
      <c r="AC968" s="1661"/>
      <c r="AD968" s="1661"/>
      <c r="AE968" s="1661"/>
      <c r="AF968" s="1661"/>
      <c r="AG968" s="166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09" t="s">
        <v>592</v>
      </c>
      <c r="N969" s="1710"/>
      <c r="O969" s="1710"/>
      <c r="P969" s="1710"/>
      <c r="Q969" s="1710"/>
      <c r="R969" s="1710"/>
      <c r="S969" s="1711"/>
      <c r="T969" s="45" t="s">
        <v>337</v>
      </c>
      <c r="U969" s="5"/>
      <c r="V969" s="5"/>
      <c r="W969" s="5"/>
      <c r="X969" s="5"/>
      <c r="Y969" s="5"/>
      <c r="Z969" s="46"/>
      <c r="AA969" s="1660"/>
      <c r="AB969" s="1661"/>
      <c r="AC969" s="1661"/>
      <c r="AD969" s="1661"/>
      <c r="AE969" s="1661"/>
      <c r="AF969" s="1661"/>
      <c r="AG969" s="166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60"/>
      <c r="N970" s="1661"/>
      <c r="O970" s="1661"/>
      <c r="P970" s="1661"/>
      <c r="Q970" s="1661"/>
      <c r="R970" s="1661"/>
      <c r="S970" s="1662"/>
      <c r="T970" s="45" t="s">
        <v>338</v>
      </c>
      <c r="U970" s="5"/>
      <c r="V970" s="5"/>
      <c r="W970" s="5"/>
      <c r="X970" s="5"/>
      <c r="Y970" s="5"/>
      <c r="Z970" s="46"/>
      <c r="AA970" s="1660"/>
      <c r="AB970" s="1661"/>
      <c r="AC970" s="1661"/>
      <c r="AD970" s="1661"/>
      <c r="AE970" s="1661"/>
      <c r="AF970" s="1661"/>
      <c r="AG970" s="166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60"/>
      <c r="N971" s="1661"/>
      <c r="O971" s="1661"/>
      <c r="P971" s="1661"/>
      <c r="Q971" s="1661"/>
      <c r="R971" s="1661"/>
      <c r="S971" s="1662"/>
      <c r="T971" s="45" t="s">
        <v>376</v>
      </c>
      <c r="U971" s="5"/>
      <c r="V971" s="5"/>
      <c r="W971" s="5"/>
      <c r="X971" s="5"/>
      <c r="Y971" s="5"/>
      <c r="Z971" s="46"/>
      <c r="AA971" s="1660"/>
      <c r="AB971" s="1661"/>
      <c r="AC971" s="1661"/>
      <c r="AD971" s="1661"/>
      <c r="AE971" s="1661"/>
      <c r="AF971" s="1661"/>
      <c r="AG971" s="166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717" t="s">
        <v>307</v>
      </c>
      <c r="N972" s="1718"/>
      <c r="O972" s="1718"/>
      <c r="P972" s="1718"/>
      <c r="Q972" s="1718"/>
      <c r="R972" s="1718"/>
      <c r="S972" s="1719"/>
      <c r="T972" s="1767"/>
      <c r="U972" s="1768"/>
      <c r="V972" s="1768"/>
      <c r="W972" s="1768"/>
      <c r="X972" s="1768"/>
      <c r="Y972" s="1768"/>
      <c r="Z972" s="1769"/>
      <c r="AA972" s="1660"/>
      <c r="AB972" s="1661"/>
      <c r="AC972" s="1661"/>
      <c r="AD972" s="1661"/>
      <c r="AE972" s="1661"/>
      <c r="AF972" s="1661"/>
      <c r="AG972" s="166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60"/>
      <c r="N973" s="1661"/>
      <c r="O973" s="1661"/>
      <c r="P973" s="1661"/>
      <c r="Q973" s="1661"/>
      <c r="R973" s="1661"/>
      <c r="S973" s="1662"/>
      <c r="T973" s="1767"/>
      <c r="U973" s="1768"/>
      <c r="V973" s="1768"/>
      <c r="W973" s="1768"/>
      <c r="X973" s="1768"/>
      <c r="Y973" s="1768"/>
      <c r="Z973" s="1769"/>
      <c r="AA973" s="1660"/>
      <c r="AB973" s="1661"/>
      <c r="AC973" s="1661"/>
      <c r="AD973" s="1661"/>
      <c r="AE973" s="1661"/>
      <c r="AF973" s="1661"/>
      <c r="AG973" s="166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85" t="s">
        <v>670</v>
      </c>
      <c r="P974" s="1386"/>
      <c r="Q974" s="92"/>
      <c r="R974" s="92"/>
      <c r="S974" s="93"/>
      <c r="T974" s="41" t="s">
        <v>170</v>
      </c>
      <c r="U974" s="42"/>
      <c r="V974" s="42"/>
      <c r="W974" s="1823" t="s">
        <v>334</v>
      </c>
      <c r="X974" s="1824"/>
      <c r="Y974" s="1824"/>
      <c r="Z974" s="1824"/>
      <c r="AA974" s="1824"/>
      <c r="AB974" s="1824"/>
      <c r="AC974" s="1824"/>
      <c r="AD974" s="1824"/>
      <c r="AE974" s="1824"/>
      <c r="AF974" s="1824"/>
      <c r="AG974" s="1825"/>
      <c r="AU974" s="68"/>
      <c r="AV974" s="95"/>
      <c r="AW974" s="95"/>
      <c r="AX974" s="95"/>
      <c r="AY974" s="95"/>
      <c r="AZ974" s="34"/>
      <c r="BB974" s="34"/>
      <c r="BC974" s="34"/>
      <c r="BD974" s="34"/>
      <c r="BE974" s="34"/>
      <c r="BF974" s="34"/>
      <c r="BG974" s="34"/>
      <c r="BH974" s="34"/>
      <c r="BI974" s="34"/>
      <c r="BJ974" s="34"/>
      <c r="BK974" s="34"/>
      <c r="BL974" s="34"/>
    </row>
    <row r="975" spans="1:64" ht="12.95" customHeight="1">
      <c r="F975" s="1595" t="s">
        <v>33</v>
      </c>
      <c r="G975" s="1482"/>
      <c r="H975" s="1482"/>
      <c r="I975" s="1482"/>
      <c r="J975" s="1482"/>
      <c r="K975" s="1482"/>
      <c r="L975" s="1482"/>
      <c r="M975" s="1660"/>
      <c r="N975" s="1661"/>
      <c r="O975" s="1661"/>
      <c r="P975" s="1661"/>
      <c r="Q975" s="1661"/>
      <c r="R975" s="1661"/>
      <c r="S975" s="1662"/>
      <c r="T975" s="47"/>
      <c r="U975" s="48"/>
      <c r="V975" s="48"/>
      <c r="W975" s="48"/>
      <c r="X975" s="48"/>
      <c r="Y975" s="48"/>
      <c r="Z975" s="124" t="s">
        <v>134</v>
      </c>
      <c r="AA975" s="1764"/>
      <c r="AB975" s="1765"/>
      <c r="AC975" s="1765"/>
      <c r="AD975" s="1765"/>
      <c r="AE975" s="1765"/>
      <c r="AF975" s="1765"/>
      <c r="AG975" s="1766"/>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1"/>
      <c r="BH976" s="1631"/>
      <c r="BI976" s="1631"/>
      <c r="BJ976" s="1631"/>
      <c r="BK976" s="1631"/>
      <c r="BL976" s="1631"/>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6" t="s">
        <v>549</v>
      </c>
      <c r="B979" s="1536"/>
      <c r="C979" s="1536"/>
      <c r="D979" s="1536"/>
      <c r="E979" s="1536"/>
      <c r="F979" s="1536"/>
      <c r="G979" s="1536"/>
      <c r="H979" s="1536"/>
      <c r="I979" s="1536"/>
      <c r="J979" s="1536"/>
      <c r="K979" s="1536"/>
      <c r="L979" s="1536"/>
      <c r="M979" s="1536"/>
      <c r="N979" s="1536"/>
      <c r="O979" s="1536"/>
      <c r="P979" s="1536"/>
      <c r="Q979" s="1536"/>
      <c r="R979" s="1536"/>
      <c r="S979" s="1536"/>
      <c r="T979" s="1536"/>
      <c r="U979" s="1536"/>
      <c r="V979" s="1536"/>
      <c r="W979" s="1536"/>
      <c r="X979" s="1536"/>
      <c r="Y979" s="1536"/>
      <c r="Z979" s="1536"/>
      <c r="AA979" s="1536"/>
      <c r="AB979" s="1536"/>
      <c r="AC979" s="1536"/>
      <c r="AD979" s="1536"/>
      <c r="AE979" s="1536"/>
      <c r="AF979" s="1536"/>
      <c r="AG979" s="1536"/>
      <c r="AH979" s="1536"/>
      <c r="AI979" s="1536"/>
      <c r="AJ979" s="1536"/>
      <c r="AK979" s="1536"/>
      <c r="AL979" s="1536"/>
      <c r="AM979" s="1536"/>
      <c r="AN979" s="1536"/>
      <c r="AO979" s="1536"/>
      <c r="AP979" s="1536"/>
      <c r="AQ979" s="1536"/>
      <c r="AR979" s="1536"/>
      <c r="AS979" s="1536"/>
      <c r="AT979" s="1536"/>
      <c r="AU979" s="68"/>
      <c r="AV979" s="68"/>
      <c r="AW979" s="68"/>
      <c r="AX979" s="68"/>
      <c r="AY979" s="68"/>
      <c r="AZ979" s="14"/>
      <c r="BA979" s="14"/>
      <c r="BB979" s="912"/>
      <c r="BC979" s="912"/>
    </row>
    <row r="980" spans="1:64" ht="12.95" customHeight="1">
      <c r="A980" s="1536"/>
      <c r="B980" s="1536"/>
      <c r="C980" s="1536"/>
      <c r="D980" s="1536"/>
      <c r="E980" s="1536"/>
      <c r="F980" s="1536"/>
      <c r="G980" s="1536"/>
      <c r="H980" s="1536"/>
      <c r="I980" s="1536"/>
      <c r="J980" s="1536"/>
      <c r="K980" s="1536"/>
      <c r="L980" s="1536"/>
      <c r="M980" s="1536"/>
      <c r="N980" s="1536"/>
      <c r="O980" s="1536"/>
      <c r="P980" s="1536"/>
      <c r="Q980" s="1536"/>
      <c r="R980" s="1536"/>
      <c r="S980" s="1536"/>
      <c r="T980" s="1536"/>
      <c r="U980" s="1536"/>
      <c r="V980" s="1536"/>
      <c r="W980" s="1536"/>
      <c r="X980" s="1536"/>
      <c r="Y980" s="1536"/>
      <c r="Z980" s="1536"/>
      <c r="AA980" s="1536"/>
      <c r="AB980" s="1536"/>
      <c r="AC980" s="1536"/>
      <c r="AD980" s="1536"/>
      <c r="AE980" s="1536"/>
      <c r="AF980" s="1536"/>
      <c r="AG980" s="1536"/>
      <c r="AH980" s="1536"/>
      <c r="AI980" s="1536"/>
      <c r="AJ980" s="1536"/>
      <c r="AK980" s="1536"/>
      <c r="AL980" s="1536"/>
      <c r="AM980" s="1536"/>
      <c r="AN980" s="1536"/>
      <c r="AO980" s="1536"/>
      <c r="AP980" s="1536"/>
      <c r="AQ980" s="1536"/>
      <c r="AR980" s="1536"/>
      <c r="AS980" s="1536"/>
      <c r="AT980" s="1536"/>
      <c r="AU980" s="68"/>
      <c r="AV980" s="68"/>
      <c r="AW980" s="68"/>
      <c r="AX980" s="68"/>
      <c r="AY980" s="68"/>
      <c r="AZ980" s="30"/>
      <c r="BA980" s="14"/>
      <c r="BB980" s="14"/>
      <c r="BC980" s="14"/>
    </row>
    <row r="981" spans="1:64" ht="12.95" customHeight="1">
      <c r="A981" s="1536"/>
      <c r="B981" s="1536"/>
      <c r="C981" s="1536"/>
      <c r="D981" s="1536"/>
      <c r="E981" s="1536"/>
      <c r="F981" s="1536"/>
      <c r="G981" s="1536"/>
      <c r="H981" s="1536"/>
      <c r="I981" s="1536"/>
      <c r="J981" s="1536"/>
      <c r="K981" s="1536"/>
      <c r="L981" s="1536"/>
      <c r="M981" s="1536"/>
      <c r="N981" s="1536"/>
      <c r="O981" s="1536"/>
      <c r="P981" s="1536"/>
      <c r="Q981" s="1536"/>
      <c r="R981" s="1536"/>
      <c r="S981" s="1536"/>
      <c r="T981" s="1536"/>
      <c r="U981" s="1536"/>
      <c r="V981" s="1536"/>
      <c r="W981" s="1536"/>
      <c r="X981" s="1536"/>
      <c r="Y981" s="1536"/>
      <c r="Z981" s="1536"/>
      <c r="AA981" s="1536"/>
      <c r="AB981" s="1536"/>
      <c r="AC981" s="1536"/>
      <c r="AD981" s="1536"/>
      <c r="AE981" s="1536"/>
      <c r="AF981" s="1536"/>
      <c r="AG981" s="1536"/>
      <c r="AH981" s="1536"/>
      <c r="AI981" s="1536"/>
      <c r="AJ981" s="1536"/>
      <c r="AK981" s="1536"/>
      <c r="AL981" s="1536"/>
      <c r="AM981" s="1536"/>
      <c r="AN981" s="1536"/>
      <c r="AO981" s="1536"/>
      <c r="AP981" s="1536"/>
      <c r="AQ981" s="1536"/>
      <c r="AR981" s="1536"/>
      <c r="AS981" s="1536"/>
      <c r="AT981" s="1536"/>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5" t="s">
        <v>639</v>
      </c>
      <c r="E985" s="1796"/>
      <c r="F985" s="1796"/>
      <c r="G985" s="1796"/>
      <c r="H985" s="1796"/>
      <c r="I985" s="1796"/>
      <c r="J985" s="1796"/>
      <c r="K985" s="1796"/>
      <c r="L985" s="1796"/>
      <c r="M985" s="1796"/>
      <c r="N985" s="1796"/>
      <c r="O985" s="1796"/>
      <c r="P985" s="1796"/>
      <c r="Q985" s="1797"/>
      <c r="R985" s="1795" t="s">
        <v>640</v>
      </c>
      <c r="S985" s="1796"/>
      <c r="T985" s="1796"/>
      <c r="U985" s="1796"/>
      <c r="V985" s="1796"/>
      <c r="W985" s="1796"/>
      <c r="X985" s="1796"/>
      <c r="Y985" s="1796"/>
      <c r="Z985" s="1796"/>
      <c r="AA985" s="1797"/>
      <c r="AB985" s="1795" t="s">
        <v>641</v>
      </c>
      <c r="AC985" s="1796"/>
      <c r="AD985" s="1796"/>
      <c r="AE985" s="1796"/>
      <c r="AF985" s="1796"/>
      <c r="AG985" s="1796"/>
      <c r="AH985" s="1796"/>
      <c r="AI985" s="1797"/>
      <c r="AJ985" s="1795" t="s">
        <v>642</v>
      </c>
      <c r="AK985" s="1796"/>
      <c r="AL985" s="1796"/>
      <c r="AM985" s="1796"/>
      <c r="AN985" s="1796"/>
      <c r="AO985" s="1796"/>
      <c r="AP985" s="1796"/>
      <c r="AQ985" s="1797"/>
      <c r="AR985" s="68"/>
      <c r="AS985" s="68"/>
      <c r="AT985" s="68"/>
      <c r="AU985" s="68"/>
      <c r="AV985" s="68"/>
      <c r="AW985" s="68"/>
      <c r="AX985" s="68"/>
      <c r="AY985" s="68"/>
      <c r="AZ985" s="30"/>
      <c r="BB985" s="14"/>
      <c r="BC985" s="14"/>
    </row>
    <row r="986" spans="1:64" ht="12.95" customHeight="1">
      <c r="A986" s="14"/>
      <c r="B986" s="73"/>
      <c r="C986" s="929"/>
      <c r="D986" s="1801" t="s">
        <v>634</v>
      </c>
      <c r="E986" s="1802"/>
      <c r="F986" s="1802"/>
      <c r="G986" s="1802"/>
      <c r="H986" s="1802"/>
      <c r="I986" s="1802"/>
      <c r="J986" s="1802"/>
      <c r="K986" s="1802"/>
      <c r="L986" s="1802"/>
      <c r="M986" s="1802"/>
      <c r="N986" s="1802"/>
      <c r="O986" s="1802"/>
      <c r="P986" s="1802"/>
      <c r="Q986" s="1803"/>
      <c r="R986" s="1788">
        <f>IF(ISNA(IF($CU$122="4%",(INDEX($CS$160:$CW$217,MATCH($DG$122,$CR$160:$CR$217,0),MATCH(D986,$CS$159:$CW$159,0))),(INDEX($CZ$160:$DD$217,MATCH($DG$122,$CY$160:$CY$217,0),MATCH(D986,$CZ$159:$DD$159,0))))),0,IF($CU$122="4%",(INDEX($CS$160:$CW$217,MATCH($DG$122,$CR$160:$CR$217,0),MATCH(D986,$CS$159:$CW$159,0))),(INDEX($CZ$160:$DD$217,MATCH($DG$122,$CY$160:$CY$217,0),MATCH(D986,$CZ$159:$DD$159,0)))))</f>
        <v>352022</v>
      </c>
      <c r="S986" s="1788"/>
      <c r="T986" s="1788"/>
      <c r="U986" s="1788"/>
      <c r="V986" s="1788"/>
      <c r="W986" s="1788"/>
      <c r="X986" s="1788"/>
      <c r="Y986" s="1788"/>
      <c r="Z986" s="1788"/>
      <c r="AA986" s="1788"/>
      <c r="AB986" s="1785">
        <f>CP802</f>
        <v>0</v>
      </c>
      <c r="AC986" s="1786"/>
      <c r="AD986" s="1786"/>
      <c r="AE986" s="1786"/>
      <c r="AF986" s="1786"/>
      <c r="AG986" s="1786"/>
      <c r="AH986" s="1786"/>
      <c r="AI986" s="1787"/>
      <c r="AJ986" s="1720">
        <f>IF(ISERROR((R986*AB986)),0,(R986*AB986))</f>
        <v>0</v>
      </c>
      <c r="AK986" s="1721"/>
      <c r="AL986" s="1721"/>
      <c r="AM986" s="1721"/>
      <c r="AN986" s="1721"/>
      <c r="AO986" s="1721"/>
      <c r="AP986" s="1721"/>
      <c r="AQ986" s="1722"/>
      <c r="AR986" s="68"/>
      <c r="AS986" s="68"/>
      <c r="AT986" s="68"/>
      <c r="AU986" s="68"/>
      <c r="AV986" s="68"/>
      <c r="AW986" s="68"/>
      <c r="AX986" s="68"/>
      <c r="AY986" s="68"/>
      <c r="AZ986" s="30"/>
      <c r="BB986" s="14"/>
      <c r="BC986" s="14"/>
    </row>
    <row r="987" spans="1:64" ht="12.95" customHeight="1">
      <c r="A987" s="14"/>
      <c r="B987" s="73"/>
      <c r="C987" s="83"/>
      <c r="D987" s="1801" t="s">
        <v>325</v>
      </c>
      <c r="E987" s="1802"/>
      <c r="F987" s="1802"/>
      <c r="G987" s="1802"/>
      <c r="H987" s="1802"/>
      <c r="I987" s="1802"/>
      <c r="J987" s="1802"/>
      <c r="K987" s="1802"/>
      <c r="L987" s="1802"/>
      <c r="M987" s="1802"/>
      <c r="N987" s="1802"/>
      <c r="O987" s="1802"/>
      <c r="P987" s="1802"/>
      <c r="Q987" s="1803"/>
      <c r="R987" s="1788">
        <f>IF(ISNA(IF($CU$122="4%",(INDEX($CS$160:$CW$217,MATCH($DG$122,$CR$160:$CR$217,0),MATCH(D987,$CS$159:$CW$159,0))),(INDEX($CZ$160:$DD$217,MATCH($DG$122,$CY$160:$CY$217,0),MATCH(D987,$CZ$159:$DD$159,0))))),0,IF($CU$122="4%",(INDEX($CS$160:$CW$217,MATCH($DG$122,$CR$160:$CR$217,0),MATCH(D987,$CS$159:$CW$159,0))),(INDEX($CZ$160:$DD$217,MATCH($DG$122,$CY$160:$CY$217,0),MATCH(D987,$CZ$159:$DD$159,0)))))</f>
        <v>405878</v>
      </c>
      <c r="S987" s="1788"/>
      <c r="T987" s="1788"/>
      <c r="U987" s="1788"/>
      <c r="V987" s="1788"/>
      <c r="W987" s="1788"/>
      <c r="X987" s="1788"/>
      <c r="Y987" s="1788"/>
      <c r="Z987" s="1788"/>
      <c r="AA987" s="1788"/>
      <c r="AB987" s="1785">
        <f>CU802</f>
        <v>40</v>
      </c>
      <c r="AC987" s="1786"/>
      <c r="AD987" s="1786"/>
      <c r="AE987" s="1786"/>
      <c r="AF987" s="1786"/>
      <c r="AG987" s="1786"/>
      <c r="AH987" s="1786"/>
      <c r="AI987" s="1787"/>
      <c r="AJ987" s="1720">
        <f>IF(ISERROR((R987*AB987)),0,(R987*AB987))</f>
        <v>16235120</v>
      </c>
      <c r="AK987" s="1721"/>
      <c r="AL987" s="1721"/>
      <c r="AM987" s="1721"/>
      <c r="AN987" s="1721"/>
      <c r="AO987" s="1721"/>
      <c r="AP987" s="1721"/>
      <c r="AQ987" s="1722"/>
      <c r="AR987" s="68"/>
      <c r="AS987" s="68"/>
      <c r="AT987" s="68"/>
      <c r="AU987" s="68"/>
      <c r="AV987" s="68"/>
      <c r="AW987" s="68"/>
      <c r="AX987" s="68"/>
      <c r="AY987" s="68"/>
      <c r="AZ987" s="30"/>
      <c r="BB987" s="14"/>
      <c r="BC987" s="14"/>
    </row>
    <row r="988" spans="1:64" ht="12.95" customHeight="1">
      <c r="A988" s="14"/>
      <c r="B988" s="73"/>
      <c r="C988" s="83"/>
      <c r="D988" s="1801" t="s">
        <v>163</v>
      </c>
      <c r="E988" s="1802"/>
      <c r="F988" s="1802"/>
      <c r="G988" s="1802"/>
      <c r="H988" s="1802"/>
      <c r="I988" s="1802"/>
      <c r="J988" s="1802"/>
      <c r="K988" s="1802"/>
      <c r="L988" s="1802"/>
      <c r="M988" s="1802"/>
      <c r="N988" s="1802"/>
      <c r="O988" s="1802"/>
      <c r="P988" s="1802"/>
      <c r="Q988" s="1803"/>
      <c r="R988" s="1788">
        <f>IF(ISNA(IF($CU$122="4%",(INDEX($CS$160:$CW$217,MATCH($DG$122,$CR$160:$CR$217,0),MATCH(D988,$CS$159:$CW$159,0))),(INDEX($CZ$160:$DD$217,MATCH($DG$122,$CY$160:$CY$217,0),MATCH(D988,$CZ$159:$DD$159,0))))),0,IF($CU$122="4%",(INDEX($CS$160:$CW$217,MATCH($DG$122,$CR$160:$CR$217,0),MATCH(D988,$CS$159:$CW$159,0))),(INDEX($CZ$160:$DD$217,MATCH($DG$122,$CY$160:$CY$217,0),MATCH(D988,$CZ$159:$DD$159,0)))))</f>
        <v>489600</v>
      </c>
      <c r="S988" s="1788"/>
      <c r="T988" s="1788"/>
      <c r="U988" s="1788"/>
      <c r="V988" s="1788"/>
      <c r="W988" s="1788"/>
      <c r="X988" s="1788"/>
      <c r="Y988" s="1788"/>
      <c r="Z988" s="1788"/>
      <c r="AA988" s="1788"/>
      <c r="AB988" s="1785">
        <f>CZ802</f>
        <v>54</v>
      </c>
      <c r="AC988" s="1786"/>
      <c r="AD988" s="1786"/>
      <c r="AE988" s="1786"/>
      <c r="AF988" s="1786"/>
      <c r="AG988" s="1786"/>
      <c r="AH988" s="1786"/>
      <c r="AI988" s="1787"/>
      <c r="AJ988" s="1720">
        <f>IF(ISERROR((R988*AB988)),0,(R988*AB988))</f>
        <v>26438400</v>
      </c>
      <c r="AK988" s="1721"/>
      <c r="AL988" s="1721"/>
      <c r="AM988" s="1721"/>
      <c r="AN988" s="1721"/>
      <c r="AO988" s="1721"/>
      <c r="AP988" s="1721"/>
      <c r="AQ988" s="1722"/>
      <c r="AR988" s="68"/>
      <c r="AS988" s="68"/>
      <c r="AT988" s="68"/>
      <c r="AU988" s="68"/>
      <c r="AV988" s="68"/>
      <c r="AW988" s="68"/>
      <c r="AX988" s="68"/>
      <c r="AY988" s="68"/>
      <c r="AZ988" s="30"/>
      <c r="BB988" s="14"/>
      <c r="BC988" s="14"/>
    </row>
    <row r="989" spans="1:64" ht="12.95" customHeight="1">
      <c r="A989" s="14"/>
      <c r="B989" s="73"/>
      <c r="C989" s="83"/>
      <c r="D989" s="1801" t="s">
        <v>164</v>
      </c>
      <c r="E989" s="1802"/>
      <c r="F989" s="1802"/>
      <c r="G989" s="1802"/>
      <c r="H989" s="1802"/>
      <c r="I989" s="1802"/>
      <c r="J989" s="1802"/>
      <c r="K989" s="1802"/>
      <c r="L989" s="1802"/>
      <c r="M989" s="1802"/>
      <c r="N989" s="1802"/>
      <c r="O989" s="1802"/>
      <c r="P989" s="1802"/>
      <c r="Q989" s="1803"/>
      <c r="R989" s="1788">
        <f>IF(ISNA(IF($CU$122="4%",(INDEX($CS$160:$CW$217,MATCH($DG$122,$CR$160:$CR$217,0),MATCH(D989,$CS$159:$CW$159,0))),(INDEX($CZ$160:$DD$217,MATCH($DG$122,$CY$160:$CY$217,0),MATCH(D989,$CZ$159:$DD$159,0))))),0,IF($CU$122="4%",(INDEX($CS$160:$CW$217,MATCH($DG$122,$CR$160:$CR$217,0),MATCH(D989,$CS$159:$CW$159,0))),(INDEX($CZ$160:$DD$217,MATCH($DG$122,$CY$160:$CY$217,0),MATCH(D989,$CZ$159:$DD$159,0)))))</f>
        <v>626688</v>
      </c>
      <c r="S989" s="1788"/>
      <c r="T989" s="1788"/>
      <c r="U989" s="1788"/>
      <c r="V989" s="1788"/>
      <c r="W989" s="1788"/>
      <c r="X989" s="1788"/>
      <c r="Y989" s="1788"/>
      <c r="Z989" s="1788"/>
      <c r="AA989" s="1788"/>
      <c r="AB989" s="1785">
        <f>DE802</f>
        <v>36</v>
      </c>
      <c r="AC989" s="1786"/>
      <c r="AD989" s="1786"/>
      <c r="AE989" s="1786"/>
      <c r="AF989" s="1786"/>
      <c r="AG989" s="1786"/>
      <c r="AH989" s="1786"/>
      <c r="AI989" s="1787"/>
      <c r="AJ989" s="1720">
        <f>IF(ISERROR((R989*AB989)),0,(R989*AB989))</f>
        <v>22560768</v>
      </c>
      <c r="AK989" s="1721"/>
      <c r="AL989" s="1721"/>
      <c r="AM989" s="1721"/>
      <c r="AN989" s="1721"/>
      <c r="AO989" s="1721"/>
      <c r="AP989" s="1721"/>
      <c r="AQ989" s="1722"/>
      <c r="AR989" s="68"/>
      <c r="AS989" s="68"/>
      <c r="AT989" s="68"/>
      <c r="AU989" s="68"/>
      <c r="AV989" s="68"/>
      <c r="AW989" s="68"/>
      <c r="AX989" s="68"/>
      <c r="AY989" s="68"/>
      <c r="AZ989" s="30"/>
      <c r="BA989" s="34"/>
      <c r="BB989" s="14"/>
      <c r="BC989" s="14"/>
    </row>
    <row r="990" spans="1:64" ht="12.95" customHeight="1">
      <c r="A990" s="14"/>
      <c r="B990" s="47"/>
      <c r="C990" s="78"/>
      <c r="D990" s="1801" t="s">
        <v>461</v>
      </c>
      <c r="E990" s="1802"/>
      <c r="F990" s="1802"/>
      <c r="G990" s="1802"/>
      <c r="H990" s="1802"/>
      <c r="I990" s="1802"/>
      <c r="J990" s="1802"/>
      <c r="K990" s="1802"/>
      <c r="L990" s="1802"/>
      <c r="M990" s="1802"/>
      <c r="N990" s="1802"/>
      <c r="O990" s="1802"/>
      <c r="P990" s="1802"/>
      <c r="Q990" s="1803"/>
      <c r="R990" s="1788">
        <f>IF(ISNA(IF($CU$122="4%",(INDEX($CS$160:$CW$217,MATCH($DG$122,$CR$160:$CR$217,0),MATCH(D990,$CS$159:$CW$159,0))),(INDEX($CZ$160:$DD$217,MATCH($DG$122,$CY$160:$CY$217,0),MATCH(D990,$CZ$159:$DD$159,0))))),0,IF($CU$122="4%",(INDEX($CS$160:$CW$217,MATCH($DG$122,$CR$160:$CR$217,0),MATCH(D990,$CS$159:$CW$159,0))),(INDEX($CZ$160:$DD$217,MATCH($DG$122,$CY$160:$CY$217,0),MATCH(D990,$CZ$159:$DD$159,0)))))</f>
        <v>698170</v>
      </c>
      <c r="S990" s="1788"/>
      <c r="T990" s="1788"/>
      <c r="U990" s="1788"/>
      <c r="V990" s="1788"/>
      <c r="W990" s="1788"/>
      <c r="X990" s="1788"/>
      <c r="Y990" s="1788"/>
      <c r="Z990" s="1788"/>
      <c r="AA990" s="1788"/>
      <c r="AB990" s="1785">
        <f>DO802+DJ802</f>
        <v>12</v>
      </c>
      <c r="AC990" s="1786"/>
      <c r="AD990" s="1786"/>
      <c r="AE990" s="1786"/>
      <c r="AF990" s="1786"/>
      <c r="AG990" s="1786"/>
      <c r="AH990" s="1786"/>
      <c r="AI990" s="1787"/>
      <c r="AJ990" s="1720">
        <f>IF(ISERROR((R990*AB990)),0,(R990*AB990))</f>
        <v>8378040</v>
      </c>
      <c r="AK990" s="1721"/>
      <c r="AL990" s="1721"/>
      <c r="AM990" s="1721"/>
      <c r="AN990" s="1721"/>
      <c r="AO990" s="1721"/>
      <c r="AP990" s="1721"/>
      <c r="AQ990" s="1722"/>
      <c r="AR990" s="68"/>
      <c r="AS990" s="68"/>
      <c r="AT990" s="68"/>
      <c r="AU990" s="68"/>
      <c r="AV990" s="68"/>
      <c r="AW990" s="68"/>
      <c r="AX990" s="68"/>
      <c r="AY990" s="68"/>
      <c r="AZ990" s="30"/>
      <c r="BB990" s="14"/>
      <c r="BC990" s="14"/>
    </row>
    <row r="991" spans="1:64" ht="12.95" customHeight="1">
      <c r="A991" s="14"/>
      <c r="B991" s="1742" t="s">
        <v>792</v>
      </c>
      <c r="C991" s="1743"/>
      <c r="D991" s="1743"/>
      <c r="E991" s="1743"/>
      <c r="F991" s="1743"/>
      <c r="G991" s="1743"/>
      <c r="H991" s="1743"/>
      <c r="I991" s="1743"/>
      <c r="J991" s="1743"/>
      <c r="K991" s="1743"/>
      <c r="L991" s="1743"/>
      <c r="M991" s="1743"/>
      <c r="N991" s="1743"/>
      <c r="O991" s="1743"/>
      <c r="P991" s="1743"/>
      <c r="Q991" s="1743"/>
      <c r="R991" s="1743"/>
      <c r="S991" s="1743"/>
      <c r="T991" s="1743"/>
      <c r="U991" s="1743"/>
      <c r="V991" s="1743"/>
      <c r="W991" s="1743"/>
      <c r="X991" s="1743"/>
      <c r="Y991" s="1743"/>
      <c r="Z991" s="1743"/>
      <c r="AA991" s="1744"/>
      <c r="AB991" s="1785">
        <f>SUM(AB986:AI990)</f>
        <v>142</v>
      </c>
      <c r="AC991" s="1786"/>
      <c r="AD991" s="1786"/>
      <c r="AE991" s="1786"/>
      <c r="AF991" s="1786"/>
      <c r="AG991" s="1786"/>
      <c r="AH991" s="1786"/>
      <c r="AI991" s="1787"/>
      <c r="AJ991" s="1720"/>
      <c r="AK991" s="1721"/>
      <c r="AL991" s="1721"/>
      <c r="AM991" s="1721"/>
      <c r="AN991" s="1721"/>
      <c r="AO991" s="1721"/>
      <c r="AP991" s="1721"/>
      <c r="AQ991" s="1722"/>
      <c r="AR991" s="68"/>
      <c r="AS991" s="68"/>
      <c r="AT991" s="68"/>
      <c r="AU991" s="68"/>
      <c r="AV991" s="68"/>
      <c r="AW991" s="68"/>
      <c r="AX991" s="68"/>
      <c r="AY991" s="68"/>
      <c r="AZ991" s="34"/>
      <c r="BA991" s="34"/>
      <c r="BB991" s="14"/>
      <c r="BC991" s="14"/>
    </row>
    <row r="992" spans="1:64" ht="12.95" customHeight="1">
      <c r="A992" s="14"/>
      <c r="B992" s="1798" t="s">
        <v>513</v>
      </c>
      <c r="C992" s="1799"/>
      <c r="D992" s="1799"/>
      <c r="E992" s="1799"/>
      <c r="F992" s="1799"/>
      <c r="G992" s="1799"/>
      <c r="H992" s="1799"/>
      <c r="I992" s="1799"/>
      <c r="J992" s="1799"/>
      <c r="K992" s="1799"/>
      <c r="L992" s="1799"/>
      <c r="M992" s="1799"/>
      <c r="N992" s="1799"/>
      <c r="O992" s="1799"/>
      <c r="P992" s="1799"/>
      <c r="Q992" s="1799"/>
      <c r="R992" s="1799"/>
      <c r="S992" s="1799"/>
      <c r="T992" s="1799"/>
      <c r="U992" s="1799"/>
      <c r="V992" s="1799"/>
      <c r="W992" s="1799"/>
      <c r="X992" s="1799"/>
      <c r="Y992" s="1799"/>
      <c r="Z992" s="1799"/>
      <c r="AA992" s="1799"/>
      <c r="AB992" s="1799"/>
      <c r="AC992" s="1799"/>
      <c r="AD992" s="1799"/>
      <c r="AE992" s="1799"/>
      <c r="AF992" s="1799"/>
      <c r="AG992" s="1799"/>
      <c r="AH992" s="1799"/>
      <c r="AI992" s="1800"/>
      <c r="AJ992" s="1720">
        <f>SUM(AJ986:AQ990)</f>
        <v>73612328</v>
      </c>
      <c r="AK992" s="1721"/>
      <c r="AL992" s="1721"/>
      <c r="AM992" s="1721"/>
      <c r="AN992" s="1721"/>
      <c r="AO992" s="1721"/>
      <c r="AP992" s="1721"/>
      <c r="AQ992" s="1722"/>
      <c r="AR992" s="68"/>
      <c r="AS992" s="68"/>
      <c r="AT992" s="68"/>
      <c r="AU992" s="68"/>
      <c r="AV992" s="68"/>
      <c r="AW992" s="68"/>
      <c r="AX992" s="68"/>
      <c r="AY992" s="68"/>
      <c r="AZ992" s="34"/>
      <c r="BB992" s="34"/>
      <c r="BC992" s="34"/>
    </row>
    <row r="993" spans="1:55" ht="12.95" customHeight="1">
      <c r="A993" s="14"/>
      <c r="B993" s="1751"/>
      <c r="C993" s="1752"/>
      <c r="D993" s="1752"/>
      <c r="E993" s="1752"/>
      <c r="F993" s="1752"/>
      <c r="G993" s="1752"/>
      <c r="H993" s="1752"/>
      <c r="I993" s="1752"/>
      <c r="J993" s="1752"/>
      <c r="K993" s="1752"/>
      <c r="L993" s="1752"/>
      <c r="M993" s="1752"/>
      <c r="N993" s="1752"/>
      <c r="O993" s="1752"/>
      <c r="P993" s="1752"/>
      <c r="Q993" s="1752"/>
      <c r="R993" s="1752"/>
      <c r="S993" s="1752"/>
      <c r="T993" s="1752"/>
      <c r="U993" s="1752"/>
      <c r="V993" s="1752"/>
      <c r="W993" s="1752"/>
      <c r="X993" s="1752"/>
      <c r="Y993" s="1752"/>
      <c r="Z993" s="1752"/>
      <c r="AA993" s="1752"/>
      <c r="AB993" s="1752"/>
      <c r="AC993" s="1752"/>
      <c r="AD993" s="1752"/>
      <c r="AE993" s="1753"/>
      <c r="AF993" s="1815" t="s">
        <v>667</v>
      </c>
      <c r="AG993" s="1816"/>
      <c r="AH993" s="1816"/>
      <c r="AI993" s="1817"/>
      <c r="AJ993" s="1751"/>
      <c r="AK993" s="1752"/>
      <c r="AL993" s="1752"/>
      <c r="AM993" s="1752"/>
      <c r="AN993" s="1752"/>
      <c r="AO993" s="1752"/>
      <c r="AP993" s="1752"/>
      <c r="AQ993" s="1753"/>
      <c r="AR993" s="68"/>
      <c r="AS993" s="68"/>
      <c r="AT993" s="68"/>
      <c r="AU993" s="68"/>
      <c r="AV993" s="68"/>
      <c r="AW993" s="68"/>
      <c r="AX993" s="68"/>
      <c r="AY993" s="68"/>
      <c r="AZ993" s="34"/>
      <c r="BA993" s="34"/>
      <c r="BB993" s="34"/>
      <c r="BC993" s="34"/>
    </row>
    <row r="994" spans="1:55" ht="12.95" customHeight="1">
      <c r="A994" s="14"/>
      <c r="B994" s="73"/>
      <c r="C994" s="927" t="s">
        <v>669</v>
      </c>
      <c r="D994" s="1739" t="s">
        <v>1221</v>
      </c>
      <c r="E994" s="1740"/>
      <c r="F994" s="1740"/>
      <c r="G994" s="1740"/>
      <c r="H994" s="1740"/>
      <c r="I994" s="1740"/>
      <c r="J994" s="1740"/>
      <c r="K994" s="1740"/>
      <c r="L994" s="1740"/>
      <c r="M994" s="1740"/>
      <c r="N994" s="1740"/>
      <c r="O994" s="1740"/>
      <c r="P994" s="1740"/>
      <c r="Q994" s="1740"/>
      <c r="R994" s="1740"/>
      <c r="S994" s="1740"/>
      <c r="T994" s="1740"/>
      <c r="U994" s="1740"/>
      <c r="V994" s="1740"/>
      <c r="W994" s="1740"/>
      <c r="X994" s="1740"/>
      <c r="Y994" s="1740"/>
      <c r="Z994" s="1740"/>
      <c r="AA994" s="1740"/>
      <c r="AB994" s="1740"/>
      <c r="AC994" s="1740"/>
      <c r="AD994" s="1740"/>
      <c r="AE994" s="1741"/>
      <c r="AF994" s="79"/>
      <c r="AG994" s="1818" t="s">
        <v>546</v>
      </c>
      <c r="AH994" s="1819"/>
      <c r="AI994" s="87"/>
      <c r="AJ994" s="1730">
        <f>ROUND(IF(AND(AG994="yes",D1000&gt;0),AJ992*0.2,0),0)</f>
        <v>14722466</v>
      </c>
      <c r="AK994" s="1731"/>
      <c r="AL994" s="1731"/>
      <c r="AM994" s="1731"/>
      <c r="AN994" s="1731"/>
      <c r="AO994" s="1731"/>
      <c r="AP994" s="1731"/>
      <c r="AQ994" s="1732"/>
      <c r="AR994" s="68"/>
      <c r="AS994" s="68"/>
      <c r="AT994" s="68"/>
      <c r="AU994" s="68"/>
      <c r="AV994" s="68"/>
      <c r="AW994" s="68"/>
      <c r="AX994" s="68"/>
      <c r="AY994" s="68"/>
      <c r="AZ994" s="34"/>
      <c r="BA994" s="34"/>
      <c r="BB994" s="34"/>
      <c r="BC994" s="34"/>
    </row>
    <row r="995" spans="1:55" ht="12.95" customHeight="1">
      <c r="A995" s="14"/>
      <c r="B995" s="257"/>
      <c r="C995" s="256"/>
      <c r="D995" s="1773" t="s">
        <v>2234</v>
      </c>
      <c r="E995" s="1774"/>
      <c r="F995" s="1774"/>
      <c r="G995" s="1774"/>
      <c r="H995" s="1774"/>
      <c r="I995" s="1774"/>
      <c r="J995" s="1774"/>
      <c r="K995" s="1774"/>
      <c r="L995" s="1774"/>
      <c r="M995" s="1774"/>
      <c r="N995" s="1774"/>
      <c r="O995" s="1774"/>
      <c r="P995" s="1774"/>
      <c r="Q995" s="1774"/>
      <c r="R995" s="1774"/>
      <c r="S995" s="1774"/>
      <c r="T995" s="1774"/>
      <c r="U995" s="1774"/>
      <c r="V995" s="1774"/>
      <c r="W995" s="1774"/>
      <c r="X995" s="1774"/>
      <c r="Y995" s="1774"/>
      <c r="Z995" s="1774"/>
      <c r="AA995" s="1774"/>
      <c r="AB995" s="1774"/>
      <c r="AC995" s="1774"/>
      <c r="AD995" s="1774"/>
      <c r="AE995" s="1775"/>
      <c r="AF995" s="73"/>
      <c r="AG995" s="14"/>
      <c r="AH995" s="14"/>
      <c r="AI995" s="83"/>
      <c r="AJ995" s="1733"/>
      <c r="AK995" s="1734"/>
      <c r="AL995" s="1734"/>
      <c r="AM995" s="1734"/>
      <c r="AN995" s="1734"/>
      <c r="AO995" s="1734"/>
      <c r="AP995" s="1734"/>
      <c r="AQ995" s="1735"/>
      <c r="AR995" s="68"/>
      <c r="AS995" s="68"/>
      <c r="AT995" s="68"/>
      <c r="AU995" s="68"/>
      <c r="AV995" s="68"/>
      <c r="AW995" s="68"/>
      <c r="AX995" s="68"/>
      <c r="AY995" s="68"/>
      <c r="AZ995" s="34"/>
      <c r="BA995" s="34"/>
      <c r="BB995" s="34"/>
      <c r="BC995" s="34"/>
    </row>
    <row r="996" spans="1:55" ht="12.95" customHeight="1">
      <c r="A996" s="14"/>
      <c r="B996" s="257"/>
      <c r="C996" s="256"/>
      <c r="D996" s="1773"/>
      <c r="E996" s="1774"/>
      <c r="F996" s="1774"/>
      <c r="G996" s="1774"/>
      <c r="H996" s="1774"/>
      <c r="I996" s="1774"/>
      <c r="J996" s="1774"/>
      <c r="K996" s="1774"/>
      <c r="L996" s="1774"/>
      <c r="M996" s="1774"/>
      <c r="N996" s="1774"/>
      <c r="O996" s="1774"/>
      <c r="P996" s="1774"/>
      <c r="Q996" s="1774"/>
      <c r="R996" s="1774"/>
      <c r="S996" s="1774"/>
      <c r="T996" s="1774"/>
      <c r="U996" s="1774"/>
      <c r="V996" s="1774"/>
      <c r="W996" s="1774"/>
      <c r="X996" s="1774"/>
      <c r="Y996" s="1774"/>
      <c r="Z996" s="1774"/>
      <c r="AA996" s="1774"/>
      <c r="AB996" s="1774"/>
      <c r="AC996" s="1774"/>
      <c r="AD996" s="1774"/>
      <c r="AE996" s="1775"/>
      <c r="AF996" s="73"/>
      <c r="AG996" s="14"/>
      <c r="AH996" s="14"/>
      <c r="AI996" s="83"/>
      <c r="AJ996" s="1733"/>
      <c r="AK996" s="1734"/>
      <c r="AL996" s="1734"/>
      <c r="AM996" s="1734"/>
      <c r="AN996" s="1734"/>
      <c r="AO996" s="1734"/>
      <c r="AP996" s="1734"/>
      <c r="AQ996" s="1735"/>
      <c r="AR996" s="68"/>
      <c r="AS996" s="68"/>
      <c r="AT996" s="68"/>
      <c r="AU996" s="68"/>
      <c r="AV996" s="68"/>
      <c r="AW996" s="68"/>
      <c r="AX996" s="68"/>
      <c r="AY996" s="68"/>
      <c r="AZ996" s="34"/>
      <c r="BA996" s="34"/>
      <c r="BB996" s="34"/>
      <c r="BC996" s="34"/>
    </row>
    <row r="997" spans="1:55" ht="12.95" customHeight="1">
      <c r="A997" s="14"/>
      <c r="B997" s="257"/>
      <c r="C997" s="256"/>
      <c r="D997" s="1773"/>
      <c r="E997" s="1774"/>
      <c r="F997" s="1774"/>
      <c r="G997" s="1774"/>
      <c r="H997" s="1774"/>
      <c r="I997" s="1774"/>
      <c r="J997" s="1774"/>
      <c r="K997" s="1774"/>
      <c r="L997" s="1774"/>
      <c r="M997" s="1774"/>
      <c r="N997" s="1774"/>
      <c r="O997" s="1774"/>
      <c r="P997" s="1774"/>
      <c r="Q997" s="1774"/>
      <c r="R997" s="1774"/>
      <c r="S997" s="1774"/>
      <c r="T997" s="1774"/>
      <c r="U997" s="1774"/>
      <c r="V997" s="1774"/>
      <c r="W997" s="1774"/>
      <c r="X997" s="1774"/>
      <c r="Y997" s="1774"/>
      <c r="Z997" s="1774"/>
      <c r="AA997" s="1774"/>
      <c r="AB997" s="1774"/>
      <c r="AC997" s="1774"/>
      <c r="AD997" s="1774"/>
      <c r="AE997" s="1775"/>
      <c r="AF997" s="73"/>
      <c r="AG997" s="14"/>
      <c r="AH997" s="14"/>
      <c r="AI997" s="83"/>
      <c r="AJ997" s="1733"/>
      <c r="AK997" s="1734"/>
      <c r="AL997" s="1734"/>
      <c r="AM997" s="1734"/>
      <c r="AN997" s="1734"/>
      <c r="AO997" s="1734"/>
      <c r="AP997" s="1734"/>
      <c r="AQ997" s="1735"/>
      <c r="AR997" s="68"/>
      <c r="AS997" s="68"/>
      <c r="AT997" s="68"/>
      <c r="AU997" s="68"/>
      <c r="AV997" s="68"/>
      <c r="AW997" s="68"/>
      <c r="AX997" s="68"/>
      <c r="AY997" s="68"/>
      <c r="AZ997" s="34"/>
      <c r="BA997" s="34"/>
      <c r="BB997" s="34"/>
      <c r="BC997" s="34"/>
    </row>
    <row r="998" spans="1:55" ht="12.95" customHeight="1">
      <c r="A998" s="14"/>
      <c r="B998" s="257"/>
      <c r="C998" s="256"/>
      <c r="D998" s="1773"/>
      <c r="E998" s="1774"/>
      <c r="F998" s="1774"/>
      <c r="G998" s="1774"/>
      <c r="H998" s="1774"/>
      <c r="I998" s="1774"/>
      <c r="J998" s="1774"/>
      <c r="K998" s="1774"/>
      <c r="L998" s="1774"/>
      <c r="M998" s="1774"/>
      <c r="N998" s="1774"/>
      <c r="O998" s="1774"/>
      <c r="P998" s="1774"/>
      <c r="Q998" s="1774"/>
      <c r="R998" s="1774"/>
      <c r="S998" s="1774"/>
      <c r="T998" s="1774"/>
      <c r="U998" s="1774"/>
      <c r="V998" s="1774"/>
      <c r="W998" s="1774"/>
      <c r="X998" s="1774"/>
      <c r="Y998" s="1774"/>
      <c r="Z998" s="1774"/>
      <c r="AA998" s="1774"/>
      <c r="AB998" s="1774"/>
      <c r="AC998" s="1774"/>
      <c r="AD998" s="1774"/>
      <c r="AE998" s="1775"/>
      <c r="AF998" s="73"/>
      <c r="AG998" s="14"/>
      <c r="AH998" s="14"/>
      <c r="AI998" s="83"/>
      <c r="AJ998" s="1733"/>
      <c r="AK998" s="1734"/>
      <c r="AL998" s="1734"/>
      <c r="AM998" s="1734"/>
      <c r="AN998" s="1734"/>
      <c r="AO998" s="1734"/>
      <c r="AP998" s="1734"/>
      <c r="AQ998" s="1735"/>
      <c r="AR998" s="68"/>
      <c r="AS998" s="68"/>
      <c r="AT998" s="68"/>
      <c r="AU998" s="68"/>
      <c r="AV998" s="68"/>
      <c r="AW998" s="68"/>
      <c r="AX998" s="68"/>
      <c r="AY998" s="68"/>
      <c r="AZ998" s="34"/>
      <c r="BA998" s="34"/>
      <c r="BB998" s="34"/>
      <c r="BC998" s="34"/>
    </row>
    <row r="999" spans="1:55" ht="12.95" customHeight="1">
      <c r="A999" s="14"/>
      <c r="B999" s="257"/>
      <c r="C999" s="256"/>
      <c r="D999" s="1776" t="s">
        <v>2206</v>
      </c>
      <c r="E999" s="1777"/>
      <c r="F999" s="1777"/>
      <c r="G999" s="1777"/>
      <c r="H999" s="1777"/>
      <c r="I999" s="1777"/>
      <c r="J999" s="1777"/>
      <c r="K999" s="1777"/>
      <c r="L999" s="1777"/>
      <c r="M999" s="1777"/>
      <c r="N999" s="1777"/>
      <c r="O999" s="1777"/>
      <c r="P999" s="1777"/>
      <c r="Q999" s="1777"/>
      <c r="R999" s="1777"/>
      <c r="S999" s="1777"/>
      <c r="T999" s="1777"/>
      <c r="U999" s="1777"/>
      <c r="V999" s="1777"/>
      <c r="W999" s="1777"/>
      <c r="X999" s="1777"/>
      <c r="Y999" s="1777"/>
      <c r="Z999" s="1777"/>
      <c r="AA999" s="1777"/>
      <c r="AB999" s="1777"/>
      <c r="AC999" s="1777"/>
      <c r="AD999" s="1777"/>
      <c r="AE999" s="1778"/>
      <c r="AF999" s="73"/>
      <c r="AG999" s="14"/>
      <c r="AH999" s="14"/>
      <c r="AI999" s="83"/>
      <c r="AJ999" s="1733"/>
      <c r="AK999" s="1734"/>
      <c r="AL999" s="1734"/>
      <c r="AM999" s="1734"/>
      <c r="AN999" s="1734"/>
      <c r="AO999" s="1734"/>
      <c r="AP999" s="1734"/>
      <c r="AQ999" s="1735"/>
      <c r="AR999" s="68"/>
      <c r="AS999" s="68"/>
      <c r="AT999" s="68"/>
      <c r="AU999" s="68"/>
      <c r="AV999" s="68"/>
      <c r="AW999" s="68"/>
      <c r="AX999" s="68"/>
      <c r="AY999" s="68"/>
      <c r="AZ999" s="34"/>
      <c r="BA999" s="34"/>
      <c r="BB999" s="34"/>
      <c r="BC999" s="34"/>
    </row>
    <row r="1000" spans="1:55" ht="12.95" customHeight="1">
      <c r="A1000" s="14"/>
      <c r="B1000" s="257"/>
      <c r="C1000" s="256"/>
      <c r="D1000" s="1745" t="s">
        <v>2760</v>
      </c>
      <c r="E1000" s="1746"/>
      <c r="F1000" s="1746"/>
      <c r="G1000" s="1746"/>
      <c r="H1000" s="1746"/>
      <c r="I1000" s="1746"/>
      <c r="J1000" s="1746"/>
      <c r="K1000" s="1746"/>
      <c r="L1000" s="1746"/>
      <c r="M1000" s="1746"/>
      <c r="N1000" s="1746"/>
      <c r="O1000" s="1746"/>
      <c r="P1000" s="1746"/>
      <c r="Q1000" s="1746"/>
      <c r="R1000" s="1746"/>
      <c r="S1000" s="1746"/>
      <c r="T1000" s="1746"/>
      <c r="U1000" s="1746"/>
      <c r="V1000" s="1746"/>
      <c r="W1000" s="1746"/>
      <c r="X1000" s="1746"/>
      <c r="Y1000" s="1746"/>
      <c r="Z1000" s="1746"/>
      <c r="AA1000" s="1746"/>
      <c r="AB1000" s="1746"/>
      <c r="AC1000" s="1746"/>
      <c r="AD1000" s="1746"/>
      <c r="AE1000" s="1747"/>
      <c r="AF1000" s="77"/>
      <c r="AG1000" s="7"/>
      <c r="AH1000" s="7"/>
      <c r="AI1000" s="78"/>
      <c r="AJ1000" s="1736"/>
      <c r="AK1000" s="1737"/>
      <c r="AL1000" s="1737"/>
      <c r="AM1000" s="1737"/>
      <c r="AN1000" s="1737"/>
      <c r="AO1000" s="1737"/>
      <c r="AP1000" s="1737"/>
      <c r="AQ1000" s="1738"/>
      <c r="AR1000" s="68"/>
      <c r="AS1000" s="68"/>
      <c r="AT1000" s="68"/>
      <c r="AU1000" s="68"/>
      <c r="AV1000" s="68"/>
      <c r="AW1000" s="68"/>
      <c r="AX1000" s="68"/>
      <c r="AY1000" s="68"/>
      <c r="AZ1000" s="34"/>
      <c r="BA1000" s="34"/>
      <c r="BB1000" s="34"/>
      <c r="BC1000" s="34"/>
    </row>
    <row r="1001" spans="1:55" ht="12.95" customHeight="1">
      <c r="A1001" s="14"/>
      <c r="B1001" s="255"/>
      <c r="C1001" s="318"/>
      <c r="D1001" s="1770" t="s">
        <v>1287</v>
      </c>
      <c r="E1001" s="1771"/>
      <c r="F1001" s="1771"/>
      <c r="G1001" s="1771"/>
      <c r="H1001" s="1771"/>
      <c r="I1001" s="1771"/>
      <c r="J1001" s="1771"/>
      <c r="K1001" s="1771"/>
      <c r="L1001" s="1771"/>
      <c r="M1001" s="1771"/>
      <c r="N1001" s="1771"/>
      <c r="O1001" s="1771"/>
      <c r="P1001" s="1771"/>
      <c r="Q1001" s="1771"/>
      <c r="R1001" s="1771"/>
      <c r="S1001" s="1771"/>
      <c r="T1001" s="1771"/>
      <c r="U1001" s="1771"/>
      <c r="V1001" s="1771"/>
      <c r="W1001" s="1771"/>
      <c r="X1001" s="1771"/>
      <c r="Y1001" s="1771"/>
      <c r="Z1001" s="1771"/>
      <c r="AA1001" s="1771"/>
      <c r="AB1001" s="1771"/>
      <c r="AC1001" s="1771"/>
      <c r="AD1001" s="1771"/>
      <c r="AE1001" s="1772"/>
      <c r="AF1001" s="79"/>
      <c r="AG1001" s="1756" t="s">
        <v>670</v>
      </c>
      <c r="AH1001" s="1757"/>
      <c r="AI1001" s="87"/>
      <c r="AJ1001" s="1730">
        <f>ROUND(IF(AG1001="yes",AJ992*0.05,0),0)</f>
        <v>0</v>
      </c>
      <c r="AK1001" s="1731"/>
      <c r="AL1001" s="1731"/>
      <c r="AM1001" s="1731"/>
      <c r="AN1001" s="1731"/>
      <c r="AO1001" s="1731"/>
      <c r="AP1001" s="1731"/>
      <c r="AQ1001" s="1732"/>
      <c r="AR1001" s="68"/>
      <c r="AS1001" s="68"/>
      <c r="AT1001" s="68"/>
      <c r="AU1001" s="68"/>
      <c r="AV1001" s="68"/>
      <c r="AW1001" s="68"/>
      <c r="AX1001" s="68"/>
      <c r="AY1001" s="68"/>
      <c r="AZ1001" s="34"/>
      <c r="BA1001" s="34"/>
      <c r="BB1001" s="34"/>
      <c r="BC1001" s="34"/>
    </row>
    <row r="1002" spans="1:55" ht="12.95" customHeight="1">
      <c r="A1002" s="14"/>
      <c r="B1002" s="257"/>
      <c r="C1002" s="82"/>
      <c r="D1002" s="1773" t="s">
        <v>1285</v>
      </c>
      <c r="E1002" s="1774"/>
      <c r="F1002" s="1774"/>
      <c r="G1002" s="1774"/>
      <c r="H1002" s="1774"/>
      <c r="I1002" s="1774"/>
      <c r="J1002" s="1774"/>
      <c r="K1002" s="1774"/>
      <c r="L1002" s="1774"/>
      <c r="M1002" s="1774"/>
      <c r="N1002" s="1774"/>
      <c r="O1002" s="1774"/>
      <c r="P1002" s="1774"/>
      <c r="Q1002" s="1774"/>
      <c r="R1002" s="1774"/>
      <c r="S1002" s="1774"/>
      <c r="T1002" s="1774"/>
      <c r="U1002" s="1774"/>
      <c r="V1002" s="1774"/>
      <c r="W1002" s="1774"/>
      <c r="X1002" s="1774"/>
      <c r="Y1002" s="1774"/>
      <c r="Z1002" s="1774"/>
      <c r="AA1002" s="1774"/>
      <c r="AB1002" s="1774"/>
      <c r="AC1002" s="1774"/>
      <c r="AD1002" s="1774"/>
      <c r="AE1002" s="1775"/>
      <c r="AF1002" s="73"/>
      <c r="AG1002" s="14"/>
      <c r="AH1002" s="14"/>
      <c r="AI1002" s="83"/>
      <c r="AJ1002" s="1733"/>
      <c r="AK1002" s="1734"/>
      <c r="AL1002" s="1734"/>
      <c r="AM1002" s="1734"/>
      <c r="AN1002" s="1734"/>
      <c r="AO1002" s="1734"/>
      <c r="AP1002" s="1734"/>
      <c r="AQ1002" s="1735"/>
      <c r="AR1002" s="68"/>
      <c r="AS1002" s="68"/>
      <c r="AT1002" s="68"/>
      <c r="AU1002" s="68"/>
      <c r="AV1002" s="68"/>
      <c r="AW1002" s="68"/>
      <c r="AX1002" s="68"/>
      <c r="AY1002" s="34"/>
      <c r="AZ1002" s="34"/>
      <c r="BB1002" s="34"/>
    </row>
    <row r="1003" spans="1:55" ht="12.95" customHeight="1">
      <c r="A1003" s="14"/>
      <c r="B1003" s="257"/>
      <c r="C1003" s="82"/>
      <c r="D1003" s="1773"/>
      <c r="E1003" s="1774"/>
      <c r="F1003" s="1774"/>
      <c r="G1003" s="1774"/>
      <c r="H1003" s="1774"/>
      <c r="I1003" s="1774"/>
      <c r="J1003" s="1774"/>
      <c r="K1003" s="1774"/>
      <c r="L1003" s="1774"/>
      <c r="M1003" s="1774"/>
      <c r="N1003" s="1774"/>
      <c r="O1003" s="1774"/>
      <c r="P1003" s="1774"/>
      <c r="Q1003" s="1774"/>
      <c r="R1003" s="1774"/>
      <c r="S1003" s="1774"/>
      <c r="T1003" s="1774"/>
      <c r="U1003" s="1774"/>
      <c r="V1003" s="1774"/>
      <c r="W1003" s="1774"/>
      <c r="X1003" s="1774"/>
      <c r="Y1003" s="1774"/>
      <c r="Z1003" s="1774"/>
      <c r="AA1003" s="1774"/>
      <c r="AB1003" s="1774"/>
      <c r="AC1003" s="1774"/>
      <c r="AD1003" s="1774"/>
      <c r="AE1003" s="1775"/>
      <c r="AF1003" s="73"/>
      <c r="AG1003" s="14"/>
      <c r="AH1003" s="14"/>
      <c r="AI1003" s="83"/>
      <c r="AJ1003" s="1733"/>
      <c r="AK1003" s="1734"/>
      <c r="AL1003" s="1734"/>
      <c r="AM1003" s="1734"/>
      <c r="AN1003" s="1734"/>
      <c r="AO1003" s="1734"/>
      <c r="AP1003" s="1734"/>
      <c r="AQ1003" s="1735"/>
      <c r="AR1003" s="68"/>
      <c r="AS1003" s="68"/>
      <c r="AT1003" s="68"/>
      <c r="AU1003" s="68"/>
      <c r="AV1003" s="68"/>
      <c r="AW1003" s="68"/>
      <c r="AX1003" s="68"/>
      <c r="AY1003" s="914">
        <f>G753+O797</f>
        <v>141</v>
      </c>
      <c r="AZ1003" s="34"/>
      <c r="BB1003" s="34"/>
    </row>
    <row r="1004" spans="1:55" ht="12.95" customHeight="1">
      <c r="A1004" s="14"/>
      <c r="B1004" s="257"/>
      <c r="C1004" s="82"/>
      <c r="D1004" s="1773"/>
      <c r="E1004" s="1774"/>
      <c r="F1004" s="1774"/>
      <c r="G1004" s="1774"/>
      <c r="H1004" s="1774"/>
      <c r="I1004" s="1774"/>
      <c r="J1004" s="1774"/>
      <c r="K1004" s="1774"/>
      <c r="L1004" s="1774"/>
      <c r="M1004" s="1774"/>
      <c r="N1004" s="1774"/>
      <c r="O1004" s="1774"/>
      <c r="P1004" s="1774"/>
      <c r="Q1004" s="1774"/>
      <c r="R1004" s="1774"/>
      <c r="S1004" s="1774"/>
      <c r="T1004" s="1774"/>
      <c r="U1004" s="1774"/>
      <c r="V1004" s="1774"/>
      <c r="W1004" s="1774"/>
      <c r="X1004" s="1774"/>
      <c r="Y1004" s="1774"/>
      <c r="Z1004" s="1774"/>
      <c r="AA1004" s="1774"/>
      <c r="AB1004" s="1774"/>
      <c r="AC1004" s="1774"/>
      <c r="AD1004" s="1774"/>
      <c r="AE1004" s="1775"/>
      <c r="AF1004" s="73"/>
      <c r="AG1004" s="14"/>
      <c r="AH1004" s="14"/>
      <c r="AI1004" s="83"/>
      <c r="AJ1004" s="1733"/>
      <c r="AK1004" s="1734"/>
      <c r="AL1004" s="1734"/>
      <c r="AM1004" s="1734"/>
      <c r="AN1004" s="1734"/>
      <c r="AO1004" s="1734"/>
      <c r="AP1004" s="1734"/>
      <c r="AQ1004" s="1735"/>
      <c r="AR1004" s="68"/>
      <c r="AS1004" s="68"/>
      <c r="AT1004" s="68"/>
      <c r="AU1004" s="68"/>
      <c r="AV1004" s="68"/>
      <c r="AW1004" s="68"/>
      <c r="AX1004" s="68"/>
      <c r="AY1004" s="14"/>
      <c r="AZ1004" s="34"/>
      <c r="BB1004" s="34"/>
    </row>
    <row r="1005" spans="1:55" ht="12.95" customHeight="1">
      <c r="A1005" s="14"/>
      <c r="B1005" s="257"/>
      <c r="C1005" s="82"/>
      <c r="D1005" s="1773"/>
      <c r="E1005" s="1774"/>
      <c r="F1005" s="1774"/>
      <c r="G1005" s="1774"/>
      <c r="H1005" s="1774"/>
      <c r="I1005" s="1774"/>
      <c r="J1005" s="1774"/>
      <c r="K1005" s="1774"/>
      <c r="L1005" s="1774"/>
      <c r="M1005" s="1774"/>
      <c r="N1005" s="1774"/>
      <c r="O1005" s="1774"/>
      <c r="P1005" s="1774"/>
      <c r="Q1005" s="1774"/>
      <c r="R1005" s="1774"/>
      <c r="S1005" s="1774"/>
      <c r="T1005" s="1774"/>
      <c r="U1005" s="1774"/>
      <c r="V1005" s="1774"/>
      <c r="W1005" s="1774"/>
      <c r="X1005" s="1774"/>
      <c r="Y1005" s="1774"/>
      <c r="Z1005" s="1774"/>
      <c r="AA1005" s="1774"/>
      <c r="AB1005" s="1774"/>
      <c r="AC1005" s="1774"/>
      <c r="AD1005" s="1774"/>
      <c r="AE1005" s="1775"/>
      <c r="AF1005" s="73"/>
      <c r="AG1005" s="14"/>
      <c r="AH1005" s="14"/>
      <c r="AI1005" s="83"/>
      <c r="AJ1005" s="1733"/>
      <c r="AK1005" s="1734"/>
      <c r="AL1005" s="1734"/>
      <c r="AM1005" s="1734"/>
      <c r="AN1005" s="1734"/>
      <c r="AO1005" s="1734"/>
      <c r="AP1005" s="1734"/>
      <c r="AQ1005" s="1735"/>
      <c r="AR1005" s="68"/>
      <c r="AS1005" s="68"/>
      <c r="AT1005" s="68"/>
      <c r="AU1005" s="68"/>
      <c r="AV1005" s="68"/>
      <c r="AW1005" s="68"/>
      <c r="AX1005" s="68"/>
      <c r="AY1005" s="913">
        <f>ROUNDDOWN(X1048/I1048,2)</f>
        <v>7.0000000000000007E-2</v>
      </c>
      <c r="AZ1005" s="34"/>
      <c r="BB1005" s="34"/>
    </row>
    <row r="1006" spans="1:55" ht="12.95" customHeight="1">
      <c r="A1006" s="14"/>
      <c r="B1006" s="75"/>
      <c r="C1006" s="76"/>
      <c r="D1006" s="1776"/>
      <c r="E1006" s="1777"/>
      <c r="F1006" s="1777"/>
      <c r="G1006" s="1777"/>
      <c r="H1006" s="1777"/>
      <c r="I1006" s="1777"/>
      <c r="J1006" s="1777"/>
      <c r="K1006" s="1777"/>
      <c r="L1006" s="1777"/>
      <c r="M1006" s="1777"/>
      <c r="N1006" s="1777"/>
      <c r="O1006" s="1777"/>
      <c r="P1006" s="1777"/>
      <c r="Q1006" s="1777"/>
      <c r="R1006" s="1777"/>
      <c r="S1006" s="1777"/>
      <c r="T1006" s="1777"/>
      <c r="U1006" s="1777"/>
      <c r="V1006" s="1777"/>
      <c r="W1006" s="1777"/>
      <c r="X1006" s="1777"/>
      <c r="Y1006" s="1777"/>
      <c r="Z1006" s="1777"/>
      <c r="AA1006" s="1777"/>
      <c r="AB1006" s="1777"/>
      <c r="AC1006" s="1777"/>
      <c r="AD1006" s="1777"/>
      <c r="AE1006" s="1778"/>
      <c r="AF1006" s="77"/>
      <c r="AG1006" s="7"/>
      <c r="AH1006" s="7"/>
      <c r="AI1006" s="78"/>
      <c r="AJ1006" s="1736"/>
      <c r="AK1006" s="1737"/>
      <c r="AL1006" s="1737"/>
      <c r="AM1006" s="1737"/>
      <c r="AN1006" s="1737"/>
      <c r="AO1006" s="1737"/>
      <c r="AP1006" s="1737"/>
      <c r="AQ1006" s="1738"/>
      <c r="AR1006" s="68"/>
      <c r="AS1006" s="68"/>
      <c r="AT1006" s="68"/>
      <c r="AU1006" s="68"/>
      <c r="AV1006" s="68"/>
      <c r="AW1006" s="68"/>
      <c r="AX1006" s="68"/>
      <c r="AY1006" s="913">
        <f>ROUNDDOWN(X1052/I1052,2)</f>
        <v>0.19</v>
      </c>
      <c r="AZ1006" s="34"/>
      <c r="BB1006" s="34"/>
    </row>
    <row r="1007" spans="1:55" ht="12.95" customHeight="1">
      <c r="A1007" s="14"/>
      <c r="B1007" s="255"/>
      <c r="C1007" s="80" t="s">
        <v>673</v>
      </c>
      <c r="D1007" s="1770" t="s">
        <v>1684</v>
      </c>
      <c r="E1007" s="1771"/>
      <c r="F1007" s="1771"/>
      <c r="G1007" s="1771"/>
      <c r="H1007" s="1771"/>
      <c r="I1007" s="1771"/>
      <c r="J1007" s="1771"/>
      <c r="K1007" s="1771"/>
      <c r="L1007" s="1771"/>
      <c r="M1007" s="1771"/>
      <c r="N1007" s="1771"/>
      <c r="O1007" s="1771"/>
      <c r="P1007" s="1771"/>
      <c r="Q1007" s="1771"/>
      <c r="R1007" s="1771"/>
      <c r="S1007" s="1771"/>
      <c r="T1007" s="1771"/>
      <c r="U1007" s="1771"/>
      <c r="V1007" s="1771"/>
      <c r="W1007" s="1771"/>
      <c r="X1007" s="1771"/>
      <c r="Y1007" s="1771"/>
      <c r="Z1007" s="1771"/>
      <c r="AA1007" s="1771"/>
      <c r="AB1007" s="1771"/>
      <c r="AC1007" s="1771"/>
      <c r="AD1007" s="1771"/>
      <c r="AE1007" s="1772"/>
      <c r="AF1007" s="86"/>
      <c r="AG1007" s="1756" t="s">
        <v>670</v>
      </c>
      <c r="AH1007" s="1757"/>
      <c r="AI1007" s="87"/>
      <c r="AJ1007" s="1730">
        <f>ROUND(IF(AG1007="yes",AJ992*0.1,0),0)</f>
        <v>0</v>
      </c>
      <c r="AK1007" s="1731"/>
      <c r="AL1007" s="1731"/>
      <c r="AM1007" s="1731"/>
      <c r="AN1007" s="1731"/>
      <c r="AO1007" s="1731"/>
      <c r="AP1007" s="1731"/>
      <c r="AQ1007" s="1732"/>
      <c r="AR1007" s="68"/>
      <c r="AS1007" s="68"/>
      <c r="AT1007" s="68"/>
      <c r="AU1007" s="68"/>
      <c r="AV1007" s="68"/>
      <c r="AW1007" s="68"/>
      <c r="AX1007" s="68"/>
      <c r="BB1007" s="34"/>
    </row>
    <row r="1008" spans="1:55" ht="12.95" customHeight="1">
      <c r="A1008" s="14"/>
      <c r="B1008" s="73"/>
      <c r="C1008" s="74"/>
      <c r="D1008" s="1699" t="s">
        <v>1286</v>
      </c>
      <c r="E1008" s="1700"/>
      <c r="F1008" s="1700"/>
      <c r="G1008" s="1700"/>
      <c r="H1008" s="1700"/>
      <c r="I1008" s="1700"/>
      <c r="J1008" s="1700"/>
      <c r="K1008" s="1700"/>
      <c r="L1008" s="1700"/>
      <c r="M1008" s="1700"/>
      <c r="N1008" s="1700"/>
      <c r="O1008" s="1700"/>
      <c r="P1008" s="1700"/>
      <c r="Q1008" s="1700"/>
      <c r="R1008" s="1700"/>
      <c r="S1008" s="1700"/>
      <c r="T1008" s="1700"/>
      <c r="U1008" s="1700"/>
      <c r="V1008" s="1700"/>
      <c r="W1008" s="1700"/>
      <c r="X1008" s="1700"/>
      <c r="Y1008" s="1700"/>
      <c r="Z1008" s="1700"/>
      <c r="AA1008" s="1700"/>
      <c r="AB1008" s="1700"/>
      <c r="AC1008" s="1700"/>
      <c r="AD1008" s="1700"/>
      <c r="AE1008" s="1701"/>
      <c r="AF1008" s="73"/>
      <c r="AI1008" s="83"/>
      <c r="AJ1008" s="1733"/>
      <c r="AK1008" s="1734"/>
      <c r="AL1008" s="1734"/>
      <c r="AM1008" s="1734"/>
      <c r="AN1008" s="1734"/>
      <c r="AO1008" s="1734"/>
      <c r="AP1008" s="1734"/>
      <c r="AQ1008" s="1735"/>
      <c r="AR1008" s="68"/>
      <c r="AS1008" s="68"/>
      <c r="AT1008" s="68"/>
      <c r="AU1008" s="68"/>
      <c r="AV1008" s="68"/>
      <c r="AW1008" s="68"/>
      <c r="AX1008" s="68"/>
    </row>
    <row r="1009" spans="1:52" ht="12.95" customHeight="1">
      <c r="A1009" s="14"/>
      <c r="B1009" s="73"/>
      <c r="C1009" s="74"/>
      <c r="D1009" s="1699"/>
      <c r="E1009" s="1700"/>
      <c r="F1009" s="1700"/>
      <c r="G1009" s="1700"/>
      <c r="H1009" s="1700"/>
      <c r="I1009" s="1700"/>
      <c r="J1009" s="1700"/>
      <c r="K1009" s="1700"/>
      <c r="L1009" s="1700"/>
      <c r="M1009" s="1700"/>
      <c r="N1009" s="1700"/>
      <c r="O1009" s="1700"/>
      <c r="P1009" s="1700"/>
      <c r="Q1009" s="1700"/>
      <c r="R1009" s="1700"/>
      <c r="S1009" s="1700"/>
      <c r="T1009" s="1700"/>
      <c r="U1009" s="1700"/>
      <c r="V1009" s="1700"/>
      <c r="W1009" s="1700"/>
      <c r="X1009" s="1700"/>
      <c r="Y1009" s="1700"/>
      <c r="Z1009" s="1700"/>
      <c r="AA1009" s="1700"/>
      <c r="AB1009" s="1700"/>
      <c r="AC1009" s="1700"/>
      <c r="AD1009" s="1700"/>
      <c r="AE1009" s="1701"/>
      <c r="AF1009" s="73"/>
      <c r="AG1009" s="14"/>
      <c r="AH1009" s="14"/>
      <c r="AI1009" s="83"/>
      <c r="AJ1009" s="1733"/>
      <c r="AK1009" s="1734"/>
      <c r="AL1009" s="1734"/>
      <c r="AM1009" s="1734"/>
      <c r="AN1009" s="1734"/>
      <c r="AO1009" s="1734"/>
      <c r="AP1009" s="1734"/>
      <c r="AQ1009" s="1735"/>
      <c r="AR1009" s="68"/>
      <c r="AS1009" s="68"/>
      <c r="AT1009" s="68"/>
      <c r="AU1009" s="68"/>
      <c r="AV1009" s="68"/>
      <c r="AW1009" s="68"/>
      <c r="AX1009" s="68"/>
    </row>
    <row r="1010" spans="1:52" ht="12.95" customHeight="1">
      <c r="A1010" s="14"/>
      <c r="B1010" s="85"/>
      <c r="C1010" s="76"/>
      <c r="D1010" s="1748"/>
      <c r="E1010" s="1749"/>
      <c r="F1010" s="1749"/>
      <c r="G1010" s="1749"/>
      <c r="H1010" s="1749"/>
      <c r="I1010" s="1749"/>
      <c r="J1010" s="1749"/>
      <c r="K1010" s="1749"/>
      <c r="L1010" s="1749"/>
      <c r="M1010" s="1749"/>
      <c r="N1010" s="1749"/>
      <c r="O1010" s="1749"/>
      <c r="P1010" s="1749"/>
      <c r="Q1010" s="1749"/>
      <c r="R1010" s="1749"/>
      <c r="S1010" s="1749"/>
      <c r="T1010" s="1749"/>
      <c r="U1010" s="1749"/>
      <c r="V1010" s="1749"/>
      <c r="W1010" s="1749"/>
      <c r="X1010" s="1749"/>
      <c r="Y1010" s="1749"/>
      <c r="Z1010" s="1749"/>
      <c r="AA1010" s="1749"/>
      <c r="AB1010" s="1749"/>
      <c r="AC1010" s="1749"/>
      <c r="AD1010" s="1749"/>
      <c r="AE1010" s="1750"/>
      <c r="AF1010" s="77"/>
      <c r="AG1010" s="7"/>
      <c r="AH1010" s="7"/>
      <c r="AI1010" s="78"/>
      <c r="AJ1010" s="1736"/>
      <c r="AK1010" s="1737"/>
      <c r="AL1010" s="1737"/>
      <c r="AM1010" s="1737"/>
      <c r="AN1010" s="1737"/>
      <c r="AO1010" s="1737"/>
      <c r="AP1010" s="1737"/>
      <c r="AQ1010" s="1738"/>
      <c r="AR1010" s="68"/>
      <c r="AS1010" s="68"/>
      <c r="AT1010" s="68"/>
      <c r="AU1010" s="68"/>
      <c r="AV1010" s="68"/>
      <c r="AW1010" s="68"/>
      <c r="AX1010" s="68"/>
    </row>
    <row r="1011" spans="1:52" ht="12.95" customHeight="1">
      <c r="A1011" s="14"/>
      <c r="B1011" s="79"/>
      <c r="C1011" s="80" t="s">
        <v>212</v>
      </c>
      <c r="D1011" s="1770" t="s">
        <v>1288</v>
      </c>
      <c r="E1011" s="1771"/>
      <c r="F1011" s="1771"/>
      <c r="G1011" s="1771"/>
      <c r="H1011" s="1771"/>
      <c r="I1011" s="1771"/>
      <c r="J1011" s="1771"/>
      <c r="K1011" s="1771"/>
      <c r="L1011" s="1771"/>
      <c r="M1011" s="1771"/>
      <c r="N1011" s="1771"/>
      <c r="O1011" s="1771"/>
      <c r="P1011" s="1771"/>
      <c r="Q1011" s="1771"/>
      <c r="R1011" s="1771"/>
      <c r="S1011" s="1771"/>
      <c r="T1011" s="1771"/>
      <c r="U1011" s="1771"/>
      <c r="V1011" s="1771"/>
      <c r="W1011" s="1771"/>
      <c r="X1011" s="1771"/>
      <c r="Y1011" s="1771"/>
      <c r="Z1011" s="1771"/>
      <c r="AA1011" s="1771"/>
      <c r="AB1011" s="1771"/>
      <c r="AC1011" s="1771"/>
      <c r="AD1011" s="1771"/>
      <c r="AE1011" s="1772"/>
      <c r="AF1011" s="79"/>
      <c r="AG1011" s="1756" t="s">
        <v>670</v>
      </c>
      <c r="AH1011" s="1757"/>
      <c r="AI1011" s="87"/>
      <c r="AJ1011" s="1730">
        <f>ROUND(IF(AG1011="yes",AJ992*0.02,0),0)</f>
        <v>0</v>
      </c>
      <c r="AK1011" s="1731"/>
      <c r="AL1011" s="1731"/>
      <c r="AM1011" s="1731"/>
      <c r="AN1011" s="1731"/>
      <c r="AO1011" s="1731"/>
      <c r="AP1011" s="1731"/>
      <c r="AQ1011" s="1732"/>
      <c r="AR1011" s="68"/>
      <c r="AS1011" s="68"/>
      <c r="AT1011" s="68"/>
      <c r="AU1011" s="68"/>
      <c r="AV1011" s="68"/>
      <c r="AW1011" s="68"/>
      <c r="AX1011" s="68"/>
    </row>
    <row r="1012" spans="1:52" ht="14.25" customHeight="1">
      <c r="A1012" s="14"/>
      <c r="B1012" s="73"/>
      <c r="C1012" s="74"/>
      <c r="D1012" s="1748" t="s">
        <v>1289</v>
      </c>
      <c r="E1012" s="1749"/>
      <c r="F1012" s="1749"/>
      <c r="G1012" s="1749"/>
      <c r="H1012" s="1749"/>
      <c r="I1012" s="1749"/>
      <c r="J1012" s="1749"/>
      <c r="K1012" s="1749"/>
      <c r="L1012" s="1749"/>
      <c r="M1012" s="1749"/>
      <c r="N1012" s="1749"/>
      <c r="O1012" s="1749"/>
      <c r="P1012" s="1749"/>
      <c r="Q1012" s="1749"/>
      <c r="R1012" s="1749"/>
      <c r="S1012" s="1749"/>
      <c r="T1012" s="1749"/>
      <c r="U1012" s="1749"/>
      <c r="V1012" s="1749"/>
      <c r="W1012" s="1749"/>
      <c r="X1012" s="1749"/>
      <c r="Y1012" s="1749"/>
      <c r="Z1012" s="1749"/>
      <c r="AA1012" s="1749"/>
      <c r="AB1012" s="1749"/>
      <c r="AC1012" s="1749"/>
      <c r="AD1012" s="1749"/>
      <c r="AE1012" s="1750"/>
      <c r="AF1012" s="77"/>
      <c r="AG1012" s="7"/>
      <c r="AH1012" s="7"/>
      <c r="AI1012" s="78"/>
      <c r="AJ1012" s="1736"/>
      <c r="AK1012" s="1737"/>
      <c r="AL1012" s="1737"/>
      <c r="AM1012" s="1737"/>
      <c r="AN1012" s="1737"/>
      <c r="AO1012" s="1737"/>
      <c r="AP1012" s="1737"/>
      <c r="AQ1012" s="1738"/>
      <c r="AR1012" s="68"/>
      <c r="AS1012" s="68"/>
      <c r="AT1012" s="68"/>
      <c r="AU1012" s="68"/>
      <c r="AV1012" s="68"/>
      <c r="AW1012" s="68"/>
      <c r="AX1012" s="3" t="s">
        <v>1842</v>
      </c>
      <c r="AZ1012" s="3" t="s">
        <v>2606</v>
      </c>
    </row>
    <row r="1013" spans="1:52" ht="12.95" customHeight="1">
      <c r="A1013" s="14"/>
      <c r="B1013" s="79"/>
      <c r="C1013" s="80" t="s">
        <v>215</v>
      </c>
      <c r="D1013" s="1770" t="s">
        <v>1290</v>
      </c>
      <c r="E1013" s="1771"/>
      <c r="F1013" s="1771"/>
      <c r="G1013" s="1771"/>
      <c r="H1013" s="1771"/>
      <c r="I1013" s="1771"/>
      <c r="J1013" s="1771"/>
      <c r="K1013" s="1771"/>
      <c r="L1013" s="1771"/>
      <c r="M1013" s="1771"/>
      <c r="N1013" s="1771"/>
      <c r="O1013" s="1771"/>
      <c r="P1013" s="1771"/>
      <c r="Q1013" s="1771"/>
      <c r="R1013" s="1771"/>
      <c r="S1013" s="1771"/>
      <c r="T1013" s="1771"/>
      <c r="U1013" s="1771"/>
      <c r="V1013" s="1771"/>
      <c r="W1013" s="1771"/>
      <c r="X1013" s="1771"/>
      <c r="Y1013" s="1771"/>
      <c r="Z1013" s="1771"/>
      <c r="AA1013" s="1771"/>
      <c r="AB1013" s="1771"/>
      <c r="AC1013" s="1771"/>
      <c r="AD1013" s="1771"/>
      <c r="AE1013" s="1772"/>
      <c r="AF1013" s="79"/>
      <c r="AG1013" s="1756" t="s">
        <v>670</v>
      </c>
      <c r="AH1013" s="1757"/>
      <c r="AI1013" s="79"/>
      <c r="AJ1013" s="1730">
        <f>ROUND(IF(AG1013="yes",AJ992*0.02,0),0)</f>
        <v>0</v>
      </c>
      <c r="AK1013" s="1731"/>
      <c r="AL1013" s="1731"/>
      <c r="AM1013" s="1731"/>
      <c r="AN1013" s="1731"/>
      <c r="AO1013" s="1731"/>
      <c r="AP1013" s="1731"/>
      <c r="AQ1013" s="1732"/>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699" t="s">
        <v>1291</v>
      </c>
      <c r="E1014" s="1700"/>
      <c r="F1014" s="1700"/>
      <c r="G1014" s="1700"/>
      <c r="H1014" s="1700"/>
      <c r="I1014" s="1700"/>
      <c r="J1014" s="1700"/>
      <c r="K1014" s="1700"/>
      <c r="L1014" s="1700"/>
      <c r="M1014" s="1700"/>
      <c r="N1014" s="1700"/>
      <c r="O1014" s="1700"/>
      <c r="P1014" s="1700"/>
      <c r="Q1014" s="1700"/>
      <c r="R1014" s="1700"/>
      <c r="S1014" s="1700"/>
      <c r="T1014" s="1700"/>
      <c r="U1014" s="1700"/>
      <c r="V1014" s="1700"/>
      <c r="W1014" s="1700"/>
      <c r="X1014" s="1700"/>
      <c r="Y1014" s="1700"/>
      <c r="Z1014" s="1700"/>
      <c r="AA1014" s="1700"/>
      <c r="AB1014" s="1700"/>
      <c r="AC1014" s="1700"/>
      <c r="AD1014" s="1700"/>
      <c r="AE1014" s="1701"/>
      <c r="AF1014" s="1851" t="str">
        <f>IF(AND(AG1013="yes",T212&lt;&gt;1),"The project may not be eligible for this boost","")</f>
        <v/>
      </c>
      <c r="AG1014" s="1852"/>
      <c r="AH1014" s="1852"/>
      <c r="AI1014" s="1853"/>
      <c r="AJ1014" s="1733"/>
      <c r="AK1014" s="1734"/>
      <c r="AL1014" s="1734"/>
      <c r="AM1014" s="1734"/>
      <c r="AN1014" s="1734"/>
      <c r="AO1014" s="1734"/>
      <c r="AP1014" s="1734"/>
      <c r="AQ1014" s="1735"/>
      <c r="AR1014" s="68"/>
      <c r="AS1014" s="68"/>
      <c r="AT1014" s="68"/>
      <c r="AU1014" s="68"/>
      <c r="AV1014" s="68"/>
      <c r="AW1014" s="68"/>
      <c r="AX1014" s="3">
        <v>2</v>
      </c>
      <c r="AY1014" s="200">
        <f t="shared" ref="AY1014:AY1023" si="54">IF((_xlfn.XLOOKUP(AX1014,$C$1065:$C$1103,$A$1065:$A$1103,"",0,1))="Yes",AZ1014,0)</f>
        <v>0</v>
      </c>
      <c r="AZ1014" s="1255">
        <v>0.15</v>
      </c>
    </row>
    <row r="1015" spans="1:52" ht="12.95" customHeight="1">
      <c r="A1015" s="14"/>
      <c r="B1015" s="75"/>
      <c r="C1015" s="76"/>
      <c r="D1015" s="1748"/>
      <c r="E1015" s="1749"/>
      <c r="F1015" s="1749"/>
      <c r="G1015" s="1749"/>
      <c r="H1015" s="1749"/>
      <c r="I1015" s="1749"/>
      <c r="J1015" s="1749"/>
      <c r="K1015" s="1749"/>
      <c r="L1015" s="1749"/>
      <c r="M1015" s="1749"/>
      <c r="N1015" s="1749"/>
      <c r="O1015" s="1749"/>
      <c r="P1015" s="1749"/>
      <c r="Q1015" s="1749"/>
      <c r="R1015" s="1749"/>
      <c r="S1015" s="1749"/>
      <c r="T1015" s="1749"/>
      <c r="U1015" s="1749"/>
      <c r="V1015" s="1749"/>
      <c r="W1015" s="1749"/>
      <c r="X1015" s="1749"/>
      <c r="Y1015" s="1749"/>
      <c r="Z1015" s="1749"/>
      <c r="AA1015" s="1749"/>
      <c r="AB1015" s="1749"/>
      <c r="AC1015" s="1749"/>
      <c r="AD1015" s="1749"/>
      <c r="AE1015" s="1750"/>
      <c r="AF1015" s="1854"/>
      <c r="AG1015" s="1855"/>
      <c r="AH1015" s="1855"/>
      <c r="AI1015" s="1856"/>
      <c r="AJ1015" s="1736"/>
      <c r="AK1015" s="1737"/>
      <c r="AL1015" s="1737"/>
      <c r="AM1015" s="1737"/>
      <c r="AN1015" s="1737"/>
      <c r="AO1015" s="1737"/>
      <c r="AP1015" s="1737"/>
      <c r="AQ1015" s="1738"/>
      <c r="AR1015" s="68"/>
      <c r="AS1015" s="68"/>
      <c r="AT1015" s="68"/>
      <c r="AU1015" s="68"/>
      <c r="AV1015" s="68"/>
      <c r="AW1015" s="68"/>
      <c r="AX1015" s="3">
        <v>3</v>
      </c>
      <c r="AY1015" s="200">
        <f t="shared" si="54"/>
        <v>0</v>
      </c>
      <c r="AZ1015" s="1255">
        <v>0.05</v>
      </c>
    </row>
    <row r="1016" spans="1:52" ht="12.95" customHeight="1">
      <c r="A1016" s="14"/>
      <c r="B1016" s="79"/>
      <c r="C1016" s="80" t="s">
        <v>218</v>
      </c>
      <c r="D1016" s="1739" t="s">
        <v>2235</v>
      </c>
      <c r="E1016" s="1740"/>
      <c r="F1016" s="1740"/>
      <c r="G1016" s="1740"/>
      <c r="H1016" s="1740"/>
      <c r="I1016" s="1740"/>
      <c r="J1016" s="1740"/>
      <c r="K1016" s="1740"/>
      <c r="L1016" s="1740"/>
      <c r="M1016" s="1740"/>
      <c r="N1016" s="1740"/>
      <c r="O1016" s="1740"/>
      <c r="P1016" s="1740"/>
      <c r="Q1016" s="1740"/>
      <c r="R1016" s="1740"/>
      <c r="S1016" s="1740"/>
      <c r="T1016" s="1740"/>
      <c r="U1016" s="1740"/>
      <c r="V1016" s="1740"/>
      <c r="W1016" s="1740"/>
      <c r="X1016" s="1740"/>
      <c r="Y1016" s="1740"/>
      <c r="Z1016" s="1740"/>
      <c r="AA1016" s="1740"/>
      <c r="AB1016" s="1740"/>
      <c r="AC1016" s="1740"/>
      <c r="AD1016" s="1740"/>
      <c r="AE1016" s="1741"/>
      <c r="AF1016" s="79"/>
      <c r="AG1016" s="1756" t="s">
        <v>670</v>
      </c>
      <c r="AH1016" s="1757"/>
      <c r="AI1016" s="87"/>
      <c r="AJ1016" s="1730">
        <f>IF(AG1016="yes",AJ992*AY1024,0)</f>
        <v>0</v>
      </c>
      <c r="AK1016" s="1731"/>
      <c r="AL1016" s="1731"/>
      <c r="AM1016" s="1731"/>
      <c r="AN1016" s="1731"/>
      <c r="AO1016" s="1731"/>
      <c r="AP1016" s="1731"/>
      <c r="AQ1016" s="1732"/>
      <c r="AR1016" s="68"/>
      <c r="AS1016" s="68"/>
      <c r="AT1016" s="68"/>
      <c r="AU1016" s="68"/>
      <c r="AV1016" s="68"/>
      <c r="AW1016" s="68"/>
      <c r="AX1016" s="3">
        <v>4</v>
      </c>
      <c r="AY1016" s="200">
        <f t="shared" si="54"/>
        <v>0</v>
      </c>
      <c r="AZ1016" s="1255">
        <v>0.02</v>
      </c>
    </row>
    <row r="1017" spans="1:52" ht="12.95" customHeight="1">
      <c r="A1017" s="14"/>
      <c r="B1017" s="73"/>
      <c r="C1017" s="74"/>
      <c r="D1017" s="1699" t="s">
        <v>1292</v>
      </c>
      <c r="E1017" s="1700"/>
      <c r="F1017" s="1700"/>
      <c r="G1017" s="1700"/>
      <c r="H1017" s="1700"/>
      <c r="I1017" s="1700"/>
      <c r="J1017" s="1700"/>
      <c r="K1017" s="1700"/>
      <c r="L1017" s="1700"/>
      <c r="M1017" s="1700"/>
      <c r="N1017" s="1700"/>
      <c r="O1017" s="1700"/>
      <c r="P1017" s="1700"/>
      <c r="Q1017" s="1700"/>
      <c r="R1017" s="1700"/>
      <c r="S1017" s="1700"/>
      <c r="T1017" s="1700"/>
      <c r="U1017" s="1700"/>
      <c r="V1017" s="1700"/>
      <c r="W1017" s="1700"/>
      <c r="X1017" s="1700"/>
      <c r="Y1017" s="1700"/>
      <c r="Z1017" s="1700"/>
      <c r="AA1017" s="1700"/>
      <c r="AB1017" s="1700"/>
      <c r="AC1017" s="1700"/>
      <c r="AD1017" s="1700"/>
      <c r="AE1017" s="1701"/>
      <c r="AF1017" s="1845" t="str">
        <f>IF(AND(AG1016="Yes",AY1024=0),AY1027,"")</f>
        <v/>
      </c>
      <c r="AG1017" s="1846"/>
      <c r="AH1017" s="1846"/>
      <c r="AI1017" s="1847"/>
      <c r="AJ1017" s="1733"/>
      <c r="AK1017" s="1734"/>
      <c r="AL1017" s="1734"/>
      <c r="AM1017" s="1734"/>
      <c r="AN1017" s="1734"/>
      <c r="AO1017" s="1734"/>
      <c r="AP1017" s="1734"/>
      <c r="AQ1017" s="1735"/>
      <c r="AR1017" s="68"/>
      <c r="AS1017" s="68"/>
      <c r="AT1017" s="68"/>
      <c r="AU1017" s="68"/>
      <c r="AV1017" s="68"/>
      <c r="AW1017" s="68"/>
      <c r="AX1017" s="3">
        <v>5</v>
      </c>
      <c r="AY1017" s="200">
        <f t="shared" si="54"/>
        <v>0</v>
      </c>
      <c r="AZ1017" s="1255">
        <v>0.04</v>
      </c>
    </row>
    <row r="1018" spans="1:52" ht="12.95" customHeight="1">
      <c r="A1018" s="14"/>
      <c r="B1018" s="73"/>
      <c r="C1018" s="74"/>
      <c r="D1018" s="1699"/>
      <c r="E1018" s="1700"/>
      <c r="F1018" s="1700"/>
      <c r="G1018" s="1700"/>
      <c r="H1018" s="1700"/>
      <c r="I1018" s="1700"/>
      <c r="J1018" s="1700"/>
      <c r="K1018" s="1700"/>
      <c r="L1018" s="1700"/>
      <c r="M1018" s="1700"/>
      <c r="N1018" s="1700"/>
      <c r="O1018" s="1700"/>
      <c r="P1018" s="1700"/>
      <c r="Q1018" s="1700"/>
      <c r="R1018" s="1700"/>
      <c r="S1018" s="1700"/>
      <c r="T1018" s="1700"/>
      <c r="U1018" s="1700"/>
      <c r="V1018" s="1700"/>
      <c r="W1018" s="1700"/>
      <c r="X1018" s="1700"/>
      <c r="Y1018" s="1700"/>
      <c r="Z1018" s="1700"/>
      <c r="AA1018" s="1700"/>
      <c r="AB1018" s="1700"/>
      <c r="AC1018" s="1700"/>
      <c r="AD1018" s="1700"/>
      <c r="AE1018" s="1701"/>
      <c r="AF1018" s="1845"/>
      <c r="AG1018" s="1846"/>
      <c r="AH1018" s="1846"/>
      <c r="AI1018" s="1847"/>
      <c r="AJ1018" s="1733"/>
      <c r="AK1018" s="1734"/>
      <c r="AL1018" s="1734"/>
      <c r="AM1018" s="1734"/>
      <c r="AN1018" s="1734"/>
      <c r="AO1018" s="1734"/>
      <c r="AP1018" s="1734"/>
      <c r="AQ1018" s="1735"/>
      <c r="AR1018" s="68"/>
      <c r="AS1018" s="68"/>
      <c r="AT1018" s="68"/>
      <c r="AU1018" s="68"/>
      <c r="AV1018" s="68"/>
      <c r="AW1018" s="68"/>
      <c r="AX1018" s="3">
        <v>6</v>
      </c>
      <c r="AY1018" s="200">
        <f t="shared" si="54"/>
        <v>0</v>
      </c>
      <c r="AZ1018" s="1255">
        <v>0.04</v>
      </c>
    </row>
    <row r="1019" spans="1:52" ht="12.95" customHeight="1">
      <c r="A1019" s="14"/>
      <c r="B1019" s="81"/>
      <c r="C1019" s="82"/>
      <c r="D1019" s="1748"/>
      <c r="E1019" s="1749"/>
      <c r="F1019" s="1749"/>
      <c r="G1019" s="1749"/>
      <c r="H1019" s="1749"/>
      <c r="I1019" s="1749"/>
      <c r="J1019" s="1749"/>
      <c r="K1019" s="1749"/>
      <c r="L1019" s="1749"/>
      <c r="M1019" s="1749"/>
      <c r="N1019" s="1749"/>
      <c r="O1019" s="1749"/>
      <c r="P1019" s="1749"/>
      <c r="Q1019" s="1749"/>
      <c r="R1019" s="1749"/>
      <c r="S1019" s="1749"/>
      <c r="T1019" s="1749"/>
      <c r="U1019" s="1749"/>
      <c r="V1019" s="1749"/>
      <c r="W1019" s="1749"/>
      <c r="X1019" s="1749"/>
      <c r="Y1019" s="1749"/>
      <c r="Z1019" s="1749"/>
      <c r="AA1019" s="1749"/>
      <c r="AB1019" s="1749"/>
      <c r="AC1019" s="1749"/>
      <c r="AD1019" s="1749"/>
      <c r="AE1019" s="1750"/>
      <c r="AF1019" s="1848"/>
      <c r="AG1019" s="1849"/>
      <c r="AH1019" s="1849"/>
      <c r="AI1019" s="1850"/>
      <c r="AJ1019" s="1736"/>
      <c r="AK1019" s="1737"/>
      <c r="AL1019" s="1737"/>
      <c r="AM1019" s="1737"/>
      <c r="AN1019" s="1737"/>
      <c r="AO1019" s="1737"/>
      <c r="AP1019" s="1737"/>
      <c r="AQ1019" s="1738"/>
      <c r="AR1019" s="68"/>
      <c r="AS1019" s="68"/>
      <c r="AT1019" s="68"/>
      <c r="AU1019" s="68"/>
      <c r="AV1019" s="68"/>
      <c r="AW1019" s="68"/>
      <c r="AX1019" s="3">
        <v>7</v>
      </c>
      <c r="AY1019" s="200">
        <f t="shared" si="54"/>
        <v>0</v>
      </c>
      <c r="AZ1019" s="1255">
        <v>0.01</v>
      </c>
    </row>
    <row r="1020" spans="1:52" ht="12.95" customHeight="1">
      <c r="A1020" s="14"/>
      <c r="B1020" s="79"/>
      <c r="C1020" s="80" t="s">
        <v>223</v>
      </c>
      <c r="D1020" s="1826" t="s">
        <v>1293</v>
      </c>
      <c r="E1020" s="1827"/>
      <c r="F1020" s="1827"/>
      <c r="G1020" s="1827"/>
      <c r="H1020" s="1827"/>
      <c r="I1020" s="1827"/>
      <c r="J1020" s="1827"/>
      <c r="K1020" s="1827"/>
      <c r="L1020" s="1827"/>
      <c r="M1020" s="1827"/>
      <c r="N1020" s="1827"/>
      <c r="O1020" s="1827"/>
      <c r="P1020" s="1827"/>
      <c r="Q1020" s="1827"/>
      <c r="R1020" s="1827"/>
      <c r="S1020" s="1827"/>
      <c r="T1020" s="1827"/>
      <c r="U1020" s="1827"/>
      <c r="V1020" s="1827"/>
      <c r="W1020" s="1827"/>
      <c r="X1020" s="1827"/>
      <c r="Y1020" s="1827"/>
      <c r="Z1020" s="1827"/>
      <c r="AA1020" s="1827"/>
      <c r="AB1020" s="1827"/>
      <c r="AC1020" s="1827"/>
      <c r="AD1020" s="1827"/>
      <c r="AE1020" s="1828"/>
      <c r="AF1020" s="79"/>
      <c r="AG1020" s="1756" t="s">
        <v>546</v>
      </c>
      <c r="AH1020" s="1757"/>
      <c r="AI1020" s="87"/>
      <c r="AJ1020" s="1730">
        <f>ROUND(IF(AND(AG1020="Yes",J1024&lt;&gt;"N/A",AF1023&lt;&gt;""),MIN(AF1023,(0.15*AJ992)),0),0)</f>
        <v>1864000</v>
      </c>
      <c r="AK1020" s="1731"/>
      <c r="AL1020" s="1731"/>
      <c r="AM1020" s="1731"/>
      <c r="AN1020" s="1731"/>
      <c r="AO1020" s="1731"/>
      <c r="AP1020" s="1731"/>
      <c r="AQ1020" s="1732"/>
      <c r="AR1020" s="68"/>
      <c r="AS1020" s="68"/>
      <c r="AT1020" s="68"/>
      <c r="AU1020" s="68"/>
      <c r="AV1020" s="68"/>
      <c r="AW1020" s="68"/>
      <c r="AX1020" s="3">
        <v>8</v>
      </c>
      <c r="AY1020" s="200">
        <f t="shared" si="54"/>
        <v>0</v>
      </c>
      <c r="AZ1020" s="1255">
        <v>0.01</v>
      </c>
    </row>
    <row r="1021" spans="1:52" ht="12.95" customHeight="1">
      <c r="A1021" s="14"/>
      <c r="B1021" s="81"/>
      <c r="C1021" s="84"/>
      <c r="D1021" s="1829"/>
      <c r="E1021" s="1830"/>
      <c r="F1021" s="1830"/>
      <c r="G1021" s="1830"/>
      <c r="H1021" s="1830"/>
      <c r="I1021" s="1830"/>
      <c r="J1021" s="1830"/>
      <c r="K1021" s="1830"/>
      <c r="L1021" s="1830"/>
      <c r="M1021" s="1830"/>
      <c r="N1021" s="1830"/>
      <c r="O1021" s="1830"/>
      <c r="P1021" s="1830"/>
      <c r="Q1021" s="1830"/>
      <c r="R1021" s="1830"/>
      <c r="S1021" s="1830"/>
      <c r="T1021" s="1830"/>
      <c r="U1021" s="1830"/>
      <c r="V1021" s="1830"/>
      <c r="W1021" s="1830"/>
      <c r="X1021" s="1830"/>
      <c r="Y1021" s="1830"/>
      <c r="Z1021" s="1830"/>
      <c r="AA1021" s="1830"/>
      <c r="AB1021" s="1830"/>
      <c r="AC1021" s="1830"/>
      <c r="AD1021" s="1830"/>
      <c r="AE1021" s="1831"/>
      <c r="AF1021" s="1820" t="str">
        <f>IF(AG1020="yes","Please Select Type and Enter Amount:","")</f>
        <v>Please Select Type and Enter Amount:</v>
      </c>
      <c r="AG1021" s="1821"/>
      <c r="AH1021" s="1821"/>
      <c r="AI1021" s="1822"/>
      <c r="AJ1021" s="1733"/>
      <c r="AK1021" s="1734"/>
      <c r="AL1021" s="1734"/>
      <c r="AM1021" s="1734"/>
      <c r="AN1021" s="1734"/>
      <c r="AO1021" s="1734"/>
      <c r="AP1021" s="1734"/>
      <c r="AQ1021" s="1735"/>
      <c r="AR1021" s="68"/>
      <c r="AS1021" s="68"/>
      <c r="AT1021" s="68"/>
      <c r="AU1021" s="68"/>
      <c r="AV1021" s="68"/>
      <c r="AW1021" s="68"/>
      <c r="AX1021" s="3">
        <v>9</v>
      </c>
      <c r="AY1021" s="200">
        <f t="shared" si="54"/>
        <v>0</v>
      </c>
      <c r="AZ1021" s="1255">
        <v>0.01</v>
      </c>
    </row>
    <row r="1022" spans="1:52" ht="12.95" customHeight="1">
      <c r="A1022" s="14"/>
      <c r="B1022" s="81"/>
      <c r="C1022" s="84"/>
      <c r="D1022" s="1699" t="s">
        <v>1294</v>
      </c>
      <c r="E1022" s="1700"/>
      <c r="F1022" s="1700"/>
      <c r="G1022" s="1700"/>
      <c r="H1022" s="1700"/>
      <c r="I1022" s="1700"/>
      <c r="J1022" s="1700"/>
      <c r="K1022" s="1700"/>
      <c r="L1022" s="1700"/>
      <c r="M1022" s="1700"/>
      <c r="N1022" s="1700"/>
      <c r="O1022" s="1700"/>
      <c r="P1022" s="1700"/>
      <c r="Q1022" s="1700"/>
      <c r="R1022" s="1700"/>
      <c r="S1022" s="1700"/>
      <c r="T1022" s="1700"/>
      <c r="U1022" s="1700"/>
      <c r="V1022" s="1700"/>
      <c r="W1022" s="1700"/>
      <c r="X1022" s="1700"/>
      <c r="Y1022" s="1700"/>
      <c r="Z1022" s="1700"/>
      <c r="AA1022" s="1700"/>
      <c r="AB1022" s="1700"/>
      <c r="AC1022" s="1700"/>
      <c r="AD1022" s="1700"/>
      <c r="AE1022" s="1701"/>
      <c r="AF1022" s="1820"/>
      <c r="AG1022" s="1821"/>
      <c r="AH1022" s="1821"/>
      <c r="AI1022" s="1822"/>
      <c r="AJ1022" s="1733"/>
      <c r="AK1022" s="1734"/>
      <c r="AL1022" s="1734"/>
      <c r="AM1022" s="1734"/>
      <c r="AN1022" s="1734"/>
      <c r="AO1022" s="1734"/>
      <c r="AP1022" s="1734"/>
      <c r="AQ1022" s="1735"/>
      <c r="AR1022" s="68"/>
      <c r="AS1022" s="68"/>
      <c r="AT1022" s="68"/>
      <c r="AU1022" s="68"/>
      <c r="AV1022" s="68"/>
      <c r="AW1022" s="68"/>
      <c r="AX1022" s="3">
        <v>10</v>
      </c>
      <c r="AY1022" s="200">
        <f t="shared" si="54"/>
        <v>0</v>
      </c>
      <c r="AZ1022" s="1255">
        <v>0.02</v>
      </c>
    </row>
    <row r="1023" spans="1:52" ht="12.95" customHeight="1">
      <c r="A1023" s="14"/>
      <c r="B1023" s="81"/>
      <c r="C1023" s="84"/>
      <c r="D1023" s="1699"/>
      <c r="E1023" s="1700"/>
      <c r="F1023" s="1700"/>
      <c r="G1023" s="1700"/>
      <c r="H1023" s="1700"/>
      <c r="I1023" s="1700"/>
      <c r="J1023" s="1700"/>
      <c r="K1023" s="1700"/>
      <c r="L1023" s="1700"/>
      <c r="M1023" s="1700"/>
      <c r="N1023" s="1700"/>
      <c r="O1023" s="1700"/>
      <c r="P1023" s="1700"/>
      <c r="Q1023" s="1700"/>
      <c r="R1023" s="1700"/>
      <c r="S1023" s="1700"/>
      <c r="T1023" s="1700"/>
      <c r="U1023" s="1700"/>
      <c r="V1023" s="1700"/>
      <c r="W1023" s="1700"/>
      <c r="X1023" s="1700"/>
      <c r="Y1023" s="1700"/>
      <c r="Z1023" s="1700"/>
      <c r="AA1023" s="1700"/>
      <c r="AB1023" s="1700"/>
      <c r="AC1023" s="1700"/>
      <c r="AD1023" s="1700"/>
      <c r="AE1023" s="1701"/>
      <c r="AF1023" s="1779">
        <v>1864000</v>
      </c>
      <c r="AG1023" s="1779"/>
      <c r="AH1023" s="1779"/>
      <c r="AI1023" s="1779"/>
      <c r="AJ1023" s="1733"/>
      <c r="AK1023" s="1734"/>
      <c r="AL1023" s="1734"/>
      <c r="AM1023" s="1734"/>
      <c r="AN1023" s="1734"/>
      <c r="AO1023" s="1734"/>
      <c r="AP1023" s="1734"/>
      <c r="AQ1023" s="1735"/>
      <c r="AR1023" s="68"/>
      <c r="AS1023" s="68"/>
      <c r="AT1023" s="68"/>
      <c r="AU1023" s="68"/>
      <c r="AV1023" s="68"/>
      <c r="AW1023" s="68"/>
      <c r="AX1023" s="3">
        <v>11</v>
      </c>
      <c r="AY1023" s="200">
        <f t="shared" si="54"/>
        <v>0</v>
      </c>
      <c r="AZ1023" s="1255">
        <v>0.02</v>
      </c>
    </row>
    <row r="1024" spans="1:52" ht="12.95" customHeight="1">
      <c r="A1024" s="14"/>
      <c r="B1024" s="81"/>
      <c r="C1024" s="84"/>
      <c r="D1024" s="526" t="s">
        <v>359</v>
      </c>
      <c r="E1024" s="90"/>
      <c r="F1024" s="90"/>
      <c r="G1024" s="104"/>
      <c r="H1024" s="104"/>
      <c r="I1024" s="49"/>
      <c r="J1024" s="1812" t="s">
        <v>2793</v>
      </c>
      <c r="K1024" s="1813"/>
      <c r="L1024" s="1813"/>
      <c r="M1024" s="1813"/>
      <c r="N1024" s="1813"/>
      <c r="O1024" s="1813"/>
      <c r="P1024" s="1813"/>
      <c r="Q1024" s="1813"/>
      <c r="R1024" s="1813"/>
      <c r="S1024" s="1813"/>
      <c r="T1024" s="1813"/>
      <c r="U1024" s="1813"/>
      <c r="V1024" s="1813"/>
      <c r="W1024" s="1813"/>
      <c r="X1024" s="1813"/>
      <c r="Y1024" s="1813"/>
      <c r="Z1024" s="1813"/>
      <c r="AA1024" s="1813"/>
      <c r="AB1024" s="1813"/>
      <c r="AC1024" s="1813"/>
      <c r="AD1024" s="1813"/>
      <c r="AE1024" s="1814"/>
      <c r="AF1024" s="1779"/>
      <c r="AG1024" s="1779"/>
      <c r="AH1024" s="1779"/>
      <c r="AI1024" s="1779"/>
      <c r="AJ1024" s="1736"/>
      <c r="AK1024" s="1737"/>
      <c r="AL1024" s="1737"/>
      <c r="AM1024" s="1737"/>
      <c r="AN1024" s="1737"/>
      <c r="AO1024" s="1737"/>
      <c r="AP1024" s="1737"/>
      <c r="AQ1024" s="1738"/>
      <c r="AR1024" s="68"/>
      <c r="AS1024" s="68"/>
      <c r="AT1024" s="68"/>
      <c r="AU1024" s="68"/>
      <c r="AV1024" s="68"/>
      <c r="AW1024" s="68"/>
      <c r="AX1024" s="1032" t="s">
        <v>2605</v>
      </c>
      <c r="AY1024" s="201">
        <f>IF(SUM(AY1013:AY1023)&lt;=0.2,SUM(AY1013:AY1023),0.2)</f>
        <v>0</v>
      </c>
    </row>
    <row r="1025" spans="1:57" ht="12.95" customHeight="1">
      <c r="A1025" s="14"/>
      <c r="B1025" s="79"/>
      <c r="C1025" s="80" t="s">
        <v>229</v>
      </c>
      <c r="D1025" s="1770" t="s">
        <v>1295</v>
      </c>
      <c r="E1025" s="1771"/>
      <c r="F1025" s="1771"/>
      <c r="G1025" s="1771"/>
      <c r="H1025" s="1771"/>
      <c r="I1025" s="1771"/>
      <c r="J1025" s="1771"/>
      <c r="K1025" s="1771"/>
      <c r="L1025" s="1771"/>
      <c r="M1025" s="1771"/>
      <c r="N1025" s="1771"/>
      <c r="O1025" s="1771"/>
      <c r="P1025" s="1771"/>
      <c r="Q1025" s="1771"/>
      <c r="R1025" s="1771"/>
      <c r="S1025" s="1771"/>
      <c r="T1025" s="1771"/>
      <c r="U1025" s="1771"/>
      <c r="V1025" s="1771"/>
      <c r="W1025" s="1771"/>
      <c r="X1025" s="1771"/>
      <c r="Y1025" s="1771"/>
      <c r="Z1025" s="1771"/>
      <c r="AA1025" s="1771"/>
      <c r="AB1025" s="1771"/>
      <c r="AC1025" s="1771"/>
      <c r="AD1025" s="1771"/>
      <c r="AE1025" s="1772"/>
      <c r="AF1025" s="79"/>
      <c r="AG1025" s="1756" t="s">
        <v>670</v>
      </c>
      <c r="AH1025" s="1757"/>
      <c r="AI1025" s="87"/>
      <c r="AJ1025" s="1730">
        <f>ROUND(IF(AG1025="Yes",AF1027,0),0)</f>
        <v>0</v>
      </c>
      <c r="AK1025" s="1731"/>
      <c r="AL1025" s="1731"/>
      <c r="AM1025" s="1731"/>
      <c r="AN1025" s="1731"/>
      <c r="AO1025" s="1731"/>
      <c r="AP1025" s="1731"/>
      <c r="AQ1025" s="1732"/>
      <c r="AR1025" s="68"/>
      <c r="AS1025" s="68"/>
      <c r="AT1025" s="68"/>
      <c r="AU1025" s="68"/>
      <c r="AV1025" s="68"/>
      <c r="AW1025" s="68"/>
      <c r="AX1025" s="68"/>
      <c r="AY1025" s="68"/>
    </row>
    <row r="1026" spans="1:57" ht="12.95" customHeight="1">
      <c r="A1026" s="14"/>
      <c r="B1026" s="73"/>
      <c r="C1026" s="74"/>
      <c r="D1026" s="1699" t="s">
        <v>1691</v>
      </c>
      <c r="E1026" s="1700"/>
      <c r="F1026" s="1700"/>
      <c r="G1026" s="1700"/>
      <c r="H1026" s="1700"/>
      <c r="I1026" s="1700"/>
      <c r="J1026" s="1700"/>
      <c r="K1026" s="1700"/>
      <c r="L1026" s="1700"/>
      <c r="M1026" s="1700"/>
      <c r="N1026" s="1700"/>
      <c r="O1026" s="1700"/>
      <c r="P1026" s="1700"/>
      <c r="Q1026" s="1700"/>
      <c r="R1026" s="1700"/>
      <c r="S1026" s="1700"/>
      <c r="T1026" s="1700"/>
      <c r="U1026" s="1700"/>
      <c r="V1026" s="1700"/>
      <c r="W1026" s="1700"/>
      <c r="X1026" s="1700"/>
      <c r="Y1026" s="1700"/>
      <c r="Z1026" s="1700"/>
      <c r="AA1026" s="1700"/>
      <c r="AB1026" s="1700"/>
      <c r="AC1026" s="1700"/>
      <c r="AD1026" s="1700"/>
      <c r="AE1026" s="1701"/>
      <c r="AF1026" s="1832" t="str">
        <f>IF(AG1025="yes","Enter Amount:","")</f>
        <v/>
      </c>
      <c r="AG1026" s="1833"/>
      <c r="AH1026" s="1833"/>
      <c r="AI1026" s="1834"/>
      <c r="AJ1026" s="1733"/>
      <c r="AK1026" s="1734"/>
      <c r="AL1026" s="1734"/>
      <c r="AM1026" s="1734"/>
      <c r="AN1026" s="1734"/>
      <c r="AO1026" s="1734"/>
      <c r="AP1026" s="1734"/>
      <c r="AQ1026" s="1735"/>
      <c r="AR1026" s="68"/>
      <c r="AS1026" s="68"/>
      <c r="AT1026" s="68"/>
      <c r="AU1026" s="68"/>
      <c r="AV1026" s="68"/>
      <c r="AW1026" s="68"/>
      <c r="AX1026" s="68"/>
      <c r="AY1026" s="68"/>
    </row>
    <row r="1027" spans="1:57" ht="12.95" customHeight="1">
      <c r="A1027" s="14"/>
      <c r="B1027" s="73"/>
      <c r="C1027" s="74"/>
      <c r="D1027" s="1699"/>
      <c r="E1027" s="1700"/>
      <c r="F1027" s="1700"/>
      <c r="G1027" s="1700"/>
      <c r="H1027" s="1700"/>
      <c r="I1027" s="1700"/>
      <c r="J1027" s="1700"/>
      <c r="K1027" s="1700"/>
      <c r="L1027" s="1700"/>
      <c r="M1027" s="1700"/>
      <c r="N1027" s="1700"/>
      <c r="O1027" s="1700"/>
      <c r="P1027" s="1700"/>
      <c r="Q1027" s="1700"/>
      <c r="R1027" s="1700"/>
      <c r="S1027" s="1700"/>
      <c r="T1027" s="1700"/>
      <c r="U1027" s="1700"/>
      <c r="V1027" s="1700"/>
      <c r="W1027" s="1700"/>
      <c r="X1027" s="1700"/>
      <c r="Y1027" s="1700"/>
      <c r="Z1027" s="1700"/>
      <c r="AA1027" s="1700"/>
      <c r="AB1027" s="1700"/>
      <c r="AC1027" s="1700"/>
      <c r="AD1027" s="1700"/>
      <c r="AE1027" s="1701"/>
      <c r="AF1027" s="1779"/>
      <c r="AG1027" s="1779"/>
      <c r="AH1027" s="1779"/>
      <c r="AI1027" s="1779"/>
      <c r="AJ1027" s="1733"/>
      <c r="AK1027" s="1734"/>
      <c r="AL1027" s="1734"/>
      <c r="AM1027" s="1734"/>
      <c r="AN1027" s="1734"/>
      <c r="AO1027" s="1734"/>
      <c r="AP1027" s="1734"/>
      <c r="AQ1027" s="1735"/>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8"/>
      <c r="E1028" s="1749"/>
      <c r="F1028" s="1749"/>
      <c r="G1028" s="1749"/>
      <c r="H1028" s="1749"/>
      <c r="I1028" s="1749"/>
      <c r="J1028" s="1749"/>
      <c r="K1028" s="1749"/>
      <c r="L1028" s="1749"/>
      <c r="M1028" s="1749"/>
      <c r="N1028" s="1749"/>
      <c r="O1028" s="1749"/>
      <c r="P1028" s="1749"/>
      <c r="Q1028" s="1749"/>
      <c r="R1028" s="1749"/>
      <c r="S1028" s="1749"/>
      <c r="T1028" s="1749"/>
      <c r="U1028" s="1749"/>
      <c r="V1028" s="1749"/>
      <c r="W1028" s="1749"/>
      <c r="X1028" s="1749"/>
      <c r="Y1028" s="1749"/>
      <c r="Z1028" s="1749"/>
      <c r="AA1028" s="1749"/>
      <c r="AB1028" s="1749"/>
      <c r="AC1028" s="1749"/>
      <c r="AD1028" s="1749"/>
      <c r="AE1028" s="1750"/>
      <c r="AF1028" s="1779"/>
      <c r="AG1028" s="1779"/>
      <c r="AH1028" s="1779"/>
      <c r="AI1028" s="1779"/>
      <c r="AJ1028" s="1736"/>
      <c r="AK1028" s="1737"/>
      <c r="AL1028" s="1737"/>
      <c r="AM1028" s="1737"/>
      <c r="AN1028" s="1737"/>
      <c r="AO1028" s="1737"/>
      <c r="AP1028" s="1737"/>
      <c r="AQ1028" s="1738"/>
      <c r="AR1028" s="68"/>
      <c r="AS1028" s="68"/>
      <c r="AT1028" s="68"/>
      <c r="AU1028" s="68"/>
      <c r="AV1028" s="68"/>
      <c r="AW1028" s="68"/>
      <c r="AX1028" s="68"/>
      <c r="AY1028" s="68"/>
    </row>
    <row r="1029" spans="1:57" ht="12.95" customHeight="1">
      <c r="A1029" s="14"/>
      <c r="B1029" s="79"/>
      <c r="C1029" s="80" t="s">
        <v>234</v>
      </c>
      <c r="D1029" s="1739" t="s">
        <v>1296</v>
      </c>
      <c r="E1029" s="1740"/>
      <c r="F1029" s="1740"/>
      <c r="G1029" s="1740"/>
      <c r="H1029" s="1740"/>
      <c r="I1029" s="1740"/>
      <c r="J1029" s="1740"/>
      <c r="K1029" s="1740"/>
      <c r="L1029" s="1740"/>
      <c r="M1029" s="1740"/>
      <c r="N1029" s="1740"/>
      <c r="O1029" s="1740"/>
      <c r="P1029" s="1740"/>
      <c r="Q1029" s="1740"/>
      <c r="R1029" s="1740"/>
      <c r="S1029" s="1740"/>
      <c r="T1029" s="1740"/>
      <c r="U1029" s="1740"/>
      <c r="V1029" s="1740"/>
      <c r="W1029" s="1740"/>
      <c r="X1029" s="1740"/>
      <c r="Y1029" s="1740"/>
      <c r="Z1029" s="1740"/>
      <c r="AA1029" s="1740"/>
      <c r="AB1029" s="1740"/>
      <c r="AC1029" s="1740"/>
      <c r="AD1029" s="1740"/>
      <c r="AE1029" s="1741"/>
      <c r="AF1029" s="79"/>
      <c r="AG1029" s="1756" t="s">
        <v>670</v>
      </c>
      <c r="AH1029" s="1757"/>
      <c r="AI1029" s="87"/>
      <c r="AJ1029" s="1730">
        <f>ROUND(IF(AG1029="yes",(AJ992*0.1),0),0)</f>
        <v>0</v>
      </c>
      <c r="AK1029" s="1731"/>
      <c r="AL1029" s="1731"/>
      <c r="AM1029" s="1731"/>
      <c r="AN1029" s="1731"/>
      <c r="AO1029" s="1731"/>
      <c r="AP1029" s="1731"/>
      <c r="AQ1029" s="1732"/>
      <c r="AR1029" s="68"/>
      <c r="AS1029" s="68"/>
      <c r="AT1029" s="68"/>
      <c r="AU1029" s="68"/>
      <c r="AV1029" s="68"/>
      <c r="AW1029" s="68"/>
      <c r="AX1029" s="68"/>
      <c r="AY1029" s="68"/>
    </row>
    <row r="1030" spans="1:57" ht="12.95" customHeight="1">
      <c r="A1030" s="14"/>
      <c r="B1030" s="73"/>
      <c r="C1030" s="74"/>
      <c r="D1030" s="1699" t="s">
        <v>1297</v>
      </c>
      <c r="E1030" s="1700"/>
      <c r="F1030" s="1700"/>
      <c r="G1030" s="1700"/>
      <c r="H1030" s="1700"/>
      <c r="I1030" s="1700"/>
      <c r="J1030" s="1700"/>
      <c r="K1030" s="1700"/>
      <c r="L1030" s="1700"/>
      <c r="M1030" s="1700"/>
      <c r="N1030" s="1700"/>
      <c r="O1030" s="1700"/>
      <c r="P1030" s="1700"/>
      <c r="Q1030" s="1700"/>
      <c r="R1030" s="1700"/>
      <c r="S1030" s="1700"/>
      <c r="T1030" s="1700"/>
      <c r="U1030" s="1700"/>
      <c r="V1030" s="1700"/>
      <c r="W1030" s="1700"/>
      <c r="X1030" s="1700"/>
      <c r="Y1030" s="1700"/>
      <c r="Z1030" s="1700"/>
      <c r="AA1030" s="1700"/>
      <c r="AB1030" s="1700"/>
      <c r="AC1030" s="1700"/>
      <c r="AD1030" s="1700"/>
      <c r="AE1030" s="1701"/>
      <c r="AF1030" s="73"/>
      <c r="AG1030" s="14"/>
      <c r="AH1030" s="14"/>
      <c r="AI1030" s="83"/>
      <c r="AJ1030" s="1733"/>
      <c r="AK1030" s="1734"/>
      <c r="AL1030" s="1734"/>
      <c r="AM1030" s="1734"/>
      <c r="AN1030" s="1734"/>
      <c r="AO1030" s="1734"/>
      <c r="AP1030" s="1734"/>
      <c r="AQ1030" s="1735"/>
      <c r="AR1030" s="68"/>
      <c r="AS1030" s="68"/>
      <c r="AT1030" s="68"/>
      <c r="AU1030" s="68"/>
      <c r="AV1030" s="68"/>
      <c r="AW1030" s="68"/>
      <c r="AX1030" s="68"/>
      <c r="AY1030" s="68"/>
    </row>
    <row r="1031" spans="1:57" ht="12.95" customHeight="1">
      <c r="A1031" s="14"/>
      <c r="B1031" s="77"/>
      <c r="C1031" s="74"/>
      <c r="D1031" s="1748"/>
      <c r="E1031" s="1749"/>
      <c r="F1031" s="1749"/>
      <c r="G1031" s="1749"/>
      <c r="H1031" s="1749"/>
      <c r="I1031" s="1749"/>
      <c r="J1031" s="1749"/>
      <c r="K1031" s="1749"/>
      <c r="L1031" s="1749"/>
      <c r="M1031" s="1749"/>
      <c r="N1031" s="1749"/>
      <c r="O1031" s="1749"/>
      <c r="P1031" s="1749"/>
      <c r="Q1031" s="1749"/>
      <c r="R1031" s="1749"/>
      <c r="S1031" s="1749"/>
      <c r="T1031" s="1749"/>
      <c r="U1031" s="1749"/>
      <c r="V1031" s="1749"/>
      <c r="W1031" s="1749"/>
      <c r="X1031" s="1749"/>
      <c r="Y1031" s="1749"/>
      <c r="Z1031" s="1749"/>
      <c r="AA1031" s="1749"/>
      <c r="AB1031" s="1749"/>
      <c r="AC1031" s="1749"/>
      <c r="AD1031" s="1749"/>
      <c r="AE1031" s="1750"/>
      <c r="AF1031" s="73"/>
      <c r="AG1031" s="14"/>
      <c r="AH1031" s="14"/>
      <c r="AI1031" s="83"/>
      <c r="AJ1031" s="1736"/>
      <c r="AK1031" s="1737"/>
      <c r="AL1031" s="1737"/>
      <c r="AM1031" s="1737"/>
      <c r="AN1031" s="1737"/>
      <c r="AO1031" s="1737"/>
      <c r="AP1031" s="1737"/>
      <c r="AQ1031" s="1738"/>
      <c r="AR1031" s="68"/>
      <c r="AS1031" s="68"/>
      <c r="AT1031" s="68"/>
      <c r="AU1031" s="68"/>
      <c r="AV1031" s="68"/>
      <c r="AW1031" s="68"/>
      <c r="AX1031" s="68"/>
      <c r="AY1031" s="68"/>
    </row>
    <row r="1032" spans="1:57" ht="12.95" customHeight="1">
      <c r="A1032" s="14"/>
      <c r="B1032" s="73"/>
      <c r="C1032" s="339" t="s">
        <v>688</v>
      </c>
      <c r="D1032" s="1770" t="s">
        <v>1687</v>
      </c>
      <c r="E1032" s="1771"/>
      <c r="F1032" s="1771"/>
      <c r="G1032" s="1771"/>
      <c r="H1032" s="1771"/>
      <c r="I1032" s="1771"/>
      <c r="J1032" s="1771"/>
      <c r="K1032" s="1771"/>
      <c r="L1032" s="1771"/>
      <c r="M1032" s="1771"/>
      <c r="N1032" s="1771"/>
      <c r="O1032" s="1771"/>
      <c r="P1032" s="1771"/>
      <c r="Q1032" s="1771"/>
      <c r="R1032" s="1771"/>
      <c r="S1032" s="1771"/>
      <c r="T1032" s="1771"/>
      <c r="U1032" s="1771"/>
      <c r="V1032" s="1771"/>
      <c r="W1032" s="1771"/>
      <c r="X1032" s="1771"/>
      <c r="Y1032" s="1771"/>
      <c r="Z1032" s="1771"/>
      <c r="AA1032" s="1771"/>
      <c r="AB1032" s="1771"/>
      <c r="AC1032" s="1771"/>
      <c r="AD1032" s="1771"/>
      <c r="AE1032" s="1772"/>
      <c r="AF1032" s="79"/>
      <c r="AG1032" s="1756" t="s">
        <v>670</v>
      </c>
      <c r="AH1032" s="1757"/>
      <c r="AI1032" s="87"/>
      <c r="AJ1032" s="1730">
        <f>ROUND(IF(AG1032="yes",(AJ992*0.15),0),0)</f>
        <v>0</v>
      </c>
      <c r="AK1032" s="1731"/>
      <c r="AL1032" s="1731"/>
      <c r="AM1032" s="1731"/>
      <c r="AN1032" s="1731"/>
      <c r="AO1032" s="1731"/>
      <c r="AP1032" s="1731"/>
      <c r="AQ1032" s="1732"/>
      <c r="AR1032" s="68"/>
      <c r="AS1032" s="68"/>
      <c r="AT1032" s="68"/>
      <c r="AU1032" s="68"/>
      <c r="AV1032" s="68"/>
      <c r="AW1032" s="68"/>
      <c r="AX1032" s="68"/>
      <c r="AY1032" s="68"/>
    </row>
    <row r="1033" spans="1:57" ht="12.95" customHeight="1">
      <c r="A1033" s="14"/>
      <c r="B1033" s="73"/>
      <c r="C1033" s="74"/>
      <c r="D1033" s="1807"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8"/>
      <c r="AF1033" s="915"/>
      <c r="AG1033" s="916"/>
      <c r="AH1033" s="916"/>
      <c r="AI1033" s="917"/>
      <c r="AJ1033" s="1733"/>
      <c r="AK1033" s="1734"/>
      <c r="AL1033" s="1734"/>
      <c r="AM1033" s="1734"/>
      <c r="AN1033" s="1734"/>
      <c r="AO1033" s="1734"/>
      <c r="AP1033" s="1734"/>
      <c r="AQ1033" s="1735"/>
      <c r="AR1033" s="68"/>
      <c r="AS1033" s="68"/>
      <c r="AT1033" s="68"/>
      <c r="AU1033" s="68"/>
      <c r="AV1033" s="68"/>
      <c r="AW1033" s="68"/>
      <c r="AX1033" s="68"/>
      <c r="AY1033" s="68"/>
    </row>
    <row r="1034" spans="1:57" ht="12.95" customHeight="1">
      <c r="A1034" s="14"/>
      <c r="B1034" s="73"/>
      <c r="C1034" s="74"/>
      <c r="D1034" s="1807"/>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8"/>
      <c r="AF1034" s="915"/>
      <c r="AG1034" s="916"/>
      <c r="AH1034" s="916"/>
      <c r="AI1034" s="917"/>
      <c r="AJ1034" s="1733"/>
      <c r="AK1034" s="1734"/>
      <c r="AL1034" s="1734"/>
      <c r="AM1034" s="1734"/>
      <c r="AN1034" s="1734"/>
      <c r="AO1034" s="1734"/>
      <c r="AP1034" s="1734"/>
      <c r="AQ1034" s="1735"/>
      <c r="AR1034" s="68"/>
      <c r="AS1034" s="68"/>
      <c r="AT1034" s="68"/>
      <c r="AU1034" s="68"/>
      <c r="AV1034" s="68"/>
      <c r="AW1034" s="68"/>
      <c r="AX1034" s="68"/>
      <c r="AY1034" s="68"/>
    </row>
    <row r="1035" spans="1:57" ht="12.95" customHeight="1">
      <c r="A1035" s="14"/>
      <c r="B1035" s="73"/>
      <c r="C1035" s="74"/>
      <c r="D1035" s="1809"/>
      <c r="E1035" s="1810"/>
      <c r="F1035" s="1810"/>
      <c r="G1035" s="1810"/>
      <c r="H1035" s="1810"/>
      <c r="I1035" s="1810"/>
      <c r="J1035" s="1810"/>
      <c r="K1035" s="1810"/>
      <c r="L1035" s="1810"/>
      <c r="M1035" s="1810"/>
      <c r="N1035" s="1810"/>
      <c r="O1035" s="1810"/>
      <c r="P1035" s="1810"/>
      <c r="Q1035" s="1810"/>
      <c r="R1035" s="1810"/>
      <c r="S1035" s="1810"/>
      <c r="T1035" s="1810"/>
      <c r="U1035" s="1810"/>
      <c r="V1035" s="1810"/>
      <c r="W1035" s="1810"/>
      <c r="X1035" s="1810"/>
      <c r="Y1035" s="1810"/>
      <c r="Z1035" s="1810"/>
      <c r="AA1035" s="1810"/>
      <c r="AB1035" s="1810"/>
      <c r="AC1035" s="1810"/>
      <c r="AD1035" s="1810"/>
      <c r="AE1035" s="1811"/>
      <c r="AF1035" s="918"/>
      <c r="AG1035" s="919"/>
      <c r="AH1035" s="919"/>
      <c r="AI1035" s="920"/>
      <c r="AJ1035" s="1736"/>
      <c r="AK1035" s="1737"/>
      <c r="AL1035" s="1737"/>
      <c r="AM1035" s="1737"/>
      <c r="AN1035" s="1737"/>
      <c r="AO1035" s="1737"/>
      <c r="AP1035" s="1737"/>
      <c r="AQ1035" s="1738"/>
      <c r="AR1035" s="68"/>
      <c r="AS1035" s="68"/>
      <c r="AT1035" s="68"/>
      <c r="AU1035" s="68"/>
      <c r="AV1035" s="68"/>
      <c r="AW1035" s="68"/>
      <c r="AX1035" s="68"/>
      <c r="AY1035" s="68"/>
    </row>
    <row r="1036" spans="1:57" ht="12.95" customHeight="1">
      <c r="A1036" s="14"/>
      <c r="B1036" s="73"/>
      <c r="C1036" s="339" t="s">
        <v>688</v>
      </c>
      <c r="D1036" s="1739" t="s">
        <v>1689</v>
      </c>
      <c r="E1036" s="1740"/>
      <c r="F1036" s="1740"/>
      <c r="G1036" s="1740"/>
      <c r="H1036" s="1740"/>
      <c r="I1036" s="1740"/>
      <c r="J1036" s="1740"/>
      <c r="K1036" s="1740"/>
      <c r="L1036" s="1740"/>
      <c r="M1036" s="1740"/>
      <c r="N1036" s="1740"/>
      <c r="O1036" s="1740"/>
      <c r="P1036" s="1740"/>
      <c r="Q1036" s="1740"/>
      <c r="R1036" s="1740"/>
      <c r="S1036" s="1740"/>
      <c r="T1036" s="1740"/>
      <c r="U1036" s="1740"/>
      <c r="V1036" s="1740"/>
      <c r="W1036" s="1740"/>
      <c r="X1036" s="1740"/>
      <c r="Y1036" s="1740"/>
      <c r="Z1036" s="1740"/>
      <c r="AA1036" s="1740"/>
      <c r="AB1036" s="1740"/>
      <c r="AC1036" s="1740"/>
      <c r="AD1036" s="1740"/>
      <c r="AE1036" s="1741"/>
      <c r="AF1036" s="73"/>
      <c r="AG1036" s="1758" t="s">
        <v>670</v>
      </c>
      <c r="AH1036" s="1759"/>
      <c r="AI1036" s="83"/>
      <c r="AJ1036" s="1730">
        <f>ROUND(IF(AND(AG1036="yes",AJ1032=0),(AJ992*0.1),0),0)</f>
        <v>0</v>
      </c>
      <c r="AK1036" s="1731"/>
      <c r="AL1036" s="1731"/>
      <c r="AM1036" s="1731"/>
      <c r="AN1036" s="1731"/>
      <c r="AO1036" s="1731"/>
      <c r="AP1036" s="1731"/>
      <c r="AQ1036" s="1732"/>
      <c r="AR1036" s="68"/>
      <c r="AS1036" s="68"/>
      <c r="AT1036" s="68"/>
      <c r="AU1036" s="68"/>
      <c r="AV1036" s="68"/>
      <c r="AW1036" s="68"/>
      <c r="AX1036" s="68"/>
      <c r="AY1036" s="68"/>
    </row>
    <row r="1037" spans="1:57" ht="12.95" customHeight="1">
      <c r="A1037" s="14"/>
      <c r="B1037" s="73"/>
      <c r="C1037" s="74"/>
      <c r="D1037" s="1807"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8"/>
      <c r="AF1037" s="73"/>
      <c r="AG1037" s="14"/>
      <c r="AH1037" s="14"/>
      <c r="AI1037" s="83"/>
      <c r="AJ1037" s="1733"/>
      <c r="AK1037" s="1734"/>
      <c r="AL1037" s="1734"/>
      <c r="AM1037" s="1734"/>
      <c r="AN1037" s="1734"/>
      <c r="AO1037" s="1734"/>
      <c r="AP1037" s="1734"/>
      <c r="AQ1037" s="1735"/>
      <c r="AR1037" s="68"/>
      <c r="AS1037" s="68"/>
      <c r="AT1037" s="68"/>
      <c r="AU1037" s="68"/>
      <c r="AV1037" s="68"/>
      <c r="AW1037" s="68"/>
      <c r="AX1037" s="68"/>
      <c r="AY1037" s="68"/>
    </row>
    <row r="1038" spans="1:57" ht="12.95" customHeight="1">
      <c r="A1038" s="14"/>
      <c r="B1038" s="73"/>
      <c r="C1038" s="74"/>
      <c r="D1038" s="1807"/>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8"/>
      <c r="AF1038" s="73"/>
      <c r="AG1038" s="14"/>
      <c r="AH1038" s="14"/>
      <c r="AI1038" s="83"/>
      <c r="AJ1038" s="1733"/>
      <c r="AK1038" s="1734"/>
      <c r="AL1038" s="1734"/>
      <c r="AM1038" s="1734"/>
      <c r="AN1038" s="1734"/>
      <c r="AO1038" s="1734"/>
      <c r="AP1038" s="1734"/>
      <c r="AQ1038" s="1735"/>
      <c r="AR1038" s="68"/>
      <c r="AS1038" s="68"/>
      <c r="AT1038" s="68"/>
      <c r="AU1038" s="68"/>
      <c r="AV1038" s="68"/>
      <c r="AW1038" s="68"/>
      <c r="AX1038" s="68"/>
      <c r="AY1038" s="68"/>
      <c r="BA1038" s="1183">
        <f>IFERROR(('Sources and Uses Budget'!$C$17+'Sources and Uses Budget'!$C$18+'Sources and Uses Budget'!$C$22)/$AG$437,0)</f>
        <v>138158.59154929579</v>
      </c>
      <c r="BB1038" s="1183" t="s">
        <v>2488</v>
      </c>
      <c r="BC1038" s="1183"/>
      <c r="BD1038" s="1183"/>
      <c r="BE1038" s="1183"/>
    </row>
    <row r="1039" spans="1:57" ht="12.95" customHeight="1">
      <c r="A1039" s="14"/>
      <c r="B1039" s="73"/>
      <c r="C1039" s="74"/>
      <c r="D1039" s="1807"/>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8"/>
      <c r="AF1039" s="73"/>
      <c r="AG1039" s="14"/>
      <c r="AH1039" s="14"/>
      <c r="AI1039" s="83"/>
      <c r="AJ1039" s="1733"/>
      <c r="AK1039" s="1734"/>
      <c r="AL1039" s="1734"/>
      <c r="AM1039" s="1734"/>
      <c r="AN1039" s="1734"/>
      <c r="AO1039" s="1734"/>
      <c r="AP1039" s="1734"/>
      <c r="AQ1039" s="1735"/>
      <c r="AR1039" s="68"/>
      <c r="AS1039" s="68"/>
      <c r="AT1039" s="68"/>
      <c r="AU1039" s="68"/>
      <c r="AV1039" s="68"/>
      <c r="AW1039" s="68"/>
      <c r="AX1039" s="68"/>
      <c r="AY1039" s="68"/>
      <c r="BA1039">
        <f>IFERROR((($CI$753+$CM$753)/$AG$440),0)</f>
        <v>0.26950354609929078</v>
      </c>
      <c r="BB1039" s="3" t="s">
        <v>2492</v>
      </c>
    </row>
    <row r="1040" spans="1:57" ht="12.95" customHeight="1">
      <c r="A1040" s="14"/>
      <c r="B1040" s="73"/>
      <c r="C1040" s="74"/>
      <c r="D1040" s="1809"/>
      <c r="E1040" s="1810"/>
      <c r="F1040" s="1810"/>
      <c r="G1040" s="1810"/>
      <c r="H1040" s="1810"/>
      <c r="I1040" s="1810"/>
      <c r="J1040" s="1810"/>
      <c r="K1040" s="1810"/>
      <c r="L1040" s="1810"/>
      <c r="M1040" s="1810"/>
      <c r="N1040" s="1810"/>
      <c r="O1040" s="1810"/>
      <c r="P1040" s="1810"/>
      <c r="Q1040" s="1810"/>
      <c r="R1040" s="1810"/>
      <c r="S1040" s="1810"/>
      <c r="T1040" s="1810"/>
      <c r="U1040" s="1810"/>
      <c r="V1040" s="1810"/>
      <c r="W1040" s="1810"/>
      <c r="X1040" s="1810"/>
      <c r="Y1040" s="1810"/>
      <c r="Z1040" s="1810"/>
      <c r="AA1040" s="1810"/>
      <c r="AB1040" s="1810"/>
      <c r="AC1040" s="1810"/>
      <c r="AD1040" s="1810"/>
      <c r="AE1040" s="1811"/>
      <c r="AF1040" s="73"/>
      <c r="AG1040" s="14"/>
      <c r="AH1040" s="14"/>
      <c r="AI1040" s="83"/>
      <c r="AJ1040" s="1733"/>
      <c r="AK1040" s="1734"/>
      <c r="AL1040" s="1734"/>
      <c r="AM1040" s="1734"/>
      <c r="AN1040" s="1734"/>
      <c r="AO1040" s="1734"/>
      <c r="AP1040" s="1734"/>
      <c r="AQ1040" s="1735"/>
      <c r="AR1040" s="68"/>
      <c r="AS1040" s="68"/>
      <c r="AT1040" s="68"/>
      <c r="AU1040" s="68"/>
      <c r="AV1040" s="68"/>
      <c r="AW1040" s="68"/>
      <c r="AX1040" s="68"/>
      <c r="AY1040" s="68"/>
      <c r="BA1040" t="b">
        <f>'Points System'!AJ164="Yes"</f>
        <v>0</v>
      </c>
      <c r="BB1040" s="3" t="s">
        <v>2489</v>
      </c>
    </row>
    <row r="1041" spans="1:56" ht="12.95" customHeight="1">
      <c r="A1041" s="14"/>
      <c r="B1041" s="79"/>
      <c r="C1041" s="131" t="s">
        <v>1011</v>
      </c>
      <c r="D1041" s="1770" t="s">
        <v>1298</v>
      </c>
      <c r="E1041" s="1771"/>
      <c r="F1041" s="1771"/>
      <c r="G1041" s="1771"/>
      <c r="H1041" s="1771"/>
      <c r="I1041" s="1771"/>
      <c r="J1041" s="1771"/>
      <c r="K1041" s="1771"/>
      <c r="L1041" s="1771"/>
      <c r="M1041" s="1771"/>
      <c r="N1041" s="1771"/>
      <c r="O1041" s="1771"/>
      <c r="P1041" s="1771"/>
      <c r="Q1041" s="1771"/>
      <c r="R1041" s="1771"/>
      <c r="S1041" s="1771"/>
      <c r="T1041" s="1771"/>
      <c r="U1041" s="1771"/>
      <c r="V1041" s="1771"/>
      <c r="W1041" s="1771"/>
      <c r="X1041" s="1771"/>
      <c r="Y1041" s="1771"/>
      <c r="Z1041" s="1771"/>
      <c r="AA1041" s="1771"/>
      <c r="AB1041" s="1771"/>
      <c r="AC1041" s="1771"/>
      <c r="AD1041" s="1771"/>
      <c r="AE1041" s="1772"/>
      <c r="AF1041" s="79"/>
      <c r="AG1041" s="1756" t="s">
        <v>670</v>
      </c>
      <c r="AH1041" s="1757"/>
      <c r="AI1041" s="87"/>
      <c r="AJ1041" s="1730">
        <f>ROUND(IF(AG1041="yes",(AJ992*0.1),0),0)</f>
        <v>0</v>
      </c>
      <c r="AK1041" s="1731"/>
      <c r="AL1041" s="1731"/>
      <c r="AM1041" s="1731"/>
      <c r="AN1041" s="1731"/>
      <c r="AO1041" s="1731"/>
      <c r="AP1041" s="1731"/>
      <c r="AQ1041" s="1732"/>
      <c r="AR1041" s="68"/>
      <c r="AS1041" s="68"/>
      <c r="AT1041" s="68"/>
      <c r="AU1041" s="68"/>
      <c r="AV1041" s="68"/>
      <c r="AW1041" s="68"/>
      <c r="AX1041" s="68"/>
      <c r="AY1041" s="68"/>
      <c r="BA1041">
        <f>Q212</f>
        <v>0</v>
      </c>
      <c r="BB1041" s="3" t="s">
        <v>2490</v>
      </c>
    </row>
    <row r="1042" spans="1:56" ht="12.95" customHeight="1">
      <c r="A1042" s="14"/>
      <c r="B1042" s="73"/>
      <c r="C1042" s="74"/>
      <c r="D1042" s="1699" t="s">
        <v>2145</v>
      </c>
      <c r="E1042" s="1700"/>
      <c r="F1042" s="1700"/>
      <c r="G1042" s="1700"/>
      <c r="H1042" s="1700"/>
      <c r="I1042" s="1700"/>
      <c r="J1042" s="1700"/>
      <c r="K1042" s="1700"/>
      <c r="L1042" s="1700"/>
      <c r="M1042" s="1700"/>
      <c r="N1042" s="1700"/>
      <c r="O1042" s="1700"/>
      <c r="P1042" s="1700"/>
      <c r="Q1042" s="1700"/>
      <c r="R1042" s="1700"/>
      <c r="S1042" s="1700"/>
      <c r="T1042" s="1700"/>
      <c r="U1042" s="1700"/>
      <c r="V1042" s="1700"/>
      <c r="W1042" s="1700"/>
      <c r="X1042" s="1700"/>
      <c r="Y1042" s="1700"/>
      <c r="Z1042" s="1700"/>
      <c r="AA1042" s="1700"/>
      <c r="AB1042" s="1700"/>
      <c r="AC1042" s="1700"/>
      <c r="AD1042" s="1700"/>
      <c r="AE1042" s="1701"/>
      <c r="AF1042" s="73"/>
      <c r="AG1042" s="14"/>
      <c r="AH1042" s="14"/>
      <c r="AI1042" s="83"/>
      <c r="AJ1042" s="1733"/>
      <c r="AK1042" s="1734"/>
      <c r="AL1042" s="1734"/>
      <c r="AM1042" s="1734"/>
      <c r="AN1042" s="1734"/>
      <c r="AO1042" s="1734"/>
      <c r="AP1042" s="1734"/>
      <c r="AQ1042" s="1735"/>
      <c r="AR1042" s="68"/>
      <c r="AS1042" s="68"/>
      <c r="AT1042" s="68"/>
      <c r="AU1042" s="68"/>
      <c r="AV1042" s="68"/>
      <c r="AW1042" s="68"/>
      <c r="AX1042" s="68"/>
      <c r="AY1042" s="68"/>
      <c r="BA1042" s="1184">
        <f>T212</f>
        <v>0</v>
      </c>
      <c r="BB1042" s="3" t="s">
        <v>2491</v>
      </c>
    </row>
    <row r="1043" spans="1:56" ht="12.95" customHeight="1">
      <c r="A1043" s="14"/>
      <c r="B1043" s="73"/>
      <c r="C1043" s="74"/>
      <c r="D1043" s="1699"/>
      <c r="E1043" s="1700"/>
      <c r="F1043" s="1700"/>
      <c r="G1043" s="1700"/>
      <c r="H1043" s="1700"/>
      <c r="I1043" s="1700"/>
      <c r="J1043" s="1700"/>
      <c r="K1043" s="1700"/>
      <c r="L1043" s="1700"/>
      <c r="M1043" s="1700"/>
      <c r="N1043" s="1700"/>
      <c r="O1043" s="1700"/>
      <c r="P1043" s="1700"/>
      <c r="Q1043" s="1700"/>
      <c r="R1043" s="1700"/>
      <c r="S1043" s="1700"/>
      <c r="T1043" s="1700"/>
      <c r="U1043" s="1700"/>
      <c r="V1043" s="1700"/>
      <c r="W1043" s="1700"/>
      <c r="X1043" s="1700"/>
      <c r="Y1043" s="1700"/>
      <c r="Z1043" s="1700"/>
      <c r="AA1043" s="1700"/>
      <c r="AB1043" s="1700"/>
      <c r="AC1043" s="1700"/>
      <c r="AD1043" s="1700"/>
      <c r="AE1043" s="1701"/>
      <c r="AF1043" s="73"/>
      <c r="AG1043" s="14"/>
      <c r="AH1043" s="14"/>
      <c r="AI1043" s="83"/>
      <c r="AJ1043" s="1733"/>
      <c r="AK1043" s="1734"/>
      <c r="AL1043" s="1734"/>
      <c r="AM1043" s="1734"/>
      <c r="AN1043" s="1734"/>
      <c r="AO1043" s="1734"/>
      <c r="AP1043" s="1734"/>
      <c r="AQ1043" s="1735"/>
      <c r="AR1043" s="68"/>
      <c r="AS1043" s="68"/>
      <c r="AT1043" s="68"/>
      <c r="AU1043" s="68"/>
      <c r="AV1043" s="68"/>
      <c r="AW1043" s="68"/>
      <c r="AX1043" s="68"/>
      <c r="AY1043" s="68"/>
    </row>
    <row r="1044" spans="1:56" ht="12.95" customHeight="1">
      <c r="A1044" s="14"/>
      <c r="B1044" s="73"/>
      <c r="C1044" s="74"/>
      <c r="D1044" s="1748"/>
      <c r="E1044" s="1749"/>
      <c r="F1044" s="1749"/>
      <c r="G1044" s="1749"/>
      <c r="H1044" s="1749"/>
      <c r="I1044" s="1749"/>
      <c r="J1044" s="1749"/>
      <c r="K1044" s="1749"/>
      <c r="L1044" s="1749"/>
      <c r="M1044" s="1749"/>
      <c r="N1044" s="1749"/>
      <c r="O1044" s="1749"/>
      <c r="P1044" s="1749"/>
      <c r="Q1044" s="1749"/>
      <c r="R1044" s="1749"/>
      <c r="S1044" s="1749"/>
      <c r="T1044" s="1749"/>
      <c r="U1044" s="1749"/>
      <c r="V1044" s="1749"/>
      <c r="W1044" s="1749"/>
      <c r="X1044" s="1749"/>
      <c r="Y1044" s="1749"/>
      <c r="Z1044" s="1749"/>
      <c r="AA1044" s="1749"/>
      <c r="AB1044" s="1749"/>
      <c r="AC1044" s="1749"/>
      <c r="AD1044" s="1749"/>
      <c r="AE1044" s="1750"/>
      <c r="AF1044" s="73"/>
      <c r="AG1044" s="14"/>
      <c r="AH1044" s="14"/>
      <c r="AI1044" s="83"/>
      <c r="AJ1044" s="1736"/>
      <c r="AK1044" s="1737"/>
      <c r="AL1044" s="1737"/>
      <c r="AM1044" s="1737"/>
      <c r="AN1044" s="1737"/>
      <c r="AO1044" s="1737"/>
      <c r="AP1044" s="1737"/>
      <c r="AQ1044" s="1738"/>
      <c r="AR1044" s="68"/>
      <c r="AS1044" s="68"/>
      <c r="AT1044" s="68"/>
      <c r="AU1044" s="68"/>
      <c r="AV1044" s="68"/>
      <c r="AW1044" s="68"/>
      <c r="AX1044" s="68"/>
      <c r="AY1044" s="68"/>
    </row>
    <row r="1045" spans="1:56" ht="12.95" customHeight="1">
      <c r="A1045" s="14"/>
      <c r="B1045" s="79"/>
      <c r="C1045" s="131" t="s">
        <v>1685</v>
      </c>
      <c r="D1045" s="1739" t="s">
        <v>1865</v>
      </c>
      <c r="E1045" s="1740"/>
      <c r="F1045" s="1740"/>
      <c r="G1045" s="1740"/>
      <c r="H1045" s="1740"/>
      <c r="I1045" s="1740"/>
      <c r="J1045" s="1740"/>
      <c r="K1045" s="1740"/>
      <c r="L1045" s="1740"/>
      <c r="M1045" s="1740"/>
      <c r="N1045" s="1740"/>
      <c r="O1045" s="1740"/>
      <c r="P1045" s="1740"/>
      <c r="Q1045" s="1740"/>
      <c r="R1045" s="1740"/>
      <c r="S1045" s="1740"/>
      <c r="T1045" s="1740"/>
      <c r="U1045" s="1740"/>
      <c r="V1045" s="1740"/>
      <c r="W1045" s="1740"/>
      <c r="X1045" s="1740"/>
      <c r="Y1045" s="1740"/>
      <c r="Z1045" s="1740"/>
      <c r="AA1045" s="1740"/>
      <c r="AB1045" s="1740"/>
      <c r="AC1045" s="1740"/>
      <c r="AD1045" s="1740"/>
      <c r="AE1045" s="1741"/>
      <c r="AF1045" s="79"/>
      <c r="AG1045" s="1754" t="str">
        <f>IF(X1048&gt;0,"Yes","No")</f>
        <v>Yes</v>
      </c>
      <c r="AH1045" s="1755"/>
      <c r="AI1045" s="87"/>
      <c r="AJ1045" s="1730">
        <f>IF((X1048=0),0,AY1005*AJ992)</f>
        <v>5152862.9600000009</v>
      </c>
      <c r="AK1045" s="1731"/>
      <c r="AL1045" s="1731"/>
      <c r="AM1045" s="1731"/>
      <c r="AN1045" s="1731"/>
      <c r="AO1045" s="1731"/>
      <c r="AP1045" s="1731"/>
      <c r="AQ1045" s="1732"/>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2.95" customHeight="1">
      <c r="A1046" s="14"/>
      <c r="B1046" s="73"/>
      <c r="C1046" s="442"/>
      <c r="D1046" s="1699" t="s">
        <v>1300</v>
      </c>
      <c r="E1046" s="1700"/>
      <c r="F1046" s="1700"/>
      <c r="G1046" s="1700"/>
      <c r="H1046" s="1700"/>
      <c r="I1046" s="1700"/>
      <c r="J1046" s="1700"/>
      <c r="K1046" s="1700"/>
      <c r="L1046" s="1700"/>
      <c r="M1046" s="1700"/>
      <c r="N1046" s="1700"/>
      <c r="O1046" s="1700"/>
      <c r="P1046" s="1700"/>
      <c r="Q1046" s="1700"/>
      <c r="R1046" s="1700"/>
      <c r="S1046" s="1700"/>
      <c r="T1046" s="1700"/>
      <c r="U1046" s="1700"/>
      <c r="V1046" s="1700"/>
      <c r="W1046" s="1700"/>
      <c r="X1046" s="1700"/>
      <c r="Y1046" s="1700"/>
      <c r="Z1046" s="1700"/>
      <c r="AA1046" s="1700"/>
      <c r="AB1046" s="1700"/>
      <c r="AC1046" s="1700"/>
      <c r="AD1046" s="1700"/>
      <c r="AE1046" s="1701"/>
      <c r="AF1046" s="73"/>
      <c r="AG1046" s="443"/>
      <c r="AH1046" s="443"/>
      <c r="AI1046" s="83"/>
      <c r="AJ1046" s="1733"/>
      <c r="AK1046" s="1734"/>
      <c r="AL1046" s="1734"/>
      <c r="AM1046" s="1734"/>
      <c r="AN1046" s="1734"/>
      <c r="AO1046" s="1734"/>
      <c r="AP1046" s="1734"/>
      <c r="AQ1046" s="1735"/>
      <c r="AR1046" s="68"/>
      <c r="AS1046" s="68"/>
      <c r="AT1046" s="68"/>
      <c r="AU1046" s="13"/>
      <c r="AV1046" s="68"/>
      <c r="AW1046" s="68"/>
      <c r="AX1046" s="68"/>
      <c r="AY1046" s="68"/>
      <c r="AZ1046" s="962">
        <f>'Sources and Uses Budget'!S97*BA1046</f>
        <v>7118838</v>
      </c>
      <c r="BA1046" s="1182">
        <f>IF(BA1040,20%,15%)</f>
        <v>0.15</v>
      </c>
      <c r="BB1046" s="3" t="s">
        <v>2478</v>
      </c>
      <c r="BC1046" s="3" t="s">
        <v>2479</v>
      </c>
      <c r="BD1046" s="3"/>
    </row>
    <row r="1047" spans="1:56" ht="12.95" customHeight="1">
      <c r="A1047" s="14"/>
      <c r="B1047" s="73"/>
      <c r="C1047" s="442"/>
      <c r="D1047" s="1699"/>
      <c r="E1047" s="1700"/>
      <c r="F1047" s="1700"/>
      <c r="G1047" s="1700"/>
      <c r="H1047" s="1700"/>
      <c r="I1047" s="1700"/>
      <c r="J1047" s="1700"/>
      <c r="K1047" s="1700"/>
      <c r="L1047" s="1700"/>
      <c r="M1047" s="1700"/>
      <c r="N1047" s="1700"/>
      <c r="O1047" s="1700"/>
      <c r="P1047" s="1700"/>
      <c r="Q1047" s="1700"/>
      <c r="R1047" s="1700"/>
      <c r="S1047" s="1700"/>
      <c r="T1047" s="1700"/>
      <c r="U1047" s="1700"/>
      <c r="V1047" s="1700"/>
      <c r="W1047" s="1700"/>
      <c r="X1047" s="1700"/>
      <c r="Y1047" s="1700"/>
      <c r="Z1047" s="1700"/>
      <c r="AA1047" s="1700"/>
      <c r="AB1047" s="1700"/>
      <c r="AC1047" s="1700"/>
      <c r="AD1047" s="1700"/>
      <c r="AE1047" s="1701"/>
      <c r="AF1047" s="73"/>
      <c r="AG1047" s="443"/>
      <c r="AH1047" s="443"/>
      <c r="AI1047" s="83"/>
      <c r="AJ1047" s="1733"/>
      <c r="AK1047" s="1734"/>
      <c r="AL1047" s="1734"/>
      <c r="AM1047" s="1734"/>
      <c r="AN1047" s="1734"/>
      <c r="AO1047" s="1734"/>
      <c r="AP1047" s="1734"/>
      <c r="AQ1047" s="1735"/>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2.95" customHeight="1">
      <c r="A1048" s="14"/>
      <c r="B1048" s="77"/>
      <c r="C1048" s="78"/>
      <c r="D1048" s="132" t="s">
        <v>973</v>
      </c>
      <c r="E1048" s="133"/>
      <c r="F1048" s="133"/>
      <c r="G1048" s="133"/>
      <c r="H1048" s="133"/>
      <c r="I1048" s="1793">
        <f>AY1003</f>
        <v>141</v>
      </c>
      <c r="J1048" s="1794"/>
      <c r="K1048" s="7"/>
      <c r="L1048" s="133"/>
      <c r="M1048" s="133"/>
      <c r="N1048" s="133"/>
      <c r="O1048" s="133"/>
      <c r="P1048" s="133"/>
      <c r="Q1048" s="133"/>
      <c r="R1048" s="133"/>
      <c r="S1048" s="133"/>
      <c r="T1048" s="133"/>
      <c r="U1048" s="133"/>
      <c r="V1048" s="134" t="s">
        <v>974</v>
      </c>
      <c r="W1048" s="48"/>
      <c r="X1048" s="1791">
        <f>CI753</f>
        <v>10</v>
      </c>
      <c r="Y1048" s="1792"/>
      <c r="Z1048" s="48"/>
      <c r="AA1048" s="48"/>
      <c r="AB1048" s="48"/>
      <c r="AC1048" s="48"/>
      <c r="AD1048" s="48"/>
      <c r="AE1048" s="49"/>
      <c r="AF1048" s="924"/>
      <c r="AG1048" s="925"/>
      <c r="AH1048" s="925"/>
      <c r="AI1048" s="926"/>
      <c r="AJ1048" s="1736"/>
      <c r="AK1048" s="1737"/>
      <c r="AL1048" s="1737"/>
      <c r="AM1048" s="1737"/>
      <c r="AN1048" s="1737"/>
      <c r="AO1048" s="1737"/>
      <c r="AP1048" s="1737"/>
      <c r="AQ1048" s="1738"/>
      <c r="AR1048" s="68"/>
      <c r="AS1048" s="68"/>
      <c r="AT1048" s="68"/>
      <c r="AU1048" s="14"/>
      <c r="AV1048" s="68"/>
      <c r="AW1048" s="68"/>
      <c r="AX1048" s="68"/>
      <c r="AY1048" s="68"/>
      <c r="AZ1048" s="962">
        <f>IF(M358="N/A",0,'Sources and Uses Budget'!T97*BA1048)</f>
        <v>2791500</v>
      </c>
      <c r="BA1048" s="1182" cm="1">
        <f t="array" ref="BA1048">_xlfn.IFS(X180="Yes",5%,$BA$1038&gt;50000,15%,BA1039&gt;=30%,15%,TRUE,5%)</f>
        <v>0.15</v>
      </c>
      <c r="BB1048" s="3" t="s">
        <v>2478</v>
      </c>
      <c r="BC1048" s="3" t="s">
        <v>2481</v>
      </c>
      <c r="BD1048" s="3"/>
    </row>
    <row r="1049" spans="1:56" ht="12.95" customHeight="1">
      <c r="A1049" s="14"/>
      <c r="B1049" s="79"/>
      <c r="C1049" s="131" t="s">
        <v>1686</v>
      </c>
      <c r="D1049" s="1770" t="s">
        <v>2171</v>
      </c>
      <c r="E1049" s="1771"/>
      <c r="F1049" s="1771"/>
      <c r="G1049" s="1771"/>
      <c r="H1049" s="1771"/>
      <c r="I1049" s="1771"/>
      <c r="J1049" s="1771"/>
      <c r="K1049" s="1771"/>
      <c r="L1049" s="1771"/>
      <c r="M1049" s="1771"/>
      <c r="N1049" s="1771"/>
      <c r="O1049" s="1771"/>
      <c r="P1049" s="1771"/>
      <c r="Q1049" s="1771"/>
      <c r="R1049" s="1771"/>
      <c r="S1049" s="1771"/>
      <c r="T1049" s="1771"/>
      <c r="U1049" s="1771"/>
      <c r="V1049" s="1771"/>
      <c r="W1049" s="1771"/>
      <c r="X1049" s="1771"/>
      <c r="Y1049" s="1771"/>
      <c r="Z1049" s="1771"/>
      <c r="AA1049" s="1771"/>
      <c r="AB1049" s="1771"/>
      <c r="AC1049" s="1771"/>
      <c r="AD1049" s="1771"/>
      <c r="AE1049" s="1772"/>
      <c r="AF1049" s="73"/>
      <c r="AG1049" s="1754" t="str">
        <f>IF(X1052&gt;0,"Yes","No")</f>
        <v>Yes</v>
      </c>
      <c r="AH1049" s="1755"/>
      <c r="AI1049" s="83"/>
      <c r="AJ1049" s="1730">
        <f>IF((X1052=0),0,(2*AY1006)*AJ992)</f>
        <v>27972684.640000001</v>
      </c>
      <c r="AK1049" s="1731"/>
      <c r="AL1049" s="1731"/>
      <c r="AM1049" s="1731"/>
      <c r="AN1049" s="1731"/>
      <c r="AO1049" s="1731"/>
      <c r="AP1049" s="1731"/>
      <c r="AQ1049" s="1732"/>
      <c r="AR1049" s="68"/>
      <c r="AS1049" s="68"/>
      <c r="AT1049" s="68"/>
      <c r="AU1049" s="14"/>
      <c r="AV1049" s="68"/>
      <c r="AW1049" s="68"/>
      <c r="AX1049" s="68"/>
      <c r="AY1049" s="68"/>
      <c r="AZ1049" s="962">
        <f>AZ1045*BA1049</f>
        <v>0</v>
      </c>
      <c r="BA1049" s="1182">
        <v>0.15</v>
      </c>
      <c r="BB1049" s="3" t="s">
        <v>2478</v>
      </c>
      <c r="BC1049" s="3" t="s">
        <v>2482</v>
      </c>
      <c r="BD1049" s="3"/>
    </row>
    <row r="1050" spans="1:56" ht="12.95" customHeight="1">
      <c r="A1050" s="14"/>
      <c r="B1050" s="73"/>
      <c r="C1050" s="442"/>
      <c r="D1050" s="1699" t="s">
        <v>1299</v>
      </c>
      <c r="E1050" s="1700"/>
      <c r="F1050" s="1700"/>
      <c r="G1050" s="1700"/>
      <c r="H1050" s="1700"/>
      <c r="I1050" s="1700"/>
      <c r="J1050" s="1700"/>
      <c r="K1050" s="1700"/>
      <c r="L1050" s="1700"/>
      <c r="M1050" s="1700"/>
      <c r="N1050" s="1700"/>
      <c r="O1050" s="1700"/>
      <c r="P1050" s="1700"/>
      <c r="Q1050" s="1700"/>
      <c r="R1050" s="1700"/>
      <c r="S1050" s="1700"/>
      <c r="T1050" s="1700"/>
      <c r="U1050" s="1700"/>
      <c r="V1050" s="1700"/>
      <c r="W1050" s="1700"/>
      <c r="X1050" s="1700"/>
      <c r="Y1050" s="1700"/>
      <c r="Z1050" s="1700"/>
      <c r="AA1050" s="1700"/>
      <c r="AB1050" s="1700"/>
      <c r="AC1050" s="1700"/>
      <c r="AD1050" s="1700"/>
      <c r="AE1050" s="1701"/>
      <c r="AF1050" s="73"/>
      <c r="AG1050" s="443"/>
      <c r="AH1050" s="443"/>
      <c r="AI1050" s="83"/>
      <c r="AJ1050" s="1733"/>
      <c r="AK1050" s="1734"/>
      <c r="AL1050" s="1734"/>
      <c r="AM1050" s="1734"/>
      <c r="AN1050" s="1734"/>
      <c r="AO1050" s="1734"/>
      <c r="AP1050" s="1734"/>
      <c r="AQ1050" s="1735"/>
      <c r="AR1050" s="68"/>
      <c r="AS1050" s="68"/>
      <c r="AT1050" s="68"/>
      <c r="AU1050" s="68"/>
      <c r="AV1050" s="68"/>
      <c r="AW1050" s="68"/>
      <c r="AX1050" s="68"/>
      <c r="AY1050" s="68"/>
      <c r="AZ1050" s="962"/>
      <c r="BA1050" s="3"/>
      <c r="BB1050" s="3"/>
      <c r="BC1050" s="3"/>
      <c r="BD1050" s="3"/>
    </row>
    <row r="1051" spans="1:56" ht="12.95" customHeight="1">
      <c r="A1051" s="14"/>
      <c r="B1051" s="73"/>
      <c r="C1051" s="83"/>
      <c r="D1051" s="1699"/>
      <c r="E1051" s="1700"/>
      <c r="F1051" s="1700"/>
      <c r="G1051" s="1700"/>
      <c r="H1051" s="1700"/>
      <c r="I1051" s="1700"/>
      <c r="J1051" s="1700"/>
      <c r="K1051" s="1700"/>
      <c r="L1051" s="1700"/>
      <c r="M1051" s="1700"/>
      <c r="N1051" s="1700"/>
      <c r="O1051" s="1700"/>
      <c r="P1051" s="1700"/>
      <c r="Q1051" s="1700"/>
      <c r="R1051" s="1700"/>
      <c r="S1051" s="1700"/>
      <c r="T1051" s="1700"/>
      <c r="U1051" s="1700"/>
      <c r="V1051" s="1700"/>
      <c r="W1051" s="1700"/>
      <c r="X1051" s="1700"/>
      <c r="Y1051" s="1700"/>
      <c r="Z1051" s="1700"/>
      <c r="AA1051" s="1700"/>
      <c r="AB1051" s="1700"/>
      <c r="AC1051" s="1700"/>
      <c r="AD1051" s="1700"/>
      <c r="AE1051" s="1701"/>
      <c r="AF1051" s="921"/>
      <c r="AG1051" s="922"/>
      <c r="AH1051" s="922"/>
      <c r="AI1051" s="923"/>
      <c r="AJ1051" s="1733"/>
      <c r="AK1051" s="1734"/>
      <c r="AL1051" s="1734"/>
      <c r="AM1051" s="1734"/>
      <c r="AN1051" s="1734"/>
      <c r="AO1051" s="1734"/>
      <c r="AP1051" s="1734"/>
      <c r="AQ1051" s="1735"/>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793">
        <f>AY1003</f>
        <v>141</v>
      </c>
      <c r="J1052" s="1794"/>
      <c r="K1052" s="14"/>
      <c r="L1052" s="133"/>
      <c r="M1052" s="133"/>
      <c r="N1052" s="133"/>
      <c r="O1052" s="133"/>
      <c r="P1052" s="133"/>
      <c r="Q1052" s="133"/>
      <c r="R1052" s="133"/>
      <c r="S1052" s="133"/>
      <c r="T1052" s="133"/>
      <c r="U1052" s="133"/>
      <c r="V1052" s="134" t="s">
        <v>975</v>
      </c>
      <c r="X1052" s="1791">
        <f>CM753</f>
        <v>28</v>
      </c>
      <c r="Y1052" s="1792"/>
      <c r="AF1052" s="924"/>
      <c r="AG1052" s="925"/>
      <c r="AH1052" s="925"/>
      <c r="AI1052" s="926"/>
      <c r="AJ1052" s="1736"/>
      <c r="AK1052" s="1737"/>
      <c r="AL1052" s="1737"/>
      <c r="AM1052" s="1737"/>
      <c r="AN1052" s="1737"/>
      <c r="AO1052" s="1737"/>
      <c r="AP1052" s="1737"/>
      <c r="AQ1052" s="1738"/>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2.95" customHeight="1">
      <c r="A1053" s="14"/>
      <c r="B1053" s="102"/>
      <c r="C1053" s="103"/>
      <c r="D1053" s="1789" t="s">
        <v>514</v>
      </c>
      <c r="E1053" s="1789"/>
      <c r="F1053" s="1789"/>
      <c r="G1053" s="1789"/>
      <c r="H1053" s="1789"/>
      <c r="I1053" s="1789"/>
      <c r="J1053" s="1789"/>
      <c r="K1053" s="1789"/>
      <c r="L1053" s="1789"/>
      <c r="M1053" s="1789"/>
      <c r="N1053" s="1789"/>
      <c r="O1053" s="1789"/>
      <c r="P1053" s="1789"/>
      <c r="Q1053" s="1789"/>
      <c r="R1053" s="1789"/>
      <c r="S1053" s="1789"/>
      <c r="T1053" s="1789"/>
      <c r="U1053" s="1789"/>
      <c r="V1053" s="1789"/>
      <c r="W1053" s="1789"/>
      <c r="X1053" s="1789"/>
      <c r="Y1053" s="1789"/>
      <c r="Z1053" s="1789"/>
      <c r="AA1053" s="1789"/>
      <c r="AB1053" s="1789"/>
      <c r="AC1053" s="1789"/>
      <c r="AD1053" s="1789"/>
      <c r="AE1053" s="1789"/>
      <c r="AF1053" s="1789"/>
      <c r="AG1053" s="1789"/>
      <c r="AH1053" s="1789"/>
      <c r="AI1053" s="1790"/>
      <c r="AJ1053" s="1804">
        <f>SUM(AJ992:AQ1052)</f>
        <v>123324341.60000001</v>
      </c>
      <c r="AK1053" s="1805"/>
      <c r="AL1053" s="1805"/>
      <c r="AM1053" s="1805"/>
      <c r="AN1053" s="1805"/>
      <c r="AO1053" s="1805"/>
      <c r="AP1053" s="1805"/>
      <c r="AQ1053" s="1806"/>
      <c r="AR1053" s="68"/>
      <c r="AS1053" s="68"/>
      <c r="AT1053" s="68"/>
      <c r="AU1053" s="68"/>
      <c r="AV1053" s="68"/>
      <c r="AW1053" s="68"/>
      <c r="AX1053" s="68"/>
      <c r="AY1053" s="68"/>
      <c r="AZ1053" s="1181">
        <v>6000000</v>
      </c>
      <c r="BA1053" s="3" t="s">
        <v>2485</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2.95"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5">
        <f>'Sources and Uses Budget'!S107+'Sources and Uses Budget'!T107</f>
        <v>68568920</v>
      </c>
      <c r="AB1056" s="1345"/>
      <c r="AC1056" s="1345"/>
      <c r="AD1056" s="1345"/>
      <c r="AE1056" s="1345"/>
      <c r="AF1056" s="1345"/>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9910338</v>
      </c>
      <c r="BB1056" s="3" t="s">
        <v>2487</v>
      </c>
      <c r="BC1056" s="3"/>
      <c r="BD1056" s="3"/>
    </row>
    <row r="1057" spans="1:54" ht="12.95"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6">
        <f>IFERROR((AA1056-BA1059)/(AJ1053-AJ1045-AJ1049),"")</f>
        <v>0.76019774721156463</v>
      </c>
      <c r="AB1057" s="1347"/>
      <c r="AC1057" s="1347"/>
      <c r="AD1057" s="1347"/>
      <c r="AE1057" s="1347"/>
      <c r="AF1057" s="1348"/>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9"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9"/>
      <c r="I1058" s="1349"/>
      <c r="J1058" s="1349"/>
      <c r="K1058" s="1349"/>
      <c r="L1058" s="1349"/>
      <c r="M1058" s="1349"/>
      <c r="N1058" s="1349"/>
      <c r="O1058" s="1349"/>
      <c r="P1058" s="1349"/>
      <c r="Q1058" s="1349"/>
      <c r="R1058" s="1349"/>
      <c r="S1058" s="1349"/>
      <c r="T1058" s="1349"/>
      <c r="U1058" s="1349"/>
      <c r="V1058" s="1349"/>
      <c r="W1058" s="1349"/>
      <c r="X1058" s="1349"/>
      <c r="Y1058" s="1349"/>
      <c r="Z1058" s="1349"/>
      <c r="AA1058" s="1349"/>
      <c r="AB1058" s="1349"/>
      <c r="AC1058" s="1349"/>
      <c r="AD1058" s="1349"/>
      <c r="AE1058" s="1349"/>
      <c r="AF1058" s="1349"/>
      <c r="AG1058" s="1349"/>
      <c r="AH1058" s="1349"/>
      <c r="AI1058" s="1349"/>
      <c r="AJ1058" s="1349"/>
      <c r="AK1058" s="1349"/>
      <c r="AL1058" s="1349"/>
      <c r="AM1058" s="1349"/>
      <c r="AN1058" s="1349"/>
      <c r="AO1058" s="68"/>
      <c r="AP1058" s="68"/>
      <c r="AQ1058" s="68"/>
      <c r="AR1058" s="68"/>
      <c r="AS1058" s="68"/>
      <c r="AT1058" s="68"/>
      <c r="AU1058" s="68"/>
      <c r="AV1058" s="14"/>
      <c r="AW1058" s="14"/>
      <c r="AX1058" s="14"/>
      <c r="AY1058" s="14"/>
      <c r="BA1058" s="1185">
        <f>'Sources and Uses Budget'!$S$104+'Sources and Uses Budget'!$T$104</f>
        <v>2500000</v>
      </c>
      <c r="BB1058" s="3" t="s">
        <v>2493</v>
      </c>
    </row>
    <row r="1059" spans="1:54" ht="12.95" customHeight="1">
      <c r="A1059" s="14"/>
      <c r="B1059" s="14"/>
      <c r="C1059" s="208"/>
      <c r="D1059" s="858"/>
      <c r="E1059" s="858"/>
      <c r="F1059" s="858"/>
      <c r="G1059" s="1349"/>
      <c r="H1059" s="1349"/>
      <c r="I1059" s="1349"/>
      <c r="J1059" s="1349"/>
      <c r="K1059" s="1349"/>
      <c r="L1059" s="1349"/>
      <c r="M1059" s="1349"/>
      <c r="N1059" s="1349"/>
      <c r="O1059" s="1349"/>
      <c r="P1059" s="1349"/>
      <c r="Q1059" s="1349"/>
      <c r="R1059" s="1349"/>
      <c r="S1059" s="1349"/>
      <c r="T1059" s="1349"/>
      <c r="U1059" s="1349"/>
      <c r="V1059" s="1349"/>
      <c r="W1059" s="1349"/>
      <c r="X1059" s="1349"/>
      <c r="Y1059" s="1349"/>
      <c r="Z1059" s="1349"/>
      <c r="AA1059" s="1349"/>
      <c r="AB1059" s="1349"/>
      <c r="AC1059" s="1349"/>
      <c r="AD1059" s="1349"/>
      <c r="AE1059" s="1349"/>
      <c r="AF1059" s="1349"/>
      <c r="AG1059" s="1349"/>
      <c r="AH1059" s="1349"/>
      <c r="AI1059" s="1349"/>
      <c r="AJ1059" s="1349"/>
      <c r="AK1059" s="1349"/>
      <c r="AL1059" s="1349"/>
      <c r="AM1059" s="1349"/>
      <c r="AN1059" s="1349"/>
      <c r="AO1059" s="68"/>
      <c r="AP1059" s="68"/>
      <c r="AQ1059" s="68"/>
      <c r="AR1059" s="68"/>
      <c r="AS1059" s="68"/>
      <c r="AT1059" s="68"/>
      <c r="AU1059" s="68"/>
      <c r="AV1059" s="14"/>
      <c r="AW1059" s="14"/>
      <c r="AX1059" s="14"/>
      <c r="AY1059" s="14"/>
      <c r="BA1059" s="1186">
        <f>MAX($BA$1058-$BA$1055,0)</f>
        <v>0</v>
      </c>
      <c r="BB1059" s="3" t="s">
        <v>2494</v>
      </c>
    </row>
    <row r="1060" spans="1:54" ht="12.95" customHeight="1">
      <c r="A1060" s="88"/>
      <c r="B1060" s="1172"/>
      <c r="C1060" s="1172"/>
      <c r="D1060" s="1172"/>
      <c r="E1060" s="1172"/>
      <c r="F1060" s="1172"/>
      <c r="G1060" s="1349"/>
      <c r="H1060" s="1349"/>
      <c r="I1060" s="1349"/>
      <c r="J1060" s="1349"/>
      <c r="K1060" s="1349"/>
      <c r="L1060" s="1349"/>
      <c r="M1060" s="1349"/>
      <c r="N1060" s="1349"/>
      <c r="O1060" s="1349"/>
      <c r="P1060" s="1349"/>
      <c r="Q1060" s="1349"/>
      <c r="R1060" s="1349"/>
      <c r="S1060" s="1349"/>
      <c r="T1060" s="1349"/>
      <c r="U1060" s="1349"/>
      <c r="V1060" s="1349"/>
      <c r="W1060" s="1349"/>
      <c r="X1060" s="1349"/>
      <c r="Y1060" s="1349"/>
      <c r="Z1060" s="1349"/>
      <c r="AA1060" s="1349"/>
      <c r="AB1060" s="1349"/>
      <c r="AC1060" s="1349"/>
      <c r="AD1060" s="1349"/>
      <c r="AE1060" s="1349"/>
      <c r="AF1060" s="1349"/>
      <c r="AG1060" s="1349"/>
      <c r="AH1060" s="1349"/>
      <c r="AI1060" s="1349"/>
      <c r="AJ1060" s="1349"/>
      <c r="AK1060" s="1349"/>
      <c r="AL1060" s="1349"/>
      <c r="AM1060" s="1349"/>
      <c r="AN1060" s="1349"/>
      <c r="AO1060" s="1172"/>
      <c r="AP1060" s="1172"/>
      <c r="AQ1060" s="68"/>
      <c r="AR1060" s="68"/>
      <c r="AS1060" s="68"/>
      <c r="AT1060" s="68"/>
      <c r="AU1060" s="68"/>
      <c r="AV1060" s="68"/>
      <c r="AW1060" s="68"/>
      <c r="AX1060" s="68"/>
      <c r="AY1060" s="68"/>
    </row>
    <row r="1061" spans="1:54" ht="12.95" customHeight="1">
      <c r="A1061" s="1838" t="s">
        <v>795</v>
      </c>
      <c r="B1061" s="1838"/>
      <c r="C1061" s="1838"/>
      <c r="D1061" s="1838"/>
      <c r="E1061" s="1838"/>
      <c r="F1061" s="1838"/>
      <c r="G1061" s="1838"/>
      <c r="H1061" s="1838"/>
      <c r="I1061" s="1838"/>
      <c r="J1061" s="1838"/>
      <c r="K1061" s="1838"/>
      <c r="L1061" s="1838"/>
      <c r="M1061" s="1838"/>
      <c r="N1061" s="1838"/>
      <c r="O1061" s="1838"/>
      <c r="P1061" s="1838"/>
      <c r="Q1061" s="1838"/>
      <c r="R1061" s="1838"/>
      <c r="S1061" s="1838"/>
      <c r="T1061" s="1838"/>
      <c r="U1061" s="1838"/>
      <c r="V1061" s="1838"/>
      <c r="W1061" s="1838"/>
      <c r="X1061" s="1838"/>
      <c r="Y1061" s="1838"/>
      <c r="Z1061" s="1838"/>
      <c r="AA1061" s="1838"/>
      <c r="AB1061" s="1838"/>
      <c r="AC1061" s="1838"/>
      <c r="AD1061" s="1838"/>
      <c r="AE1061" s="1838"/>
      <c r="AF1061" s="1838"/>
      <c r="AG1061" s="1838"/>
      <c r="AH1061" s="1838"/>
      <c r="AI1061" s="1838"/>
      <c r="AJ1061" s="1838"/>
      <c r="AK1061" s="1838"/>
      <c r="AL1061" s="1838"/>
      <c r="AM1061" s="1838"/>
      <c r="AN1061" s="1838"/>
      <c r="AO1061" s="1838"/>
      <c r="AP1061" s="1838"/>
      <c r="AQ1061" s="1838"/>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33" t="s">
        <v>592</v>
      </c>
      <c r="B1065" s="1433"/>
      <c r="C1065" s="1859">
        <v>1</v>
      </c>
      <c r="D1065" s="1859"/>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9"/>
      <c r="D1066" s="1859"/>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33" t="s">
        <v>592</v>
      </c>
      <c r="B1067" s="1433"/>
      <c r="C1067" s="1859">
        <v>2</v>
      </c>
      <c r="D1067" s="1859"/>
      <c r="E1067" s="1861" t="s">
        <v>2237</v>
      </c>
      <c r="F1067" s="1861"/>
      <c r="G1067" s="1861"/>
      <c r="H1067" s="1861"/>
      <c r="I1067" s="1861"/>
      <c r="J1067" s="1861"/>
      <c r="K1067" s="1861"/>
      <c r="L1067" s="1861"/>
      <c r="M1067" s="1861"/>
      <c r="N1067" s="1861"/>
      <c r="O1067" s="1861"/>
      <c r="P1067" s="1861"/>
      <c r="Q1067" s="1861"/>
      <c r="R1067" s="1861"/>
      <c r="S1067" s="1861"/>
      <c r="T1067" s="1861"/>
      <c r="U1067" s="1861"/>
      <c r="V1067" s="1861"/>
      <c r="W1067" s="1861"/>
      <c r="X1067" s="1861"/>
      <c r="Y1067" s="1861"/>
      <c r="Z1067" s="1861"/>
      <c r="AA1067" s="1861"/>
      <c r="AB1067" s="1861"/>
      <c r="AC1067" s="1861"/>
      <c r="AD1067" s="1861"/>
      <c r="AE1067" s="1861"/>
      <c r="AF1067" s="1861"/>
      <c r="AG1067" s="1861"/>
      <c r="AH1067" s="1861"/>
      <c r="AI1067" s="1861"/>
      <c r="AJ1067" s="1861"/>
      <c r="AK1067" s="1861"/>
      <c r="AL1067" s="1861"/>
      <c r="AM1067" s="1861"/>
      <c r="AN1067" s="1861"/>
      <c r="AO1067" s="1861"/>
      <c r="AP1067" s="1861"/>
      <c r="AQ1067" s="1861"/>
      <c r="AR1067" s="1861"/>
      <c r="AS1067" s="14"/>
      <c r="AT1067" s="14"/>
      <c r="AV1067" s="68"/>
      <c r="AW1067" s="68"/>
      <c r="AX1067" s="68"/>
      <c r="AY1067" s="68"/>
    </row>
    <row r="1068" spans="1:54" ht="12.95" customHeight="1">
      <c r="A1068" s="198"/>
      <c r="B1068" s="67"/>
      <c r="C1068" s="1859"/>
      <c r="D1068" s="1859"/>
      <c r="E1068" s="1861"/>
      <c r="F1068" s="1861"/>
      <c r="G1068" s="1861"/>
      <c r="H1068" s="1861"/>
      <c r="I1068" s="1861"/>
      <c r="J1068" s="1861"/>
      <c r="K1068" s="1861"/>
      <c r="L1068" s="1861"/>
      <c r="M1068" s="1861"/>
      <c r="N1068" s="1861"/>
      <c r="O1068" s="1861"/>
      <c r="P1068" s="1861"/>
      <c r="Q1068" s="1861"/>
      <c r="R1068" s="1861"/>
      <c r="S1068" s="1861"/>
      <c r="T1068" s="1861"/>
      <c r="U1068" s="1861"/>
      <c r="V1068" s="1861"/>
      <c r="W1068" s="1861"/>
      <c r="X1068" s="1861"/>
      <c r="Y1068" s="1861"/>
      <c r="Z1068" s="1861"/>
      <c r="AA1068" s="1861"/>
      <c r="AB1068" s="1861"/>
      <c r="AC1068" s="1861"/>
      <c r="AD1068" s="1861"/>
      <c r="AE1068" s="1861"/>
      <c r="AF1068" s="1861"/>
      <c r="AG1068" s="1861"/>
      <c r="AH1068" s="1861"/>
      <c r="AI1068" s="1861"/>
      <c r="AJ1068" s="1861"/>
      <c r="AK1068" s="1861"/>
      <c r="AL1068" s="1861"/>
      <c r="AM1068" s="1861"/>
      <c r="AN1068" s="1861"/>
      <c r="AO1068" s="1861"/>
      <c r="AP1068" s="1861"/>
      <c r="AQ1068" s="1861"/>
      <c r="AR1068" s="1861"/>
      <c r="AS1068" s="14"/>
      <c r="AT1068" s="14"/>
      <c r="AV1068" s="68"/>
      <c r="AW1068" s="68"/>
      <c r="AX1068" s="68"/>
      <c r="AY1068" s="68"/>
    </row>
    <row r="1069" spans="1:54" ht="12.95" customHeight="1">
      <c r="A1069" s="198"/>
      <c r="B1069" s="67"/>
      <c r="C1069" s="1859"/>
      <c r="D1069" s="1859"/>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33" t="s">
        <v>592</v>
      </c>
      <c r="B1070" s="1433"/>
      <c r="C1070" s="1377">
        <v>3</v>
      </c>
      <c r="D1070" s="1377"/>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377"/>
      <c r="D1071" s="1377"/>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377"/>
      <c r="D1072" s="1377"/>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377"/>
      <c r="D1073" s="1377"/>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377"/>
      <c r="D1074" s="1377"/>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33" t="s">
        <v>592</v>
      </c>
      <c r="B1075" s="1433"/>
      <c r="C1075" s="1377">
        <v>4</v>
      </c>
      <c r="D1075" s="1377"/>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377"/>
      <c r="D1076" s="1377"/>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377"/>
      <c r="D1077" s="1377"/>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377"/>
      <c r="D1078" s="1377"/>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377"/>
      <c r="D1079" s="1377"/>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377"/>
      <c r="D1080" s="1377"/>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33" t="s">
        <v>592</v>
      </c>
      <c r="B1081" s="1433"/>
      <c r="C1081" s="1377">
        <v>5</v>
      </c>
      <c r="D1081" s="1377"/>
      <c r="E1081" s="1328" t="s">
        <v>2241</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377"/>
      <c r="D1082" s="1377"/>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377"/>
      <c r="D1083" s="1377"/>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377"/>
      <c r="D1084" s="1377"/>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33" t="s">
        <v>592</v>
      </c>
      <c r="B1085" s="1433"/>
      <c r="C1085" s="1377">
        <v>6</v>
      </c>
      <c r="D1085" s="1377"/>
      <c r="E1085" s="1328" t="s">
        <v>2242</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377"/>
      <c r="D1087" s="1377"/>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377"/>
      <c r="D1088" s="1377"/>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33" t="s">
        <v>592</v>
      </c>
      <c r="B1089" s="1433"/>
      <c r="C1089" s="1377">
        <v>7</v>
      </c>
      <c r="D1089" s="1377"/>
      <c r="E1089" s="1328" t="s">
        <v>2139</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377"/>
      <c r="D1090" s="1377"/>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377"/>
      <c r="D1091" s="1377"/>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377"/>
      <c r="D1092" s="1377"/>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77"/>
      <c r="D1093" s="1377"/>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33" t="s">
        <v>592</v>
      </c>
      <c r="B1094" s="1433"/>
      <c r="C1094" s="1377">
        <v>8</v>
      </c>
      <c r="D1094" s="1377"/>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377"/>
      <c r="D1095" s="1377"/>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377"/>
      <c r="D1096" s="1377"/>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33" t="s">
        <v>592</v>
      </c>
      <c r="B1097" s="1433"/>
      <c r="C1097" s="1859">
        <v>9</v>
      </c>
      <c r="D1097" s="1859"/>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59"/>
      <c r="D1098" s="1859"/>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59"/>
      <c r="D1099" s="1859"/>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33" t="s">
        <v>592</v>
      </c>
      <c r="B1100" s="1433"/>
      <c r="C1100" s="1859">
        <v>10</v>
      </c>
      <c r="D1100" s="1859"/>
      <c r="E1100" s="1860" t="s">
        <v>2238</v>
      </c>
      <c r="F1100" s="1860"/>
      <c r="G1100" s="1860"/>
      <c r="H1100" s="1860"/>
      <c r="I1100" s="1860"/>
      <c r="J1100" s="1860"/>
      <c r="K1100" s="1860"/>
      <c r="L1100" s="1860"/>
      <c r="M1100" s="1860"/>
      <c r="N1100" s="1860"/>
      <c r="O1100" s="1860"/>
      <c r="P1100" s="1860"/>
      <c r="Q1100" s="1860"/>
      <c r="R1100" s="1860"/>
      <c r="S1100" s="1860"/>
      <c r="T1100" s="1860"/>
      <c r="U1100" s="1860"/>
      <c r="V1100" s="1860"/>
      <c r="W1100" s="1860"/>
      <c r="X1100" s="1860"/>
      <c r="Y1100" s="1860"/>
      <c r="Z1100" s="1860"/>
      <c r="AA1100" s="1860"/>
      <c r="AB1100" s="1860"/>
      <c r="AC1100" s="1860"/>
      <c r="AD1100" s="1860"/>
      <c r="AE1100" s="1860"/>
      <c r="AF1100" s="1860"/>
      <c r="AG1100" s="1860"/>
      <c r="AH1100" s="1860"/>
      <c r="AI1100" s="1860"/>
      <c r="AJ1100" s="1860"/>
      <c r="AK1100" s="1860"/>
      <c r="AL1100" s="1860"/>
      <c r="AM1100" s="1860"/>
      <c r="AN1100" s="1860"/>
      <c r="AO1100" s="1860"/>
      <c r="AP1100" s="1860"/>
      <c r="AQ1100" s="1860"/>
      <c r="AR1100" s="1860"/>
    </row>
    <row r="1101" spans="1:45" ht="12.95" customHeight="1">
      <c r="A1101" s="1"/>
      <c r="B1101" s="1"/>
      <c r="C1101" s="199"/>
      <c r="D1101" s="1161"/>
      <c r="E1101" s="1860"/>
      <c r="F1101" s="1860"/>
      <c r="G1101" s="1860"/>
      <c r="H1101" s="1860"/>
      <c r="I1101" s="1860"/>
      <c r="J1101" s="1860"/>
      <c r="K1101" s="1860"/>
      <c r="L1101" s="1860"/>
      <c r="M1101" s="1860"/>
      <c r="N1101" s="1860"/>
      <c r="O1101" s="1860"/>
      <c r="P1101" s="1860"/>
      <c r="Q1101" s="1860"/>
      <c r="R1101" s="1860"/>
      <c r="S1101" s="1860"/>
      <c r="T1101" s="1860"/>
      <c r="U1101" s="1860"/>
      <c r="V1101" s="1860"/>
      <c r="W1101" s="1860"/>
      <c r="X1101" s="1860"/>
      <c r="Y1101" s="1860"/>
      <c r="Z1101" s="1860"/>
      <c r="AA1101" s="1860"/>
      <c r="AB1101" s="1860"/>
      <c r="AC1101" s="1860"/>
      <c r="AD1101" s="1860"/>
      <c r="AE1101" s="1860"/>
      <c r="AF1101" s="1860"/>
      <c r="AG1101" s="1860"/>
      <c r="AH1101" s="1860"/>
      <c r="AI1101" s="1860"/>
      <c r="AJ1101" s="1860"/>
      <c r="AK1101" s="1860"/>
      <c r="AL1101" s="1860"/>
      <c r="AM1101" s="1860"/>
      <c r="AN1101" s="1860"/>
      <c r="AO1101" s="1860"/>
      <c r="AP1101" s="1860"/>
      <c r="AQ1101" s="1860"/>
      <c r="AR1101" s="1860"/>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33" t="s">
        <v>592</v>
      </c>
      <c r="B1103" s="1433"/>
      <c r="C1103" s="1859">
        <v>11</v>
      </c>
      <c r="D1103" s="1859"/>
      <c r="E1103" s="1860" t="s">
        <v>2240</v>
      </c>
      <c r="F1103" s="1860"/>
      <c r="G1103" s="1860"/>
      <c r="H1103" s="1860"/>
      <c r="I1103" s="1860"/>
      <c r="J1103" s="1860"/>
      <c r="K1103" s="1860"/>
      <c r="L1103" s="1860"/>
      <c r="M1103" s="1860"/>
      <c r="N1103" s="1860"/>
      <c r="O1103" s="1860"/>
      <c r="P1103" s="1860"/>
      <c r="Q1103" s="1860"/>
      <c r="R1103" s="1860"/>
      <c r="S1103" s="1860"/>
      <c r="T1103" s="1860"/>
      <c r="U1103" s="1860"/>
      <c r="V1103" s="1860"/>
      <c r="W1103" s="1860"/>
      <c r="X1103" s="1860"/>
      <c r="Y1103" s="1860"/>
      <c r="Z1103" s="1860"/>
      <c r="AA1103" s="1860"/>
      <c r="AB1103" s="1860"/>
      <c r="AC1103" s="1860"/>
      <c r="AD1103" s="1860"/>
      <c r="AE1103" s="1860"/>
      <c r="AF1103" s="1860"/>
      <c r="AG1103" s="1860"/>
      <c r="AH1103" s="1860"/>
      <c r="AI1103" s="1860"/>
      <c r="AJ1103" s="1860"/>
      <c r="AK1103" s="1860"/>
      <c r="AL1103" s="1860"/>
      <c r="AM1103" s="1860"/>
      <c r="AN1103" s="1860"/>
      <c r="AO1103" s="1860"/>
      <c r="AP1103" s="1860"/>
      <c r="AQ1103" s="1860"/>
      <c r="AR1103" s="1860"/>
    </row>
    <row r="1104" spans="1:45" ht="12.95" customHeight="1">
      <c r="A1104" s="1"/>
      <c r="B1104" s="1"/>
      <c r="C1104" s="199"/>
      <c r="D1104" s="1161"/>
      <c r="E1104" s="1860"/>
      <c r="F1104" s="1860"/>
      <c r="G1104" s="1860"/>
      <c r="H1104" s="1860"/>
      <c r="I1104" s="1860"/>
      <c r="J1104" s="1860"/>
      <c r="K1104" s="1860"/>
      <c r="L1104" s="1860"/>
      <c r="M1104" s="1860"/>
      <c r="N1104" s="1860"/>
      <c r="O1104" s="1860"/>
      <c r="P1104" s="1860"/>
      <c r="Q1104" s="1860"/>
      <c r="R1104" s="1860"/>
      <c r="S1104" s="1860"/>
      <c r="T1104" s="1860"/>
      <c r="U1104" s="1860"/>
      <c r="V1104" s="1860"/>
      <c r="W1104" s="1860"/>
      <c r="X1104" s="1860"/>
      <c r="Y1104" s="1860"/>
      <c r="Z1104" s="1860"/>
      <c r="AA1104" s="1860"/>
      <c r="AB1104" s="1860"/>
      <c r="AC1104" s="1860"/>
      <c r="AD1104" s="1860"/>
      <c r="AE1104" s="1860"/>
      <c r="AF1104" s="1860"/>
      <c r="AG1104" s="1860"/>
      <c r="AH1104" s="1860"/>
      <c r="AI1104" s="1860"/>
      <c r="AJ1104" s="1860"/>
      <c r="AK1104" s="1860"/>
      <c r="AL1104" s="1860"/>
      <c r="AM1104" s="1860"/>
      <c r="AN1104" s="1860"/>
      <c r="AO1104" s="1860"/>
      <c r="AP1104" s="1860"/>
      <c r="AQ1104" s="1860"/>
      <c r="AR1104" s="1860"/>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33" t="s">
        <v>592</v>
      </c>
      <c r="B1125" s="1433"/>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14:F717"/>
    <mergeCell ref="G729:J729"/>
    <mergeCell ref="B726:F726"/>
    <mergeCell ref="G655:L655"/>
    <mergeCell ref="H656:R656"/>
    <mergeCell ref="AC733:AG733"/>
    <mergeCell ref="AG649:AH649"/>
    <mergeCell ref="H688:R688"/>
    <mergeCell ref="X721:AB721"/>
    <mergeCell ref="X727:AB727"/>
    <mergeCell ref="AH736:AJ736"/>
    <mergeCell ref="B740:F740"/>
    <mergeCell ref="G732:J732"/>
    <mergeCell ref="AH735:AJ735"/>
    <mergeCell ref="X734:AB734"/>
    <mergeCell ref="X724:AB724"/>
    <mergeCell ref="K737:N737"/>
    <mergeCell ref="O739:S739"/>
    <mergeCell ref="AE699:AI699"/>
    <mergeCell ref="AA672:AK672"/>
    <mergeCell ref="Z684:AK684"/>
    <mergeCell ref="H672:R672"/>
    <mergeCell ref="O720:S720"/>
    <mergeCell ref="K719:N719"/>
    <mergeCell ref="AK723:AO723"/>
    <mergeCell ref="AK724:AO724"/>
    <mergeCell ref="AK725:AO725"/>
    <mergeCell ref="O732:S732"/>
    <mergeCell ref="G737:J737"/>
    <mergeCell ref="G735:J735"/>
    <mergeCell ref="G738:J738"/>
    <mergeCell ref="AH729:AJ729"/>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G603:R603"/>
    <mergeCell ref="P597:R597"/>
    <mergeCell ref="AH737:AJ737"/>
    <mergeCell ref="AH738:AJ738"/>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K734:AO734"/>
    <mergeCell ref="AK735:AO735"/>
    <mergeCell ref="G597:L597"/>
    <mergeCell ref="AC630:AE630"/>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F631:AJ631"/>
    <mergeCell ref="AK633:AN633"/>
    <mergeCell ref="Z629:AB629"/>
    <mergeCell ref="C563:L563"/>
    <mergeCell ref="AE565:AH565"/>
    <mergeCell ref="AK628:AN628"/>
    <mergeCell ref="AI581:AK581"/>
    <mergeCell ref="Z601:AK601"/>
    <mergeCell ref="Q633:S633"/>
    <mergeCell ref="AC634:AE634"/>
    <mergeCell ref="Q631:S631"/>
    <mergeCell ref="O738:S738"/>
    <mergeCell ref="T740:W740"/>
    <mergeCell ref="G741:J741"/>
    <mergeCell ref="T739:W739"/>
    <mergeCell ref="K741:N741"/>
    <mergeCell ref="O736:S736"/>
    <mergeCell ref="K738:N738"/>
    <mergeCell ref="AK731:AO731"/>
    <mergeCell ref="AK738:AO738"/>
    <mergeCell ref="G730:J730"/>
    <mergeCell ref="X730:AB730"/>
    <mergeCell ref="X731:AB731"/>
    <mergeCell ref="AH732:AJ732"/>
    <mergeCell ref="K727:N727"/>
    <mergeCell ref="K726:N726"/>
    <mergeCell ref="K730:N730"/>
    <mergeCell ref="T736:W736"/>
    <mergeCell ref="O733:S733"/>
    <mergeCell ref="K731:N731"/>
    <mergeCell ref="T732:W732"/>
    <mergeCell ref="T731:W731"/>
    <mergeCell ref="EM650:EQ650"/>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M633:P633"/>
    <mergeCell ref="Z594:AK594"/>
    <mergeCell ref="Z610:AK610"/>
    <mergeCell ref="N599:O599"/>
    <mergeCell ref="AA590:AK590"/>
    <mergeCell ref="AI589:AK589"/>
    <mergeCell ref="Z596:AK596"/>
    <mergeCell ref="H598:R598"/>
    <mergeCell ref="AG583:AH583"/>
    <mergeCell ref="G588:R588"/>
    <mergeCell ref="Z580:AK580"/>
    <mergeCell ref="G647:L647"/>
    <mergeCell ref="C638:L638"/>
    <mergeCell ref="Z645:AK645"/>
    <mergeCell ref="EW652:FA652"/>
    <mergeCell ref="ER657:EV657"/>
    <mergeCell ref="EW657:FA657"/>
    <mergeCell ref="EH659:EL659"/>
    <mergeCell ref="EC661:EG661"/>
    <mergeCell ref="EH661:EL661"/>
    <mergeCell ref="EM651:EQ651"/>
    <mergeCell ref="CZ753:DD753"/>
    <mergeCell ref="DJ775:DN775"/>
    <mergeCell ref="CU739:CY739"/>
    <mergeCell ref="EH655:EL655"/>
    <mergeCell ref="EM655:EQ655"/>
    <mergeCell ref="EH647:EL647"/>
    <mergeCell ref="EM647:EQ647"/>
    <mergeCell ref="DX648:EB648"/>
    <mergeCell ref="DX651:EB651"/>
    <mergeCell ref="EC651:EG651"/>
    <mergeCell ref="EM648:EQ648"/>
    <mergeCell ref="DJ746:DN746"/>
    <mergeCell ref="DO746:DS746"/>
    <mergeCell ref="CZ746:DD746"/>
    <mergeCell ref="DE744:DI744"/>
    <mergeCell ref="DE750:DI750"/>
    <mergeCell ref="DJ750:DN750"/>
    <mergeCell ref="DO774:DS774"/>
    <mergeCell ref="DU753:DY753"/>
    <mergeCell ref="DZ753:ED753"/>
    <mergeCell ref="DE774:DI774"/>
    <mergeCell ref="DZ738:ED738"/>
    <mergeCell ref="EE738:EI738"/>
    <mergeCell ref="DO732:DS732"/>
    <mergeCell ref="DZ739:ED739"/>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DU729:DY729"/>
    <mergeCell ref="EJ722:EN722"/>
    <mergeCell ref="DO725:DS725"/>
    <mergeCell ref="DO721:DS721"/>
    <mergeCell ref="CP721:CT721"/>
    <mergeCell ref="DO727:DS727"/>
    <mergeCell ref="CP727:CT727"/>
    <mergeCell ref="CI727:CJ727"/>
    <mergeCell ref="EO718:ES718"/>
    <mergeCell ref="DU720:DY720"/>
    <mergeCell ref="AK728:AO728"/>
    <mergeCell ref="AK729:AO729"/>
    <mergeCell ref="DE717:DI717"/>
    <mergeCell ref="CU719:CY719"/>
    <mergeCell ref="CG718:CH718"/>
    <mergeCell ref="DZ718:ED718"/>
    <mergeCell ref="EE718:EI718"/>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R649:EV649"/>
    <mergeCell ref="EJ738:EN738"/>
    <mergeCell ref="DX637:EB637"/>
    <mergeCell ref="DU739:DY739"/>
    <mergeCell ref="EJ720:EN720"/>
    <mergeCell ref="AK726:AO726"/>
    <mergeCell ref="EO722:ES722"/>
    <mergeCell ref="DJ776:DN776"/>
    <mergeCell ref="DO776:DS776"/>
    <mergeCell ref="DO775:DS775"/>
    <mergeCell ref="DJ753:DN753"/>
    <mergeCell ref="DE740:DI740"/>
    <mergeCell ref="DU740:DY740"/>
    <mergeCell ref="DZ740:ED740"/>
    <mergeCell ref="EE740:EI740"/>
    <mergeCell ref="EJ740:EN740"/>
    <mergeCell ref="CU775:CY775"/>
    <mergeCell ref="EE745:EI745"/>
    <mergeCell ref="EO745:ES745"/>
    <mergeCell ref="DU749:DY749"/>
    <mergeCell ref="DZ749:ED749"/>
    <mergeCell ref="CP753:CT753"/>
    <mergeCell ref="DE739:DI739"/>
    <mergeCell ref="DJ737:DN737"/>
    <mergeCell ref="DU745:DY745"/>
    <mergeCell ref="DZ745:ED745"/>
    <mergeCell ref="DJ747:DN747"/>
    <mergeCell ref="DO747:DS747"/>
    <mergeCell ref="DE741:DI741"/>
    <mergeCell ref="DE776:DI776"/>
    <mergeCell ref="EE739:EI739"/>
    <mergeCell ref="DO753:DS753"/>
    <mergeCell ref="DO773:DS773"/>
    <mergeCell ref="DJ751:DN751"/>
    <mergeCell ref="CP775:CT775"/>
    <mergeCell ref="CP776:CT776"/>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EZ753:FD753"/>
    <mergeCell ref="FE753:FI753"/>
    <mergeCell ref="EJ735:EN735"/>
    <mergeCell ref="EO735:ES735"/>
    <mergeCell ref="DZ735:ED735"/>
    <mergeCell ref="FJ740:FN740"/>
    <mergeCell ref="ET737:EX737"/>
    <mergeCell ref="EJ753:EN753"/>
    <mergeCell ref="DO740:DS740"/>
    <mergeCell ref="DJ740:DN740"/>
    <mergeCell ref="DO754:DS754"/>
    <mergeCell ref="DO751:DS751"/>
    <mergeCell ref="DO752:DS752"/>
    <mergeCell ref="EE752:EI752"/>
    <mergeCell ref="DU735:DY735"/>
    <mergeCell ref="DO737:DS737"/>
    <mergeCell ref="DO738:DS738"/>
    <mergeCell ref="DU736:DY736"/>
    <mergeCell ref="EZ739:FD739"/>
    <mergeCell ref="FE739:FI739"/>
    <mergeCell ref="FJ739:FN739"/>
    <mergeCell ref="ET752:EX752"/>
    <mergeCell ref="EO751:ES751"/>
    <mergeCell ref="ET743:EX743"/>
    <mergeCell ref="DU744:DY744"/>
    <mergeCell ref="DZ744:ED744"/>
    <mergeCell ref="DJ735:DN735"/>
    <mergeCell ref="FJ742:FN742"/>
    <mergeCell ref="DZ737:ED737"/>
    <mergeCell ref="EE753:EI753"/>
    <mergeCell ref="EO753:ES753"/>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W661:FA661"/>
    <mergeCell ref="EM662:EQ662"/>
    <mergeCell ref="ER662:EV662"/>
    <mergeCell ref="DU727:DY727"/>
    <mergeCell ref="EE726:EI726"/>
    <mergeCell ref="EJ726:EN726"/>
    <mergeCell ref="DO720:DS720"/>
    <mergeCell ref="DJ738:DN738"/>
    <mergeCell ref="EO737:ES737"/>
    <mergeCell ref="DU737:DY737"/>
    <mergeCell ref="CP738:CT738"/>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ET731:EX731"/>
    <mergeCell ref="EJ727:EN727"/>
    <mergeCell ref="EM670:EQ670"/>
    <mergeCell ref="EW660:FA660"/>
    <mergeCell ref="DX661:EB661"/>
    <mergeCell ref="DX645:EB645"/>
    <mergeCell ref="EW641:FA641"/>
    <mergeCell ref="EW647:FA647"/>
    <mergeCell ref="EW650:FA650"/>
    <mergeCell ref="EW648:FA648"/>
    <mergeCell ref="EW651:FA651"/>
    <mergeCell ref="EW649:FA649"/>
    <mergeCell ref="EZ720:FD720"/>
    <mergeCell ref="FE720:FI720"/>
    <mergeCell ref="FJ720:FN720"/>
    <mergeCell ref="FO720:FS720"/>
    <mergeCell ref="EZ717:FD717"/>
    <mergeCell ref="FE717:FI717"/>
    <mergeCell ref="FJ717:FN717"/>
    <mergeCell ref="FO717:FS717"/>
    <mergeCell ref="EW670:FA670"/>
    <mergeCell ref="EW656:FA656"/>
    <mergeCell ref="DX653:EB653"/>
    <mergeCell ref="EC653:EG653"/>
    <mergeCell ref="DX654:EB654"/>
    <mergeCell ref="DX656:EB656"/>
    <mergeCell ref="EC656:EG656"/>
    <mergeCell ref="EH656:EL656"/>
    <mergeCell ref="EM656:EQ656"/>
    <mergeCell ref="EW669:FA669"/>
    <mergeCell ref="EH653:EL653"/>
    <mergeCell ref="EM653:EQ653"/>
    <mergeCell ref="ER653:EV653"/>
    <mergeCell ref="EW655:FA655"/>
    <mergeCell ref="EH664:EL664"/>
    <mergeCell ref="EO719:ES719"/>
    <mergeCell ref="ET719:EX719"/>
    <mergeCell ref="DZ717:ED717"/>
    <mergeCell ref="EM660:EQ66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X643:EB643"/>
    <mergeCell ref="DX640:EB640"/>
    <mergeCell ref="EC642:EG642"/>
    <mergeCell ref="EH642:EL642"/>
    <mergeCell ref="EM642:EQ642"/>
    <mergeCell ref="ER642:EV642"/>
    <mergeCell ref="DX641:EB641"/>
    <mergeCell ref="EC644:EG644"/>
    <mergeCell ref="EH644:EL644"/>
    <mergeCell ref="DU718:DY718"/>
    <mergeCell ref="DU721:DY721"/>
    <mergeCell ref="EE721:EI721"/>
    <mergeCell ref="EJ721:EN721"/>
    <mergeCell ref="DZ721:ED721"/>
    <mergeCell ref="DZ722:ED722"/>
    <mergeCell ref="DU717:DY717"/>
    <mergeCell ref="DU719:DY719"/>
    <mergeCell ref="EE717:EI717"/>
    <mergeCell ref="DU730:DY730"/>
    <mergeCell ref="DZ729:ED729"/>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Z732:ED732"/>
    <mergeCell ref="EE732:EI732"/>
    <mergeCell ref="EJ732:EN732"/>
    <mergeCell ref="EE737:EI737"/>
    <mergeCell ref="EJ737:EN737"/>
    <mergeCell ref="EO729:ES729"/>
    <mergeCell ref="EO732:ES732"/>
    <mergeCell ref="ET729:EX729"/>
    <mergeCell ref="ET736:EX736"/>
    <mergeCell ref="EE735:EI735"/>
    <mergeCell ref="EJ734:EN734"/>
    <mergeCell ref="EE733:EI733"/>
    <mergeCell ref="ET732:EX732"/>
    <mergeCell ref="EE728:EI728"/>
    <mergeCell ref="EJ728:EN728"/>
    <mergeCell ref="EO727:ES727"/>
    <mergeCell ref="EJ733:EN733"/>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DX664:EB664"/>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FE751:FI751"/>
    <mergeCell ref="FJ751:FN751"/>
    <mergeCell ref="FO751:FS751"/>
    <mergeCell ref="FT740:FX740"/>
    <mergeCell ref="FT733:FX733"/>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Y723:GC723"/>
    <mergeCell ref="EZ724:FD724"/>
    <mergeCell ref="FT724:FX724"/>
    <mergeCell ref="FY724:GC724"/>
    <mergeCell ref="FJ724:FN724"/>
    <mergeCell ref="FO724:FS724"/>
    <mergeCell ref="FJ721:FN721"/>
    <mergeCell ref="FO721:FS721"/>
    <mergeCell ref="FY728:GC728"/>
    <mergeCell ref="EZ729:FD729"/>
    <mergeCell ref="FE729:FI729"/>
    <mergeCell ref="FJ729:FN729"/>
    <mergeCell ref="FO729:FS729"/>
    <mergeCell ref="FT729:FX729"/>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FY720:GC720"/>
    <mergeCell ref="FO723:FS723"/>
    <mergeCell ref="FT723:FX723"/>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975:L975"/>
    <mergeCell ref="M975:S975"/>
    <mergeCell ref="D985:Q985"/>
    <mergeCell ref="D986:Q986"/>
    <mergeCell ref="AB985:AI985"/>
    <mergeCell ref="AB986:AI986"/>
    <mergeCell ref="AB987:AI987"/>
    <mergeCell ref="D987:Q987"/>
    <mergeCell ref="R989:AA989"/>
    <mergeCell ref="AJ989:AQ989"/>
    <mergeCell ref="AF1023:AI1024"/>
    <mergeCell ref="J1024:AE1024"/>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G667:R667"/>
    <mergeCell ref="AC731:AG731"/>
    <mergeCell ref="B641:AN641"/>
    <mergeCell ref="G643:R643"/>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O731:S731"/>
    <mergeCell ref="W629:Y629"/>
    <mergeCell ref="M630:P630"/>
    <mergeCell ref="D1029:AE1029"/>
    <mergeCell ref="B991:AA991"/>
    <mergeCell ref="D994:AE994"/>
    <mergeCell ref="D1000:AE1000"/>
    <mergeCell ref="T718:W718"/>
    <mergeCell ref="B739:F739"/>
    <mergeCell ref="K735:N735"/>
    <mergeCell ref="K736:N736"/>
    <mergeCell ref="G736:J736"/>
    <mergeCell ref="AH752:AJ752"/>
    <mergeCell ref="AH751:AJ751"/>
    <mergeCell ref="G753:J753"/>
    <mergeCell ref="K743:N743"/>
    <mergeCell ref="O743:S743"/>
    <mergeCell ref="T743:W743"/>
    <mergeCell ref="K744:N744"/>
    <mergeCell ref="O744:S744"/>
    <mergeCell ref="K728:N728"/>
    <mergeCell ref="K746:N746"/>
    <mergeCell ref="T751:W751"/>
    <mergeCell ref="K748:N748"/>
    <mergeCell ref="K721:N721"/>
    <mergeCell ref="O721:S721"/>
    <mergeCell ref="K722:N722"/>
    <mergeCell ref="K723:N723"/>
    <mergeCell ref="T723:W723"/>
    <mergeCell ref="T737:W737"/>
    <mergeCell ref="X739:AB739"/>
    <mergeCell ref="G740:J740"/>
    <mergeCell ref="T733:W733"/>
    <mergeCell ref="O734:S734"/>
    <mergeCell ref="K739:N739"/>
    <mergeCell ref="AC734:AG734"/>
    <mergeCell ref="AC735:AG735"/>
    <mergeCell ref="T747:W747"/>
    <mergeCell ref="AC748:AG748"/>
    <mergeCell ref="K725:N725"/>
    <mergeCell ref="Q823:T824"/>
    <mergeCell ref="Z809:AE809"/>
    <mergeCell ref="O791:S791"/>
    <mergeCell ref="J783:N786"/>
    <mergeCell ref="T790:W790"/>
    <mergeCell ref="T793:W793"/>
    <mergeCell ref="O775:S775"/>
    <mergeCell ref="J792:N792"/>
    <mergeCell ref="Z806:AE806"/>
    <mergeCell ref="X791:AB791"/>
    <mergeCell ref="J788:N788"/>
    <mergeCell ref="B751:F751"/>
    <mergeCell ref="T744:W744"/>
    <mergeCell ref="O740:S740"/>
    <mergeCell ref="T741:W741"/>
    <mergeCell ref="AC796:AG796"/>
    <mergeCell ref="AC788:AG788"/>
    <mergeCell ref="O776:S776"/>
    <mergeCell ref="O769:S772"/>
    <mergeCell ref="B754:AH755"/>
    <mergeCell ref="X774:AB774"/>
    <mergeCell ref="T773:W773"/>
    <mergeCell ref="AC747:AG747"/>
    <mergeCell ref="J773:N773"/>
    <mergeCell ref="O773:S773"/>
    <mergeCell ref="T752:W752"/>
    <mergeCell ref="J776:N776"/>
    <mergeCell ref="B753:F753"/>
    <mergeCell ref="O752:S752"/>
    <mergeCell ref="K745:N745"/>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6:S746"/>
    <mergeCell ref="T746:W746"/>
    <mergeCell ref="K747:N747"/>
    <mergeCell ref="AH750:AJ750"/>
    <mergeCell ref="AK750:AO750"/>
    <mergeCell ref="B752:F752"/>
    <mergeCell ref="O750:S750"/>
    <mergeCell ref="AK747:AO747"/>
    <mergeCell ref="U823:X824"/>
    <mergeCell ref="G739:J739"/>
    <mergeCell ref="X741:AB741"/>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D1125:AK1127"/>
    <mergeCell ref="X726:AB726"/>
    <mergeCell ref="AH723:AJ723"/>
    <mergeCell ref="A1097:B1097"/>
    <mergeCell ref="AE960:AK960"/>
    <mergeCell ref="AE961:AK961"/>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AB957:AK957"/>
    <mergeCell ref="AA970:AG970"/>
    <mergeCell ref="M970:S970"/>
    <mergeCell ref="AA971:AG971"/>
    <mergeCell ref="AA948:AF948"/>
    <mergeCell ref="M967:S967"/>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I949:T949"/>
    <mergeCell ref="U938:Z938"/>
    <mergeCell ref="M955:S955"/>
    <mergeCell ref="U928:Z928"/>
    <mergeCell ref="U948:Z948"/>
    <mergeCell ref="U935:Z935"/>
    <mergeCell ref="AA923:AF923"/>
    <mergeCell ref="AB917:AE917"/>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ET727:EX727"/>
    <mergeCell ref="DZ727:ED727"/>
    <mergeCell ref="EE727:EI727"/>
    <mergeCell ref="EE723:EI723"/>
    <mergeCell ref="EJ723:EN723"/>
    <mergeCell ref="EO725:ES725"/>
    <mergeCell ref="EJ724:EN724"/>
    <mergeCell ref="EO723:ES723"/>
    <mergeCell ref="DZ734:ED734"/>
    <mergeCell ref="DU726:DY726"/>
    <mergeCell ref="EO721:ES721"/>
    <mergeCell ref="DZ731:ED731"/>
    <mergeCell ref="DU732:DY732"/>
    <mergeCell ref="DU722:DY722"/>
    <mergeCell ref="DU733:DY733"/>
    <mergeCell ref="DU734:DY734"/>
    <mergeCell ref="ET753:EX753"/>
    <mergeCell ref="DZ728:ED728"/>
    <mergeCell ref="EE722:EI722"/>
    <mergeCell ref="EE744:EI744"/>
    <mergeCell ref="EJ744:EN744"/>
    <mergeCell ref="EO744:ES744"/>
    <mergeCell ref="ET744:EX744"/>
    <mergeCell ref="EE751:EI751"/>
    <mergeCell ref="DU751:DY751"/>
    <mergeCell ref="DZ751:ED751"/>
    <mergeCell ref="DU752:DY752"/>
    <mergeCell ref="DZ752:ED752"/>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EO728:ES728"/>
    <mergeCell ref="ET728:EX728"/>
    <mergeCell ref="T727:W727"/>
    <mergeCell ref="EO720:ES720"/>
    <mergeCell ref="DZ726:ED726"/>
    <mergeCell ref="DU728:DY728"/>
    <mergeCell ref="ET721:EX721"/>
    <mergeCell ref="DE720:DI720"/>
    <mergeCell ref="DE724:DI724"/>
    <mergeCell ref="DO730:DS730"/>
    <mergeCell ref="EJ725:EN725"/>
    <mergeCell ref="DX652:EB652"/>
    <mergeCell ref="EC652:EG652"/>
    <mergeCell ref="AA664:AK664"/>
    <mergeCell ref="AK631:AN631"/>
    <mergeCell ref="AK632:AN632"/>
    <mergeCell ref="CP719:CT719"/>
    <mergeCell ref="AA648:AK648"/>
    <mergeCell ref="AK637:AN637"/>
    <mergeCell ref="CP723:CT723"/>
    <mergeCell ref="AI655:AK655"/>
    <mergeCell ref="AC637:AE637"/>
    <mergeCell ref="CZ717:DD717"/>
    <mergeCell ref="CI722:CJ722"/>
    <mergeCell ref="CG721:CH721"/>
    <mergeCell ref="DJ724:DN724"/>
    <mergeCell ref="CZ721:DD721"/>
    <mergeCell ref="AG681:AH681"/>
    <mergeCell ref="AI687:AK687"/>
    <mergeCell ref="CK720:CL720"/>
    <mergeCell ref="DX666:EB666"/>
    <mergeCell ref="EC666:EG666"/>
    <mergeCell ref="DX665:EB665"/>
    <mergeCell ref="DE718:DI718"/>
    <mergeCell ref="EE720:EI720"/>
    <mergeCell ref="EC664:EG664"/>
    <mergeCell ref="EH652:EL652"/>
    <mergeCell ref="EE724:EI724"/>
    <mergeCell ref="Z670:AK670"/>
    <mergeCell ref="DX668:EB668"/>
    <mergeCell ref="EC668:EG668"/>
    <mergeCell ref="DO718:DS718"/>
    <mergeCell ref="DO719:DS719"/>
    <mergeCell ref="DO731:DS731"/>
    <mergeCell ref="DJ728:DN728"/>
    <mergeCell ref="AC719:AG719"/>
    <mergeCell ref="Z653:AK653"/>
    <mergeCell ref="DO729:DS729"/>
    <mergeCell ref="AF633:AJ633"/>
    <mergeCell ref="DJ731:DN731"/>
    <mergeCell ref="DJ729:DN729"/>
    <mergeCell ref="DE719:DI719"/>
    <mergeCell ref="CZ720:DD720"/>
    <mergeCell ref="G595:R595"/>
    <mergeCell ref="G596:R596"/>
    <mergeCell ref="H614:R614"/>
    <mergeCell ref="G613:L613"/>
    <mergeCell ref="DO728:DS728"/>
    <mergeCell ref="DO722:DS722"/>
    <mergeCell ref="DO723:DS723"/>
    <mergeCell ref="DO724:DS724"/>
    <mergeCell ref="DJ721:DN721"/>
    <mergeCell ref="DO726:DS726"/>
    <mergeCell ref="Q638:S638"/>
    <mergeCell ref="H648:R648"/>
    <mergeCell ref="M634:P634"/>
    <mergeCell ref="Z661:AK661"/>
    <mergeCell ref="Q634:S634"/>
    <mergeCell ref="AK636:AN636"/>
    <mergeCell ref="C637:L637"/>
    <mergeCell ref="M631:P631"/>
    <mergeCell ref="M632:P632"/>
    <mergeCell ref="AO624:AS626"/>
    <mergeCell ref="DO717:DS717"/>
    <mergeCell ref="Z679:AE679"/>
    <mergeCell ref="EJ718:EN718"/>
    <mergeCell ref="DJ718:DN718"/>
    <mergeCell ref="CZ719:DD719"/>
    <mergeCell ref="EM636:EQ636"/>
    <mergeCell ref="AI671:AK671"/>
    <mergeCell ref="AK627:AN627"/>
    <mergeCell ref="AF632:AJ632"/>
    <mergeCell ref="AC631:AE631"/>
    <mergeCell ref="DJ723:DN723"/>
    <mergeCell ref="AG591:AH591"/>
    <mergeCell ref="Z632:AB632"/>
    <mergeCell ref="Z611:AK611"/>
    <mergeCell ref="AC632:AE632"/>
    <mergeCell ref="AG599:AH599"/>
    <mergeCell ref="AM564:AS564"/>
    <mergeCell ref="AA573:AK573"/>
    <mergeCell ref="AC633:AE633"/>
    <mergeCell ref="B639:AN639"/>
    <mergeCell ref="B640:AN640"/>
    <mergeCell ref="G645:R645"/>
    <mergeCell ref="AI663:AK663"/>
    <mergeCell ref="G659:R659"/>
    <mergeCell ref="G675:R675"/>
    <mergeCell ref="Z667:AK667"/>
    <mergeCell ref="G601:R601"/>
    <mergeCell ref="P671:R671"/>
    <mergeCell ref="G581:L581"/>
    <mergeCell ref="Z604:AK604"/>
    <mergeCell ref="Z585:AK585"/>
    <mergeCell ref="G579:R579"/>
    <mergeCell ref="G594:R594"/>
    <mergeCell ref="G587:R587"/>
    <mergeCell ref="T633:V633"/>
    <mergeCell ref="AC638:AE638"/>
    <mergeCell ref="Z627:AB627"/>
    <mergeCell ref="Z595:AK595"/>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Z631:AB631"/>
    <mergeCell ref="AF624:AJ626"/>
    <mergeCell ref="AA606:AK606"/>
    <mergeCell ref="AM565:AS565"/>
    <mergeCell ref="Z677:AK677"/>
    <mergeCell ref="CP718:CT718"/>
    <mergeCell ref="CI718:CJ718"/>
    <mergeCell ref="Z663:AE663"/>
    <mergeCell ref="Z643:AK643"/>
    <mergeCell ref="W634:Y634"/>
    <mergeCell ref="AF638:AJ638"/>
    <mergeCell ref="AH719:AJ719"/>
    <mergeCell ref="P605:R605"/>
    <mergeCell ref="C628:L628"/>
    <mergeCell ref="W633:Y633"/>
    <mergeCell ref="Z630:AB630"/>
    <mergeCell ref="Z603:AK603"/>
    <mergeCell ref="T630:V630"/>
    <mergeCell ref="T631:V631"/>
    <mergeCell ref="AC628:AE628"/>
    <mergeCell ref="C629:L629"/>
    <mergeCell ref="T629:V629"/>
    <mergeCell ref="AO631:AS631"/>
    <mergeCell ref="CI717:CJ717"/>
    <mergeCell ref="AA680:AK680"/>
    <mergeCell ref="AH718:AJ718"/>
    <mergeCell ref="Q632:S632"/>
    <mergeCell ref="Q630:S630"/>
    <mergeCell ref="AO628:AS628"/>
    <mergeCell ref="Q624:S626"/>
    <mergeCell ref="Z605:AE605"/>
    <mergeCell ref="Z609:AK609"/>
    <mergeCell ref="P655:R655"/>
    <mergeCell ref="AK624:AN626"/>
    <mergeCell ref="AF628:AJ628"/>
    <mergeCell ref="C630:L630"/>
    <mergeCell ref="C631:L631"/>
    <mergeCell ref="G662:R662"/>
    <mergeCell ref="G604:R604"/>
    <mergeCell ref="Z676:AK676"/>
    <mergeCell ref="W700:AK700"/>
    <mergeCell ref="Z683:AK683"/>
    <mergeCell ref="AA688:AK688"/>
    <mergeCell ref="G684:R684"/>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AH509:AK509"/>
    <mergeCell ref="AM561:AS561"/>
    <mergeCell ref="AM559:AS559"/>
    <mergeCell ref="Z687:AE687"/>
    <mergeCell ref="AM562:AS562"/>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G589:L589"/>
    <mergeCell ref="G569:R569"/>
    <mergeCell ref="H582:R582"/>
    <mergeCell ref="Z579:AK579"/>
    <mergeCell ref="P589:R589"/>
    <mergeCell ref="Z588:AK588"/>
    <mergeCell ref="G578:R578"/>
    <mergeCell ref="AE563:AH563"/>
    <mergeCell ref="N583:O583"/>
    <mergeCell ref="G568:R568"/>
    <mergeCell ref="M574:R574"/>
    <mergeCell ref="W563:Y563"/>
    <mergeCell ref="G572:L572"/>
    <mergeCell ref="Z581:AE581"/>
    <mergeCell ref="C632:L632"/>
    <mergeCell ref="AK630:AN630"/>
    <mergeCell ref="G679:L679"/>
    <mergeCell ref="Z662:AK662"/>
    <mergeCell ref="G651:R651"/>
    <mergeCell ref="G652:R652"/>
    <mergeCell ref="G610:R610"/>
    <mergeCell ref="A617:AT618"/>
    <mergeCell ref="B624:L626"/>
    <mergeCell ref="Z613:AE613"/>
    <mergeCell ref="AC629:AE629"/>
    <mergeCell ref="AO633:AS633"/>
    <mergeCell ref="M627:P627"/>
    <mergeCell ref="M629:P629"/>
    <mergeCell ref="W624:Y626"/>
    <mergeCell ref="W628:Y628"/>
    <mergeCell ref="P663:R663"/>
    <mergeCell ref="AO640:AS640"/>
    <mergeCell ref="W636:Y636"/>
    <mergeCell ref="M636:P636"/>
    <mergeCell ref="T635:V635"/>
    <mergeCell ref="T636:V636"/>
    <mergeCell ref="T637:V637"/>
    <mergeCell ref="AO632:AS632"/>
    <mergeCell ref="Z635:AB635"/>
    <mergeCell ref="N615:O615"/>
    <mergeCell ref="G644:R644"/>
    <mergeCell ref="N657:O657"/>
    <mergeCell ref="Z660:AK660"/>
    <mergeCell ref="G663:L663"/>
    <mergeCell ref="N649:O649"/>
    <mergeCell ref="Z668:AK66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H501:AK501"/>
    <mergeCell ref="G474:V474"/>
    <mergeCell ref="AH526:AK526"/>
    <mergeCell ref="M561:P561"/>
    <mergeCell ref="Z577:AK577"/>
    <mergeCell ref="AF574:AK574"/>
    <mergeCell ref="P418:R418"/>
    <mergeCell ref="Q492:AK492"/>
    <mergeCell ref="G577:R577"/>
    <mergeCell ref="C561:L561"/>
    <mergeCell ref="G571:R571"/>
    <mergeCell ref="P572:R572"/>
    <mergeCell ref="DJ733:DN733"/>
    <mergeCell ref="CP732:CT732"/>
    <mergeCell ref="CM729:CN729"/>
    <mergeCell ref="CM723:CN723"/>
    <mergeCell ref="CM725:CN725"/>
    <mergeCell ref="CK730:CL730"/>
    <mergeCell ref="CP731:CT731"/>
    <mergeCell ref="CI729:CJ729"/>
    <mergeCell ref="CP729:CT729"/>
    <mergeCell ref="CU722:CY722"/>
    <mergeCell ref="CZ722:DD722"/>
    <mergeCell ref="CK736:CL736"/>
    <mergeCell ref="CG725:CH725"/>
    <mergeCell ref="DE735:DI735"/>
    <mergeCell ref="CZ723:DD723"/>
    <mergeCell ref="DE731:DI731"/>
    <mergeCell ref="CI723:CJ723"/>
    <mergeCell ref="CP728:CT728"/>
    <mergeCell ref="CU728:CY728"/>
    <mergeCell ref="DE734:DI734"/>
    <mergeCell ref="CK732:CL732"/>
    <mergeCell ref="CP722:CT722"/>
    <mergeCell ref="CI724:CJ724"/>
    <mergeCell ref="CG727:CH727"/>
    <mergeCell ref="CZ728:DD728"/>
    <mergeCell ref="CU730:CY730"/>
    <mergeCell ref="CK728:CL728"/>
    <mergeCell ref="CZ731:DD731"/>
    <mergeCell ref="CK731:CL731"/>
    <mergeCell ref="CK729:CL729"/>
    <mergeCell ref="DE722:DI722"/>
    <mergeCell ref="DJ730:DN730"/>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U727:CY727"/>
    <mergeCell ref="CK724:CL724"/>
    <mergeCell ref="DE730:DI730"/>
    <mergeCell ref="CM730:CN730"/>
    <mergeCell ref="CK727:CL727"/>
    <mergeCell ref="DE729:DI729"/>
    <mergeCell ref="DE726:DI726"/>
    <mergeCell ref="CP724:CT724"/>
    <mergeCell ref="CZ729:DD729"/>
    <mergeCell ref="CZ725:DD725"/>
    <mergeCell ref="DE728:DI728"/>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Z735:DD735"/>
    <mergeCell ref="CU734:CY734"/>
    <mergeCell ref="CP736:CT736"/>
    <mergeCell ref="CM737:CN737"/>
    <mergeCell ref="CU737:CY737"/>
    <mergeCell ref="CZ738:DD738"/>
    <mergeCell ref="CM736:CN736"/>
    <mergeCell ref="CI738:CJ738"/>
    <mergeCell ref="CP741:CT741"/>
    <mergeCell ref="CP726:CT726"/>
    <mergeCell ref="CU729:CY729"/>
    <mergeCell ref="CP733:CT733"/>
    <mergeCell ref="DE737:DI737"/>
    <mergeCell ref="CG733:CH733"/>
    <mergeCell ref="AH727:AJ727"/>
    <mergeCell ref="CM735:CN735"/>
    <mergeCell ref="CG735:CH735"/>
    <mergeCell ref="CI737:CJ737"/>
    <mergeCell ref="CZ724:DD724"/>
    <mergeCell ref="CU736:CY736"/>
    <mergeCell ref="CI728:CJ728"/>
    <mergeCell ref="CP725:CT725"/>
    <mergeCell ref="CU740:CY740"/>
    <mergeCell ref="CI739:CJ739"/>
    <mergeCell ref="CP734:CT734"/>
    <mergeCell ref="CZ733:DD733"/>
    <mergeCell ref="CZ736:DD736"/>
    <mergeCell ref="CZ732:DD732"/>
    <mergeCell ref="CZ727:DD727"/>
    <mergeCell ref="CM724:CN724"/>
    <mergeCell ref="CK737:CL737"/>
    <mergeCell ref="CK733:CL733"/>
    <mergeCell ref="CM733:CN733"/>
    <mergeCell ref="CI733:CJ733"/>
    <mergeCell ref="CP737:CT737"/>
    <mergeCell ref="CZ734:DD734"/>
    <mergeCell ref="CI735:CJ735"/>
    <mergeCell ref="CM731:CN731"/>
    <mergeCell ref="CK739:CL739"/>
    <mergeCell ref="CK725:CL725"/>
    <mergeCell ref="CP739:CT739"/>
    <mergeCell ref="CM738:CN738"/>
    <mergeCell ref="CZ730:DD730"/>
    <mergeCell ref="CK741:CL741"/>
    <mergeCell ref="CM741:CN741"/>
    <mergeCell ref="G677:R677"/>
    <mergeCell ref="CI734:CJ734"/>
    <mergeCell ref="CI719:CJ719"/>
    <mergeCell ref="CM739:CN739"/>
    <mergeCell ref="X728:AB728"/>
    <mergeCell ref="K724:N724"/>
    <mergeCell ref="CG741:CH741"/>
    <mergeCell ref="CI741:CJ741"/>
    <mergeCell ref="CG719:CH719"/>
    <mergeCell ref="AC739:AG739"/>
    <mergeCell ref="X732:AB732"/>
    <mergeCell ref="K734:N734"/>
    <mergeCell ref="AH733:AJ733"/>
    <mergeCell ref="G723:J723"/>
    <mergeCell ref="G683:R683"/>
    <mergeCell ref="N681:O681"/>
    <mergeCell ref="X719:AB719"/>
    <mergeCell ref="G686:R686"/>
    <mergeCell ref="N689:O689"/>
    <mergeCell ref="G678:R678"/>
    <mergeCell ref="P679:R679"/>
    <mergeCell ref="AH739:AJ739"/>
    <mergeCell ref="AH740:AJ740"/>
    <mergeCell ref="G687:L687"/>
    <mergeCell ref="T722:W722"/>
    <mergeCell ref="K729:N729"/>
    <mergeCell ref="CG737:CH737"/>
    <mergeCell ref="CK735:CL735"/>
    <mergeCell ref="O727:S727"/>
    <mergeCell ref="T730:W730"/>
    <mergeCell ref="AK737:AO737"/>
    <mergeCell ref="X735:AB735"/>
    <mergeCell ref="X736:AB736"/>
    <mergeCell ref="T735:W735"/>
    <mergeCell ref="T734:W734"/>
    <mergeCell ref="AC727:AG727"/>
    <mergeCell ref="AC728:AG728"/>
    <mergeCell ref="AC732:AG732"/>
    <mergeCell ref="X733:AB733"/>
    <mergeCell ref="AK730:AO730"/>
    <mergeCell ref="AC724:AG724"/>
    <mergeCell ref="AC730:AG730"/>
    <mergeCell ref="AE693:AF693"/>
    <mergeCell ref="T726:W726"/>
    <mergeCell ref="AH726:AJ726"/>
    <mergeCell ref="O718:S718"/>
    <mergeCell ref="Z678:AK678"/>
    <mergeCell ref="AK714:AO717"/>
    <mergeCell ref="AK718:AO718"/>
    <mergeCell ref="J704:X704"/>
    <mergeCell ref="H680:R680"/>
    <mergeCell ref="X720:AB720"/>
    <mergeCell ref="X725:AB725"/>
    <mergeCell ref="G728:J728"/>
    <mergeCell ref="O737:S737"/>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G660:R660"/>
    <mergeCell ref="B729:F729"/>
    <mergeCell ref="AK732:AO732"/>
    <mergeCell ref="AK733:AO733"/>
    <mergeCell ref="O735:S735"/>
    <mergeCell ref="O751:S751"/>
    <mergeCell ref="U920:Z920"/>
    <mergeCell ref="AA922:AF922"/>
    <mergeCell ref="C826:H826"/>
    <mergeCell ref="K752:N752"/>
    <mergeCell ref="J774:N774"/>
    <mergeCell ref="O756:R756"/>
    <mergeCell ref="AG756:AJ756"/>
    <mergeCell ref="O792:S792"/>
    <mergeCell ref="O747:S747"/>
    <mergeCell ref="U943:Z943"/>
    <mergeCell ref="U941:Z941"/>
    <mergeCell ref="AA943:AF943"/>
    <mergeCell ref="AC885:AH885"/>
    <mergeCell ref="W861:AC861"/>
    <mergeCell ref="C895:AB895"/>
    <mergeCell ref="K720:N720"/>
    <mergeCell ref="T714:W717"/>
    <mergeCell ref="H664:R664"/>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P945:T945"/>
    <mergeCell ref="Q832:T832"/>
    <mergeCell ref="AG830:AJ830"/>
    <mergeCell ref="U832:X832"/>
    <mergeCell ref="M832:P832"/>
    <mergeCell ref="W866:AC866"/>
    <mergeCell ref="W859:AC859"/>
    <mergeCell ref="B720:F720"/>
    <mergeCell ref="B722:F722"/>
    <mergeCell ref="AG673:AH673"/>
    <mergeCell ref="B728:F728"/>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F930:T930"/>
    <mergeCell ref="F931:T931"/>
    <mergeCell ref="U936:Z936"/>
    <mergeCell ref="AA928:AF928"/>
    <mergeCell ref="AA936:AF936"/>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W843:AC843"/>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BD904:BE904"/>
    <mergeCell ref="BD906:BF906"/>
    <mergeCell ref="BD905:BF905"/>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O795:S795"/>
    <mergeCell ref="AC791:AG791"/>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T796:W796"/>
    <mergeCell ref="AC718:AG718"/>
    <mergeCell ref="M823:P824"/>
    <mergeCell ref="Y827:AB827"/>
    <mergeCell ref="AG827:AJ827"/>
    <mergeCell ref="Z817:AE817"/>
    <mergeCell ref="G734:J734"/>
    <mergeCell ref="X740:AB740"/>
    <mergeCell ref="O729:S729"/>
    <mergeCell ref="O745:S745"/>
    <mergeCell ref="T748:W748"/>
    <mergeCell ref="X747:AB747"/>
    <mergeCell ref="B742:F742"/>
    <mergeCell ref="B743:F743"/>
    <mergeCell ref="AE702:AF702"/>
    <mergeCell ref="AK748:AO748"/>
    <mergeCell ref="X722:AB722"/>
    <mergeCell ref="Z685:AK685"/>
    <mergeCell ref="AE698:AI698"/>
    <mergeCell ref="AC714:AG717"/>
    <mergeCell ref="AK727:AO727"/>
    <mergeCell ref="AH724:AJ724"/>
    <mergeCell ref="K751:N751"/>
    <mergeCell ref="J705:O705"/>
    <mergeCell ref="B736:F736"/>
    <mergeCell ref="B733:F733"/>
    <mergeCell ref="B731:F731"/>
    <mergeCell ref="B730:F730"/>
    <mergeCell ref="O730:S730"/>
    <mergeCell ref="B725:F725"/>
    <mergeCell ref="B724:F724"/>
    <mergeCell ref="B727:F727"/>
    <mergeCell ref="X714:AB717"/>
    <mergeCell ref="AE694:AF694"/>
    <mergeCell ref="AK743:AO743"/>
    <mergeCell ref="AK744:AO744"/>
    <mergeCell ref="X743:AB743"/>
    <mergeCell ref="X744:AB744"/>
    <mergeCell ref="AH743:AJ743"/>
    <mergeCell ref="AH744:AJ744"/>
    <mergeCell ref="O719:S719"/>
    <mergeCell ref="O722:S722"/>
    <mergeCell ref="G719:J719"/>
    <mergeCell ref="P687:R68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O783:S786"/>
    <mergeCell ref="M825:P825"/>
    <mergeCell ref="T738:W738"/>
    <mergeCell ref="C825:H825"/>
    <mergeCell ref="G727:J727"/>
    <mergeCell ref="N673:O673"/>
    <mergeCell ref="AI679:AK679"/>
    <mergeCell ref="B718:F718"/>
    <mergeCell ref="G720:J720"/>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AI556:AL556"/>
    <mergeCell ref="T557:V557"/>
    <mergeCell ref="Q389:U389"/>
    <mergeCell ref="AJ357:AK357"/>
    <mergeCell ref="D444:AF444"/>
    <mergeCell ref="R411:S411"/>
    <mergeCell ref="W556:Y556"/>
    <mergeCell ref="Q556:S556"/>
    <mergeCell ref="M554:P554"/>
    <mergeCell ref="W465:Y465"/>
    <mergeCell ref="W469:Y469"/>
    <mergeCell ref="AH515:AK515"/>
    <mergeCell ref="C560:L560"/>
    <mergeCell ref="Z560:AD560"/>
    <mergeCell ref="T560:V560"/>
    <mergeCell ref="Z561:AD561"/>
    <mergeCell ref="W560:Y560"/>
    <mergeCell ref="D473:V473"/>
    <mergeCell ref="AC504:AF504"/>
    <mergeCell ref="D470:V470"/>
    <mergeCell ref="D438:AF438"/>
    <mergeCell ref="T556:V556"/>
    <mergeCell ref="W551:Y553"/>
    <mergeCell ref="T561:V561"/>
    <mergeCell ref="AE559:AH559"/>
    <mergeCell ref="AI559:AL559"/>
    <mergeCell ref="D449:AF449"/>
    <mergeCell ref="Q554:S554"/>
    <mergeCell ref="AH529:AK529"/>
    <mergeCell ref="AH534:AK534"/>
    <mergeCell ref="AC510:AF510"/>
    <mergeCell ref="AI560:AL560"/>
    <mergeCell ref="AE555:AH555"/>
    <mergeCell ref="AH518:AK518"/>
    <mergeCell ref="AH514:AK514"/>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AA333:AK333"/>
    <mergeCell ref="D469:V469"/>
    <mergeCell ref="W473:Y473"/>
    <mergeCell ref="Q394:U394"/>
    <mergeCell ref="AD412:AE412"/>
    <mergeCell ref="H414:AE415"/>
    <mergeCell ref="AE425:AF425"/>
    <mergeCell ref="AC520:AF520"/>
    <mergeCell ref="AC527:AF527"/>
    <mergeCell ref="AH521:AK521"/>
    <mergeCell ref="AC530:AF530"/>
    <mergeCell ref="O535:AA535"/>
    <mergeCell ref="AH523:AK523"/>
    <mergeCell ref="AF418:AH418"/>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H316:M316"/>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H314:R314"/>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P339:R33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AA335:AK335"/>
    <mergeCell ref="AC347:AE347"/>
    <mergeCell ref="P343:AE343"/>
    <mergeCell ref="AA340:AF340"/>
    <mergeCell ref="P344:AE344"/>
    <mergeCell ref="AA338:AK338"/>
    <mergeCell ref="P345:AE345"/>
    <mergeCell ref="R412:S412"/>
    <mergeCell ref="Q429:R429"/>
    <mergeCell ref="D448:AF448"/>
    <mergeCell ref="AG445:AJ445"/>
    <mergeCell ref="AA308:AF308"/>
    <mergeCell ref="AA331:AF331"/>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C528:AF528"/>
    <mergeCell ref="C554:L554"/>
    <mergeCell ref="D446:AF446"/>
    <mergeCell ref="D447:AF447"/>
    <mergeCell ref="W466:Y466"/>
    <mergeCell ref="W470:Y470"/>
    <mergeCell ref="D471:V471"/>
    <mergeCell ref="AJ356:AK356"/>
    <mergeCell ref="AD377:AE377"/>
    <mergeCell ref="AC371:AF371"/>
    <mergeCell ref="Q488:AK488"/>
    <mergeCell ref="AH535:AK535"/>
    <mergeCell ref="AC532:AF532"/>
    <mergeCell ref="AH505:AK505"/>
    <mergeCell ref="AC516:AF516"/>
    <mergeCell ref="AC503:AF503"/>
    <mergeCell ref="AC513:AF513"/>
    <mergeCell ref="M495:P495"/>
    <mergeCell ref="AC501:AF501"/>
    <mergeCell ref="AC517:AF517"/>
    <mergeCell ref="AC385:AJ385"/>
    <mergeCell ref="D441:AF441"/>
    <mergeCell ref="AG447:AJ447"/>
    <mergeCell ref="AC454:AF454"/>
    <mergeCell ref="P425:Q425"/>
    <mergeCell ref="I418:K418"/>
    <mergeCell ref="S413:T413"/>
    <mergeCell ref="AG393:AJ393"/>
    <mergeCell ref="AG446:AJ446"/>
    <mergeCell ref="W467:Y467"/>
    <mergeCell ref="N591:O591"/>
    <mergeCell ref="Q560:S560"/>
    <mergeCell ref="Z555:AD555"/>
    <mergeCell ref="AE554:AH554"/>
    <mergeCell ref="I421:K421"/>
    <mergeCell ref="AH524:AK524"/>
    <mergeCell ref="W561:Y561"/>
    <mergeCell ref="W562:Y562"/>
    <mergeCell ref="T559:V559"/>
    <mergeCell ref="AE556:AH556"/>
    <mergeCell ref="AC518:AF518"/>
    <mergeCell ref="AH504:AK504"/>
    <mergeCell ref="AH517:AK517"/>
    <mergeCell ref="W471:Y471"/>
    <mergeCell ref="AG438:AJ438"/>
    <mergeCell ref="B501:H502"/>
    <mergeCell ref="O523:AA523"/>
    <mergeCell ref="M558:P558"/>
    <mergeCell ref="W558:Y558"/>
    <mergeCell ref="AE558:AH558"/>
    <mergeCell ref="C557:L557"/>
    <mergeCell ref="X738:AB738"/>
    <mergeCell ref="X729:AB729"/>
    <mergeCell ref="CI750:CJ750"/>
    <mergeCell ref="CP740:CT740"/>
    <mergeCell ref="CG734:CH734"/>
    <mergeCell ref="AK634:AN634"/>
    <mergeCell ref="AK635:AN635"/>
    <mergeCell ref="Z633:AB633"/>
    <mergeCell ref="B721:F721"/>
    <mergeCell ref="G661:R661"/>
    <mergeCell ref="A709:AT711"/>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G391:AJ391"/>
    <mergeCell ref="K404:AJ404"/>
    <mergeCell ref="AC386:AJ386"/>
    <mergeCell ref="AC533:AF533"/>
    <mergeCell ref="K403:AJ403"/>
    <mergeCell ref="J387:U387"/>
    <mergeCell ref="P424:Q424"/>
    <mergeCell ref="AC521:AF521"/>
    <mergeCell ref="AH527:AK527"/>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G731:J731"/>
    <mergeCell ref="B719:F719"/>
    <mergeCell ref="G676:R676"/>
    <mergeCell ref="R705:T705"/>
    <mergeCell ref="O725:S725"/>
    <mergeCell ref="O726:S726"/>
    <mergeCell ref="CI721:CJ721"/>
    <mergeCell ref="CM720:CN720"/>
    <mergeCell ref="CP720:CT720"/>
    <mergeCell ref="CI720:CJ720"/>
    <mergeCell ref="CU720:CY720"/>
    <mergeCell ref="CU723:CY723"/>
    <mergeCell ref="CM722:CN722"/>
    <mergeCell ref="Z559:AD559"/>
    <mergeCell ref="Z562:AD562"/>
    <mergeCell ref="X746:AB746"/>
    <mergeCell ref="CG740:CH740"/>
    <mergeCell ref="CG732:CH732"/>
    <mergeCell ref="CG724:CH724"/>
    <mergeCell ref="CG730:CH730"/>
    <mergeCell ref="CG728:CH728"/>
    <mergeCell ref="X718:AB718"/>
    <mergeCell ref="AI605:AK605"/>
    <mergeCell ref="AK746:AO746"/>
    <mergeCell ref="CG738:CH738"/>
    <mergeCell ref="CG742:CH742"/>
    <mergeCell ref="CG743:CH743"/>
    <mergeCell ref="AE562:AH562"/>
    <mergeCell ref="AM566:AS566"/>
    <mergeCell ref="CG731:CH731"/>
    <mergeCell ref="AF634:AJ634"/>
    <mergeCell ref="W637:Y637"/>
    <mergeCell ref="AG657:AH657"/>
    <mergeCell ref="Z634:AB634"/>
    <mergeCell ref="T720:W720"/>
    <mergeCell ref="W564:Y564"/>
    <mergeCell ref="W565:Y565"/>
    <mergeCell ref="Z655:AE655"/>
    <mergeCell ref="Z671:AE671"/>
    <mergeCell ref="Z686:AK686"/>
    <mergeCell ref="Z675:AK675"/>
    <mergeCell ref="AM563:AS563"/>
    <mergeCell ref="AG607:AH607"/>
    <mergeCell ref="Z586:AK586"/>
    <mergeCell ref="T632:V632"/>
    <mergeCell ref="B551:L553"/>
    <mergeCell ref="AI597:AK597"/>
    <mergeCell ref="C565:L565"/>
    <mergeCell ref="Z570:AK570"/>
    <mergeCell ref="T565:V565"/>
    <mergeCell ref="AI563:AL563"/>
    <mergeCell ref="Z563:AD563"/>
    <mergeCell ref="G570:R570"/>
    <mergeCell ref="G586:R586"/>
    <mergeCell ref="AM560:AS560"/>
    <mergeCell ref="AM557:AS557"/>
    <mergeCell ref="W630:Y630"/>
    <mergeCell ref="AH745:AJ745"/>
    <mergeCell ref="AH746:AJ746"/>
    <mergeCell ref="AH747:AJ747"/>
    <mergeCell ref="AH748:AJ748"/>
    <mergeCell ref="Z659:AK659"/>
    <mergeCell ref="AM558:AS558"/>
    <mergeCell ref="T634:V634"/>
    <mergeCell ref="K714:N717"/>
    <mergeCell ref="C635:L635"/>
    <mergeCell ref="C558:L558"/>
    <mergeCell ref="G602:R602"/>
    <mergeCell ref="G609:R609"/>
    <mergeCell ref="M628:P628"/>
    <mergeCell ref="N607:O607"/>
    <mergeCell ref="G593:R593"/>
    <mergeCell ref="G605:L605"/>
    <mergeCell ref="H606:R606"/>
    <mergeCell ref="Q559:S559"/>
    <mergeCell ref="C627:L627"/>
    <mergeCell ref="P581:R581"/>
    <mergeCell ref="Q489:R490"/>
    <mergeCell ref="AC370:AF370"/>
    <mergeCell ref="AC507:AF507"/>
    <mergeCell ref="AE402:AJ402"/>
    <mergeCell ref="AH513:AK513"/>
    <mergeCell ref="AC531:AF531"/>
    <mergeCell ref="AC539:AF539"/>
    <mergeCell ref="L508:AB508"/>
    <mergeCell ref="O520:AA520"/>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AH540:AK540"/>
    <mergeCell ref="B566:AL566"/>
    <mergeCell ref="AE560:AH560"/>
    <mergeCell ref="N575:O575"/>
    <mergeCell ref="G721:J721"/>
    <mergeCell ref="G722:J722"/>
    <mergeCell ref="O532:AA532"/>
    <mergeCell ref="C556:L556"/>
    <mergeCell ref="M556:P556"/>
    <mergeCell ref="C559:L559"/>
    <mergeCell ref="AH525:AK525"/>
    <mergeCell ref="Z569:AK569"/>
    <mergeCell ref="Q565:S565"/>
    <mergeCell ref="Q561:S561"/>
    <mergeCell ref="C562:L562"/>
    <mergeCell ref="Q562:S562"/>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C515:AF515"/>
    <mergeCell ref="AC514:AF514"/>
    <mergeCell ref="AH538:AK538"/>
    <mergeCell ref="Z551:AD553"/>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CI743:CJ743"/>
    <mergeCell ref="CK743:CL743"/>
    <mergeCell ref="CK718:CL718"/>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D472:V472"/>
    <mergeCell ref="W472:Y472"/>
    <mergeCell ref="AE551:AH553"/>
    <mergeCell ref="AI551:AL553"/>
    <mergeCell ref="AH510:AK510"/>
    <mergeCell ref="AA582:AK582"/>
    <mergeCell ref="H573:R573"/>
    <mergeCell ref="DU741:DY741"/>
    <mergeCell ref="DZ741:ED741"/>
    <mergeCell ref="T742:W742"/>
    <mergeCell ref="X745:AB745"/>
    <mergeCell ref="CG739:CH739"/>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O749:DS749"/>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CZ745:DD745"/>
    <mergeCell ref="CP747:CT747"/>
    <mergeCell ref="FE742:FI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FY747:GC747"/>
    <mergeCell ref="EZ748:FD748"/>
    <mergeCell ref="ET741:EX741"/>
    <mergeCell ref="ET742:EX742"/>
    <mergeCell ref="CK742:CL742"/>
    <mergeCell ref="CZ744:DD744"/>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CZ742:DD742"/>
    <mergeCell ref="DE742:DI742"/>
    <mergeCell ref="DJ742:DN742"/>
    <mergeCell ref="DO742:DS742"/>
    <mergeCell ref="CU743:CY743"/>
    <mergeCell ref="CZ743:DD743"/>
    <mergeCell ref="DE743:DI743"/>
    <mergeCell ref="CP746:CT746"/>
    <mergeCell ref="CK748:CL748"/>
    <mergeCell ref="CM748:CN748"/>
    <mergeCell ref="CK746:CL746"/>
    <mergeCell ref="CM746:CN746"/>
    <mergeCell ref="CU746:CY746"/>
    <mergeCell ref="DU742:DY742"/>
    <mergeCell ref="DZ742:ED742"/>
    <mergeCell ref="DJ749:DN749"/>
    <mergeCell ref="FO742:FS742"/>
    <mergeCell ref="EE741:EI741"/>
    <mergeCell ref="EJ741:EN741"/>
    <mergeCell ref="EO741:ES741"/>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CU742:CY742"/>
    <mergeCell ref="CP748:CT748"/>
    <mergeCell ref="CU748:CY748"/>
    <mergeCell ref="CU744:CY744"/>
    <mergeCell ref="CI742:CJ742"/>
    <mergeCell ref="DE746:DI746"/>
    <mergeCell ref="CU751:CY751"/>
    <mergeCell ref="CI748:CJ748"/>
    <mergeCell ref="CG749:CH749"/>
    <mergeCell ref="CM743:CN743"/>
    <mergeCell ref="CK744:CL744"/>
    <mergeCell ref="CM744:CN744"/>
    <mergeCell ref="AD759:AF759"/>
    <mergeCell ref="DE773:DI773"/>
    <mergeCell ref="CZ777:DD777"/>
    <mergeCell ref="DE777:DI777"/>
    <mergeCell ref="DE775:DI775"/>
    <mergeCell ref="DE753:DI753"/>
    <mergeCell ref="DE751:DI751"/>
    <mergeCell ref="CG745:CH745"/>
    <mergeCell ref="CI745:CJ745"/>
    <mergeCell ref="CP777:CT777"/>
    <mergeCell ref="CU787:CY787"/>
    <mergeCell ref="DE749:DI749"/>
    <mergeCell ref="CZ752:DD752"/>
    <mergeCell ref="DE745:DI745"/>
    <mergeCell ref="CK752:CL752"/>
    <mergeCell ref="CG748:CH748"/>
    <mergeCell ref="CZ748:DD748"/>
    <mergeCell ref="DE748:DI748"/>
    <mergeCell ref="CZ750:DD750"/>
    <mergeCell ref="CU773:CY773"/>
    <mergeCell ref="CK751:CL751"/>
    <mergeCell ref="CI752:CJ752"/>
    <mergeCell ref="DO793:DS793"/>
    <mergeCell ref="DO794:DS794"/>
    <mergeCell ref="DO795:DS795"/>
    <mergeCell ref="DO796:DS796"/>
    <mergeCell ref="DO797:DS797"/>
    <mergeCell ref="CP797:CT797"/>
    <mergeCell ref="CZ775:DD775"/>
    <mergeCell ref="CZ776:DD776"/>
    <mergeCell ref="CP796:CT796"/>
    <mergeCell ref="CP793:CT793"/>
    <mergeCell ref="CP792:CT792"/>
    <mergeCell ref="CP791:CT791"/>
    <mergeCell ref="CP790:CT790"/>
    <mergeCell ref="CZ793:DD793"/>
    <mergeCell ref="CZ794:DD794"/>
    <mergeCell ref="CZ795:DD795"/>
    <mergeCell ref="CZ796:DD796"/>
    <mergeCell ref="CZ797:DD797"/>
    <mergeCell ref="DE787:DI787"/>
    <mergeCell ref="DE788:DI788"/>
    <mergeCell ref="CP795:CT795"/>
    <mergeCell ref="DO777:DS777"/>
    <mergeCell ref="CP773:CT773"/>
    <mergeCell ref="CU752:CY752"/>
    <mergeCell ref="DE790:DI790"/>
    <mergeCell ref="DE791:DI791"/>
    <mergeCell ref="DE792:DI792"/>
    <mergeCell ref="DE793:DI793"/>
    <mergeCell ref="DE794:DI794"/>
    <mergeCell ref="DJ752:DN752"/>
    <mergeCell ref="CI753:CJ753"/>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CU788:CY788"/>
    <mergeCell ref="CU789:CY789"/>
    <mergeCell ref="CU790:CY790"/>
    <mergeCell ref="CU791:CY791"/>
    <mergeCell ref="CU792:CY792"/>
    <mergeCell ref="CU793:CY793"/>
    <mergeCell ref="DE789:DI789"/>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CP750:CT750"/>
    <mergeCell ref="CU750:CY750"/>
    <mergeCell ref="CP751:CT751"/>
    <mergeCell ref="CM751:CN751"/>
    <mergeCell ref="CP789:CT789"/>
    <mergeCell ref="CP787:CT787"/>
    <mergeCell ref="CU794:CY794"/>
    <mergeCell ref="CU795:CY795"/>
    <mergeCell ref="CU796:CY796"/>
    <mergeCell ref="CU797:CY797"/>
    <mergeCell ref="CZ787:DD787"/>
    <mergeCell ref="CZ788:DD788"/>
    <mergeCell ref="CZ789:DD789"/>
    <mergeCell ref="CZ790:DD790"/>
    <mergeCell ref="CZ791:DD791"/>
    <mergeCell ref="CZ792:DD792"/>
    <mergeCell ref="CU776:CY776"/>
    <mergeCell ref="DJ796:DN796"/>
    <mergeCell ref="DJ797:DN797"/>
    <mergeCell ref="DO788:DS788"/>
    <mergeCell ref="DO789:DS789"/>
    <mergeCell ref="DO790:DS790"/>
    <mergeCell ref="DO791:DS791"/>
    <mergeCell ref="CM753:CN753"/>
    <mergeCell ref="CP794:CT794"/>
    <mergeCell ref="EO788:ES788"/>
    <mergeCell ref="EO789:ES789"/>
    <mergeCell ref="EO790:ES790"/>
    <mergeCell ref="EO791:ES791"/>
    <mergeCell ref="EO792:ES792"/>
    <mergeCell ref="EO793:ES793"/>
    <mergeCell ref="EO794:ES794"/>
    <mergeCell ref="EO795:ES795"/>
    <mergeCell ref="DO792:DS792"/>
    <mergeCell ref="EO797:ES797"/>
    <mergeCell ref="DZ787:ED787"/>
    <mergeCell ref="DZ788:ED788"/>
    <mergeCell ref="DZ789:ED789"/>
    <mergeCell ref="DZ790:ED790"/>
    <mergeCell ref="DZ791:ED791"/>
    <mergeCell ref="DZ792:ED792"/>
    <mergeCell ref="DZ793:ED793"/>
    <mergeCell ref="DZ794:ED794"/>
    <mergeCell ref="DZ795:ED795"/>
    <mergeCell ref="DZ796:ED796"/>
    <mergeCell ref="EJ787:EN787"/>
    <mergeCell ref="DU787:DY787"/>
    <mergeCell ref="DU788:DY788"/>
    <mergeCell ref="DU789:DY789"/>
    <mergeCell ref="DU790:DY790"/>
    <mergeCell ref="DU791:DY791"/>
    <mergeCell ref="DU792:DY792"/>
    <mergeCell ref="DU793:DY793"/>
    <mergeCell ref="DU794:DY794"/>
    <mergeCell ref="DU795:DY795"/>
    <mergeCell ref="DU796:DY796"/>
    <mergeCell ref="DO787:DS787"/>
    <mergeCell ref="H338:R338"/>
    <mergeCell ref="H336:R336"/>
    <mergeCell ref="H337:R337"/>
    <mergeCell ref="H335:R335"/>
    <mergeCell ref="H339:M339"/>
    <mergeCell ref="H341:R341"/>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95" zoomScaleNormal="100" workbookViewId="0">
      <selection activeCell="C20" sqref="C20"/>
    </sheetView>
  </sheetViews>
  <sheetFormatPr defaultColWidth="0" defaultRowHeight="12" zeroHeight="1"/>
  <cols>
    <col min="1" max="1" width="35.5703125" style="187" customWidth="1"/>
    <col min="2" max="12" width="12.140625" style="158" customWidth="1"/>
    <col min="13" max="17" width="11.42578125" style="158" customWidth="1"/>
    <col min="18" max="18" width="12.5703125" style="158" customWidth="1"/>
    <col min="19" max="20" width="12.140625" style="158" customWidth="1"/>
    <col min="21" max="21" width="0.42578125" style="161" customWidth="1"/>
    <col min="22" max="16383" width="8.85546875" style="158" hidden="1"/>
    <col min="16384" max="16384" width="0.140625" style="158" customWidth="1"/>
  </cols>
  <sheetData>
    <row r="1" spans="1:21" s="110" customFormat="1" ht="13.5">
      <c r="A1" s="168" t="s">
        <v>550</v>
      </c>
      <c r="B1" s="125"/>
      <c r="C1" s="125"/>
      <c r="D1" s="125"/>
      <c r="E1" s="126"/>
      <c r="F1" s="1868" t="s">
        <v>622</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374</v>
      </c>
      <c r="D2" s="138" t="s">
        <v>373</v>
      </c>
      <c r="E2" s="138" t="s">
        <v>24</v>
      </c>
      <c r="F2" s="139" t="str">
        <f>Application!B627&amp;Application!C627</f>
        <v>1)R4 Capital Permanent Loan</v>
      </c>
      <c r="G2" s="139" t="str">
        <f>Application!B628&amp;Application!C628</f>
        <v>2)HCD Infill Insfrastructure Grant</v>
      </c>
      <c r="H2" s="139" t="str">
        <f>Application!B629&amp;Application!C629</f>
        <v>3)Deferred Developer Fee</v>
      </c>
      <c r="I2" s="139" t="str">
        <f>Application!B630&amp;Application!C630</f>
        <v>4)Seller Note</v>
      </c>
      <c r="J2" s="139" t="str">
        <f>Application!B631&amp;Application!C631</f>
        <v>5)GP Equity - Hiler I AGP LLC</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145425</v>
      </c>
      <c r="C5" s="147">
        <v>145425</v>
      </c>
      <c r="D5" s="147"/>
      <c r="E5" s="147">
        <f>C5</f>
        <v>145425</v>
      </c>
      <c r="F5" s="147"/>
      <c r="G5" s="147"/>
      <c r="H5" s="147"/>
      <c r="I5" s="147"/>
      <c r="J5" s="147"/>
      <c r="K5" s="147"/>
      <c r="L5" s="147"/>
      <c r="M5" s="147"/>
      <c r="N5" s="147"/>
      <c r="O5" s="147"/>
      <c r="P5" s="147"/>
      <c r="Q5" s="147"/>
      <c r="R5" s="516">
        <f>SUM(E5:Q5)</f>
        <v>145425</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145425</v>
      </c>
      <c r="C8" s="146">
        <f t="shared" ref="C8:Q8" si="0">SUM(C4:C7)</f>
        <v>145425</v>
      </c>
      <c r="D8" s="146">
        <f t="shared" si="0"/>
        <v>0</v>
      </c>
      <c r="E8" s="146">
        <f t="shared" si="0"/>
        <v>145425</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145425</v>
      </c>
      <c r="S8" s="148"/>
      <c r="T8" s="148"/>
      <c r="U8" s="143"/>
    </row>
    <row r="9" spans="1:21" s="144" customFormat="1">
      <c r="A9" s="145" t="s">
        <v>595</v>
      </c>
      <c r="B9" s="146">
        <f>SUM(C9+D9)</f>
        <v>18610000</v>
      </c>
      <c r="C9" s="147">
        <v>18610000</v>
      </c>
      <c r="D9" s="147"/>
      <c r="E9" s="147"/>
      <c r="F9" s="147"/>
      <c r="G9" s="147"/>
      <c r="H9" s="147"/>
      <c r="I9" s="147">
        <f>C9</f>
        <v>18610000</v>
      </c>
      <c r="J9" s="147"/>
      <c r="K9" s="147"/>
      <c r="L9" s="147"/>
      <c r="M9" s="147"/>
      <c r="N9" s="147"/>
      <c r="O9" s="147"/>
      <c r="P9" s="147"/>
      <c r="Q9" s="147"/>
      <c r="R9" s="516">
        <f>SUM(E9:Q9)</f>
        <v>18610000</v>
      </c>
      <c r="S9" s="148"/>
      <c r="T9" s="147">
        <f>R9</f>
        <v>18610000</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f>R10</f>
        <v>0</v>
      </c>
      <c r="T10" s="147"/>
      <c r="U10" s="143"/>
    </row>
    <row r="11" spans="1:21" s="144" customFormat="1">
      <c r="A11" s="149" t="s">
        <v>597</v>
      </c>
      <c r="B11" s="146">
        <f>SUM(C11:D11)</f>
        <v>18610000</v>
      </c>
      <c r="C11" s="146">
        <f t="shared" ref="C11:Q11" si="1">SUM(C9:C10)</f>
        <v>18610000</v>
      </c>
      <c r="D11" s="146">
        <f t="shared" si="1"/>
        <v>0</v>
      </c>
      <c r="E11" s="146">
        <f t="shared" si="1"/>
        <v>0</v>
      </c>
      <c r="F11" s="146">
        <f t="shared" si="1"/>
        <v>0</v>
      </c>
      <c r="G11" s="146">
        <f t="shared" si="1"/>
        <v>0</v>
      </c>
      <c r="H11" s="146">
        <f t="shared" si="1"/>
        <v>0</v>
      </c>
      <c r="I11" s="146">
        <f t="shared" si="1"/>
        <v>18610000</v>
      </c>
      <c r="J11" s="146">
        <f t="shared" si="1"/>
        <v>0</v>
      </c>
      <c r="K11" s="146">
        <f t="shared" si="1"/>
        <v>0</v>
      </c>
      <c r="L11" s="146">
        <f t="shared" si="1"/>
        <v>0</v>
      </c>
      <c r="M11" s="146">
        <f t="shared" si="1"/>
        <v>0</v>
      </c>
      <c r="N11" s="146">
        <f t="shared" si="1"/>
        <v>0</v>
      </c>
      <c r="O11" s="146">
        <f t="shared" si="1"/>
        <v>0</v>
      </c>
      <c r="P11" s="146"/>
      <c r="Q11" s="146">
        <f t="shared" si="1"/>
        <v>0</v>
      </c>
      <c r="R11" s="342">
        <f>SUM(R9:R10)</f>
        <v>18610000</v>
      </c>
      <c r="S11" s="148"/>
      <c r="T11" s="150">
        <f>SUM(T9:T10)</f>
        <v>18610000</v>
      </c>
      <c r="U11" s="143"/>
    </row>
    <row r="12" spans="1:21" s="144" customFormat="1">
      <c r="A12" s="149" t="s">
        <v>84</v>
      </c>
      <c r="B12" s="146">
        <f t="shared" ref="B12:Q12" si="2">SUM(B8+B11)</f>
        <v>18755425</v>
      </c>
      <c r="C12" s="146">
        <f t="shared" si="2"/>
        <v>18755425</v>
      </c>
      <c r="D12" s="146">
        <f t="shared" si="2"/>
        <v>0</v>
      </c>
      <c r="E12" s="146">
        <f t="shared" si="2"/>
        <v>145425</v>
      </c>
      <c r="F12" s="146">
        <f t="shared" si="2"/>
        <v>0</v>
      </c>
      <c r="G12" s="146">
        <f t="shared" si="2"/>
        <v>0</v>
      </c>
      <c r="H12" s="146">
        <f t="shared" si="2"/>
        <v>0</v>
      </c>
      <c r="I12" s="146">
        <f t="shared" si="2"/>
        <v>18610000</v>
      </c>
      <c r="J12" s="146">
        <f t="shared" si="2"/>
        <v>0</v>
      </c>
      <c r="K12" s="146">
        <f t="shared" si="2"/>
        <v>0</v>
      </c>
      <c r="L12" s="146">
        <f t="shared" si="2"/>
        <v>0</v>
      </c>
      <c r="M12" s="146">
        <f t="shared" si="2"/>
        <v>0</v>
      </c>
      <c r="N12" s="146">
        <f t="shared" si="2"/>
        <v>0</v>
      </c>
      <c r="O12" s="146">
        <f t="shared" si="2"/>
        <v>0</v>
      </c>
      <c r="P12" s="146"/>
      <c r="Q12" s="146">
        <f t="shared" si="2"/>
        <v>0</v>
      </c>
      <c r="R12" s="342">
        <f>SUM(R8+R11)</f>
        <v>18755425</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f>R13</f>
        <v>0</v>
      </c>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f>R14</f>
        <v>0</v>
      </c>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f>C17</f>
        <v>0</v>
      </c>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19600000</v>
      </c>
      <c r="C18" s="147">
        <v>19600000</v>
      </c>
      <c r="D18" s="147"/>
      <c r="E18" s="147">
        <f>C18-F18-G18</f>
        <v>5893120</v>
      </c>
      <c r="F18" s="147">
        <f>ROUNDUP(F108*0.59, 0)</f>
        <v>12289700</v>
      </c>
      <c r="G18" s="147">
        <f>ROUNDUP(G108*0.59, 0)</f>
        <v>1417180</v>
      </c>
      <c r="H18" s="147"/>
      <c r="I18" s="147"/>
      <c r="J18" s="147"/>
      <c r="K18" s="147"/>
      <c r="L18" s="147"/>
      <c r="M18" s="147"/>
      <c r="N18" s="147"/>
      <c r="O18" s="147"/>
      <c r="P18" s="147"/>
      <c r="Q18" s="147"/>
      <c r="R18" s="516">
        <f>SUM(E18:Q18)</f>
        <v>19600000</v>
      </c>
      <c r="S18" s="147">
        <f t="shared" ref="S18:S37" si="4">R18</f>
        <v>19600000</v>
      </c>
      <c r="T18" s="147"/>
      <c r="U18" s="143"/>
    </row>
    <row r="19" spans="1:21" s="144" customFormat="1">
      <c r="A19" s="145" t="s">
        <v>601</v>
      </c>
      <c r="B19" s="146">
        <f t="shared" si="3"/>
        <v>1181148</v>
      </c>
      <c r="C19" s="147">
        <f>ROUND((C18+(C5*0.59))*0.06, 0)</f>
        <v>1181148</v>
      </c>
      <c r="D19" s="147"/>
      <c r="E19" s="147">
        <f>C19</f>
        <v>1181148</v>
      </c>
      <c r="F19" s="147"/>
      <c r="G19" s="147"/>
      <c r="H19" s="147"/>
      <c r="I19" s="147"/>
      <c r="J19" s="147"/>
      <c r="K19" s="147"/>
      <c r="L19" s="147"/>
      <c r="M19" s="147"/>
      <c r="N19" s="147"/>
      <c r="O19" s="147"/>
      <c r="P19" s="147"/>
      <c r="Q19" s="147"/>
      <c r="R19" s="516">
        <f>SUM(E19:Q19)</f>
        <v>1181148</v>
      </c>
      <c r="S19" s="147">
        <f t="shared" si="4"/>
        <v>1181148</v>
      </c>
      <c r="T19" s="147"/>
      <c r="U19" s="143"/>
    </row>
    <row r="20" spans="1:21" s="144" customFormat="1">
      <c r="A20" s="145" t="s">
        <v>137</v>
      </c>
      <c r="B20" s="146">
        <f t="shared" si="3"/>
        <v>393716</v>
      </c>
      <c r="C20" s="147">
        <f>ROUND((C18+(C5*0.59))*0.02, 0)</f>
        <v>393716</v>
      </c>
      <c r="D20" s="147"/>
      <c r="E20" s="147">
        <f t="shared" ref="E20:E25" si="5">C20</f>
        <v>393716</v>
      </c>
      <c r="F20" s="147"/>
      <c r="G20" s="147"/>
      <c r="H20" s="147"/>
      <c r="I20" s="147"/>
      <c r="J20" s="147"/>
      <c r="K20" s="147"/>
      <c r="L20" s="147"/>
      <c r="M20" s="147"/>
      <c r="N20" s="147"/>
      <c r="O20" s="147"/>
      <c r="P20" s="147"/>
      <c r="Q20" s="147"/>
      <c r="R20" s="516">
        <f t="shared" ref="R20:R27" si="6">SUM(E20:Q20)</f>
        <v>393716</v>
      </c>
      <c r="S20" s="147">
        <f t="shared" si="4"/>
        <v>393716</v>
      </c>
      <c r="T20" s="147"/>
      <c r="U20" s="143"/>
    </row>
    <row r="21" spans="1:21" s="144" customFormat="1">
      <c r="A21" s="145" t="s">
        <v>138</v>
      </c>
      <c r="B21" s="146">
        <f t="shared" si="3"/>
        <v>1181148</v>
      </c>
      <c r="C21" s="147">
        <f>C19</f>
        <v>1181148</v>
      </c>
      <c r="D21" s="147"/>
      <c r="E21" s="147">
        <f t="shared" si="5"/>
        <v>1181148</v>
      </c>
      <c r="F21" s="147"/>
      <c r="G21" s="147"/>
      <c r="H21" s="147"/>
      <c r="I21" s="147"/>
      <c r="J21" s="147"/>
      <c r="K21" s="147"/>
      <c r="L21" s="147"/>
      <c r="M21" s="147"/>
      <c r="N21" s="147"/>
      <c r="O21" s="147"/>
      <c r="P21" s="147"/>
      <c r="Q21" s="147"/>
      <c r="R21" s="516">
        <f t="shared" si="6"/>
        <v>1181148</v>
      </c>
      <c r="S21" s="147">
        <f t="shared" si="4"/>
        <v>1181148</v>
      </c>
      <c r="T21" s="147"/>
      <c r="U21" s="143"/>
    </row>
    <row r="22" spans="1:21" s="144" customFormat="1">
      <c r="A22" s="145" t="s">
        <v>139</v>
      </c>
      <c r="B22" s="146">
        <f t="shared" si="3"/>
        <v>18520</v>
      </c>
      <c r="C22" s="147">
        <f>ROUNDUP(31389*0.59, 0)</f>
        <v>18520</v>
      </c>
      <c r="D22" s="147"/>
      <c r="E22" s="147">
        <f t="shared" si="5"/>
        <v>18520</v>
      </c>
      <c r="F22" s="147"/>
      <c r="G22" s="147"/>
      <c r="H22" s="147"/>
      <c r="I22" s="147"/>
      <c r="J22" s="147"/>
      <c r="K22" s="147"/>
      <c r="L22" s="147"/>
      <c r="M22" s="147"/>
      <c r="N22" s="147"/>
      <c r="O22" s="147"/>
      <c r="P22" s="147"/>
      <c r="Q22" s="147"/>
      <c r="R22" s="516">
        <f t="shared" si="6"/>
        <v>18520</v>
      </c>
      <c r="S22" s="147">
        <f t="shared" si="4"/>
        <v>18520</v>
      </c>
      <c r="T22" s="147"/>
      <c r="U22" s="143"/>
    </row>
    <row r="23" spans="1:21" s="144" customFormat="1">
      <c r="A23" s="145" t="s">
        <v>140</v>
      </c>
      <c r="B23" s="146">
        <f t="shared" si="3"/>
        <v>206500</v>
      </c>
      <c r="C23" s="147">
        <f>ROUNDUP(350000*0.59, 0)</f>
        <v>206500</v>
      </c>
      <c r="D23" s="147"/>
      <c r="E23" s="147">
        <f t="shared" si="5"/>
        <v>206500</v>
      </c>
      <c r="F23" s="147"/>
      <c r="G23" s="147"/>
      <c r="H23" s="147"/>
      <c r="I23" s="147"/>
      <c r="J23" s="147"/>
      <c r="K23" s="147"/>
      <c r="L23" s="147"/>
      <c r="M23" s="147"/>
      <c r="N23" s="147"/>
      <c r="O23" s="147"/>
      <c r="P23" s="147"/>
      <c r="Q23" s="147"/>
      <c r="R23" s="516">
        <f t="shared" si="6"/>
        <v>206500</v>
      </c>
      <c r="S23" s="147">
        <f t="shared" si="4"/>
        <v>206500</v>
      </c>
      <c r="T23" s="147"/>
      <c r="U23" s="143"/>
    </row>
    <row r="24" spans="1:21" s="144" customFormat="1">
      <c r="A24" s="508" t="s">
        <v>1641</v>
      </c>
      <c r="B24" s="146">
        <f t="shared" si="3"/>
        <v>0</v>
      </c>
      <c r="C24" s="147"/>
      <c r="D24" s="147"/>
      <c r="E24" s="147">
        <f t="shared" si="5"/>
        <v>0</v>
      </c>
      <c r="F24" s="147"/>
      <c r="G24" s="147"/>
      <c r="H24" s="147"/>
      <c r="I24" s="147"/>
      <c r="J24" s="147"/>
      <c r="K24" s="147"/>
      <c r="L24" s="147"/>
      <c r="M24" s="147"/>
      <c r="N24" s="147"/>
      <c r="O24" s="147"/>
      <c r="P24" s="147"/>
      <c r="Q24" s="147"/>
      <c r="R24" s="516">
        <f t="shared" si="6"/>
        <v>0</v>
      </c>
      <c r="S24" s="147">
        <f t="shared" si="4"/>
        <v>0</v>
      </c>
      <c r="T24" s="147"/>
      <c r="U24" s="143"/>
    </row>
    <row r="25" spans="1:21" s="144" customFormat="1">
      <c r="A25" s="1149" t="s">
        <v>2761</v>
      </c>
      <c r="B25" s="146">
        <f t="shared" si="3"/>
        <v>23600</v>
      </c>
      <c r="C25" s="147">
        <f>ROUNDUP(40000*0.59, 0)</f>
        <v>23600</v>
      </c>
      <c r="D25" s="147"/>
      <c r="E25" s="147">
        <f t="shared" si="5"/>
        <v>23600</v>
      </c>
      <c r="F25" s="147"/>
      <c r="G25" s="147"/>
      <c r="H25" s="147"/>
      <c r="I25" s="147"/>
      <c r="J25" s="147"/>
      <c r="K25" s="147"/>
      <c r="L25" s="147"/>
      <c r="M25" s="147"/>
      <c r="N25" s="147"/>
      <c r="O25" s="147"/>
      <c r="P25" s="147"/>
      <c r="Q25" s="147"/>
      <c r="R25" s="516">
        <f t="shared" si="6"/>
        <v>23600</v>
      </c>
      <c r="S25" s="147">
        <f t="shared" si="4"/>
        <v>23600</v>
      </c>
      <c r="T25" s="147"/>
      <c r="U25" s="143"/>
    </row>
    <row r="26" spans="1:21" s="144" customFormat="1">
      <c r="A26" s="149" t="s">
        <v>133</v>
      </c>
      <c r="B26" s="146">
        <f t="shared" si="3"/>
        <v>22604632</v>
      </c>
      <c r="C26" s="146">
        <f>SUM(C17:C25)</f>
        <v>22604632</v>
      </c>
      <c r="D26" s="146">
        <f t="shared" ref="D26:Q26" si="7">SUM(D17:D25)</f>
        <v>0</v>
      </c>
      <c r="E26" s="146">
        <f t="shared" si="7"/>
        <v>8897752</v>
      </c>
      <c r="F26" s="146">
        <f t="shared" si="7"/>
        <v>12289700</v>
      </c>
      <c r="G26" s="146">
        <f t="shared" si="7"/>
        <v>1417180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22604632</v>
      </c>
      <c r="S26" s="150">
        <f>SUM(S17:S25)</f>
        <v>22604632</v>
      </c>
      <c r="T26" s="150">
        <f>SUM(T17:T25)</f>
        <v>0</v>
      </c>
      <c r="U26" s="143"/>
    </row>
    <row r="27" spans="1:21" s="144" customFormat="1">
      <c r="A27" s="149" t="s">
        <v>141</v>
      </c>
      <c r="B27" s="146">
        <f>SUM(C27:D27)</f>
        <v>286200</v>
      </c>
      <c r="C27" s="147">
        <f>286200</f>
        <v>286200</v>
      </c>
      <c r="D27" s="147"/>
      <c r="E27" s="147">
        <f>C27</f>
        <v>286200</v>
      </c>
      <c r="F27" s="147"/>
      <c r="G27" s="147"/>
      <c r="H27" s="147"/>
      <c r="I27" s="147"/>
      <c r="J27" s="147"/>
      <c r="K27" s="147"/>
      <c r="L27" s="147"/>
      <c r="M27" s="147"/>
      <c r="N27" s="147"/>
      <c r="O27" s="147"/>
      <c r="P27" s="147"/>
      <c r="Q27" s="147"/>
      <c r="R27" s="516">
        <f t="shared" si="6"/>
        <v>286200</v>
      </c>
      <c r="S27" s="147">
        <f>ROUNDUP(R27*0.9,0)</f>
        <v>257580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8">SUM(C29+D29)</f>
        <v>0</v>
      </c>
      <c r="C29" s="147"/>
      <c r="D29" s="147"/>
      <c r="E29" s="147">
        <f>C29</f>
        <v>0</v>
      </c>
      <c r="F29" s="147"/>
      <c r="G29" s="147"/>
      <c r="H29" s="147"/>
      <c r="I29" s="147"/>
      <c r="J29" s="147"/>
      <c r="K29" s="147"/>
      <c r="L29" s="147"/>
      <c r="M29" s="147"/>
      <c r="N29" s="147"/>
      <c r="O29" s="147"/>
      <c r="P29" s="147"/>
      <c r="Q29" s="147"/>
      <c r="R29" s="516">
        <f t="shared" ref="R29:R37" si="9">SUM(E29:Q29)</f>
        <v>0</v>
      </c>
      <c r="S29" s="147"/>
      <c r="T29" s="147"/>
      <c r="U29" s="143"/>
    </row>
    <row r="30" spans="1:21" s="144" customFormat="1">
      <c r="A30" s="145" t="s">
        <v>600</v>
      </c>
      <c r="B30" s="146">
        <f t="shared" si="8"/>
        <v>13733063</v>
      </c>
      <c r="C30" s="147">
        <f>13733063</f>
        <v>13733063</v>
      </c>
      <c r="D30" s="147"/>
      <c r="E30" s="147">
        <f>C30-F30-G30</f>
        <v>4207943</v>
      </c>
      <c r="F30" s="147">
        <f>ROUNDUP(F108*0.41,0)</f>
        <v>8540300</v>
      </c>
      <c r="G30" s="147">
        <f>2402000-G18</f>
        <v>984820</v>
      </c>
      <c r="H30" s="147"/>
      <c r="I30" s="147"/>
      <c r="J30" s="147"/>
      <c r="K30" s="147"/>
      <c r="L30" s="147"/>
      <c r="M30" s="147"/>
      <c r="N30" s="147"/>
      <c r="O30" s="147"/>
      <c r="P30" s="147"/>
      <c r="Q30" s="147"/>
      <c r="R30" s="516">
        <f t="shared" si="9"/>
        <v>13733063</v>
      </c>
      <c r="S30" s="147">
        <f t="shared" si="4"/>
        <v>13733063</v>
      </c>
      <c r="T30" s="147"/>
      <c r="U30" s="143"/>
    </row>
    <row r="31" spans="1:21" s="144" customFormat="1">
      <c r="A31" s="145" t="s">
        <v>601</v>
      </c>
      <c r="B31" s="146">
        <f t="shared" si="8"/>
        <v>827561</v>
      </c>
      <c r="C31" s="147">
        <f>ROUND((C30+(C5*0.41))*0.06, 0)</f>
        <v>827561</v>
      </c>
      <c r="D31" s="147"/>
      <c r="E31" s="147">
        <f>C31</f>
        <v>827561</v>
      </c>
      <c r="F31" s="147"/>
      <c r="G31" s="147"/>
      <c r="H31" s="147"/>
      <c r="I31" s="147"/>
      <c r="J31" s="147"/>
      <c r="K31" s="147"/>
      <c r="L31" s="147"/>
      <c r="M31" s="147"/>
      <c r="N31" s="147"/>
      <c r="O31" s="147"/>
      <c r="P31" s="147"/>
      <c r="Q31" s="147"/>
      <c r="R31" s="516">
        <f t="shared" si="9"/>
        <v>827561</v>
      </c>
      <c r="S31" s="147">
        <f t="shared" si="4"/>
        <v>827561</v>
      </c>
      <c r="T31" s="147"/>
      <c r="U31" s="143"/>
    </row>
    <row r="32" spans="1:21" s="144" customFormat="1">
      <c r="A32" s="145" t="s">
        <v>137</v>
      </c>
      <c r="B32" s="146">
        <f t="shared" si="8"/>
        <v>275854</v>
      </c>
      <c r="C32" s="147">
        <f>ROUND((C30+(C5*0.41))*0.02, 0)</f>
        <v>275854</v>
      </c>
      <c r="D32" s="147"/>
      <c r="E32" s="147">
        <f t="shared" ref="E32:E37" si="10">C32</f>
        <v>275854</v>
      </c>
      <c r="F32" s="147"/>
      <c r="G32" s="147"/>
      <c r="H32" s="147"/>
      <c r="I32" s="147"/>
      <c r="J32" s="147"/>
      <c r="K32" s="147"/>
      <c r="L32" s="147"/>
      <c r="M32" s="147"/>
      <c r="N32" s="147"/>
      <c r="O32" s="147"/>
      <c r="P32" s="147"/>
      <c r="Q32" s="147"/>
      <c r="R32" s="516">
        <f t="shared" si="9"/>
        <v>275854</v>
      </c>
      <c r="S32" s="147">
        <f t="shared" si="4"/>
        <v>275854</v>
      </c>
      <c r="T32" s="147"/>
      <c r="U32" s="143"/>
    </row>
    <row r="33" spans="1:21" s="144" customFormat="1">
      <c r="A33" s="145" t="s">
        <v>138</v>
      </c>
      <c r="B33" s="146">
        <f t="shared" si="8"/>
        <v>827561</v>
      </c>
      <c r="C33" s="147">
        <f>C31</f>
        <v>827561</v>
      </c>
      <c r="D33" s="147"/>
      <c r="E33" s="147">
        <f t="shared" si="10"/>
        <v>827561</v>
      </c>
      <c r="F33" s="147"/>
      <c r="G33" s="147"/>
      <c r="H33" s="147"/>
      <c r="I33" s="147"/>
      <c r="J33" s="147"/>
      <c r="K33" s="147"/>
      <c r="L33" s="147"/>
      <c r="M33" s="147"/>
      <c r="N33" s="147"/>
      <c r="O33" s="147"/>
      <c r="P33" s="147"/>
      <c r="Q33" s="147"/>
      <c r="R33" s="516">
        <f t="shared" si="9"/>
        <v>827561</v>
      </c>
      <c r="S33" s="147">
        <f t="shared" si="4"/>
        <v>827561</v>
      </c>
      <c r="T33" s="147"/>
      <c r="U33" s="143"/>
    </row>
    <row r="34" spans="1:21" s="144" customFormat="1">
      <c r="A34" s="145" t="s">
        <v>139</v>
      </c>
      <c r="B34" s="146">
        <f t="shared" si="8"/>
        <v>12869</v>
      </c>
      <c r="C34" s="147">
        <f>31389-C22</f>
        <v>12869</v>
      </c>
      <c r="D34" s="147"/>
      <c r="E34" s="147">
        <f t="shared" si="10"/>
        <v>12869</v>
      </c>
      <c r="F34" s="147"/>
      <c r="G34" s="147"/>
      <c r="H34" s="147"/>
      <c r="I34" s="147"/>
      <c r="J34" s="147"/>
      <c r="K34" s="147"/>
      <c r="L34" s="147"/>
      <c r="M34" s="147"/>
      <c r="N34" s="147"/>
      <c r="O34" s="147"/>
      <c r="P34" s="147"/>
      <c r="Q34" s="147"/>
      <c r="R34" s="516">
        <f t="shared" si="9"/>
        <v>12869</v>
      </c>
      <c r="S34" s="147">
        <f t="shared" si="4"/>
        <v>12869</v>
      </c>
      <c r="T34" s="147"/>
      <c r="U34" s="143"/>
    </row>
    <row r="35" spans="1:21" s="144" customFormat="1">
      <c r="A35" s="145" t="s">
        <v>140</v>
      </c>
      <c r="B35" s="146">
        <f t="shared" si="8"/>
        <v>143500</v>
      </c>
      <c r="C35" s="147">
        <f>350000-C23</f>
        <v>143500</v>
      </c>
      <c r="D35" s="147"/>
      <c r="E35" s="147">
        <f t="shared" si="10"/>
        <v>143500</v>
      </c>
      <c r="F35" s="147"/>
      <c r="G35" s="147"/>
      <c r="H35" s="147"/>
      <c r="I35" s="147"/>
      <c r="J35" s="147"/>
      <c r="K35" s="147"/>
      <c r="L35" s="147"/>
      <c r="M35" s="147"/>
      <c r="N35" s="147"/>
      <c r="O35" s="147"/>
      <c r="P35" s="147"/>
      <c r="Q35" s="147"/>
      <c r="R35" s="516">
        <f t="shared" si="9"/>
        <v>143500</v>
      </c>
      <c r="S35" s="147">
        <f t="shared" si="4"/>
        <v>143500</v>
      </c>
      <c r="T35" s="147"/>
      <c r="U35" s="143"/>
    </row>
    <row r="36" spans="1:21" s="144" customFormat="1">
      <c r="A36" s="283" t="s">
        <v>1641</v>
      </c>
      <c r="B36" s="146">
        <f t="shared" si="8"/>
        <v>0</v>
      </c>
      <c r="C36" s="147"/>
      <c r="D36" s="147"/>
      <c r="E36" s="147">
        <f t="shared" si="10"/>
        <v>0</v>
      </c>
      <c r="F36" s="147"/>
      <c r="G36" s="147"/>
      <c r="H36" s="147"/>
      <c r="I36" s="147"/>
      <c r="J36" s="147"/>
      <c r="K36" s="147"/>
      <c r="L36" s="147"/>
      <c r="M36" s="147"/>
      <c r="N36" s="147"/>
      <c r="O36" s="147"/>
      <c r="P36" s="147"/>
      <c r="Q36" s="147"/>
      <c r="R36" s="516">
        <f t="shared" si="9"/>
        <v>0</v>
      </c>
      <c r="S36" s="147">
        <f t="shared" si="4"/>
        <v>0</v>
      </c>
      <c r="T36" s="147"/>
      <c r="U36" s="143"/>
    </row>
    <row r="37" spans="1:21" s="144" customFormat="1">
      <c r="A37" s="1149" t="s">
        <v>2761</v>
      </c>
      <c r="B37" s="146">
        <f t="shared" si="8"/>
        <v>16400</v>
      </c>
      <c r="C37" s="147">
        <f>40000-C25</f>
        <v>16400</v>
      </c>
      <c r="D37" s="147"/>
      <c r="E37" s="147">
        <f t="shared" si="10"/>
        <v>16400</v>
      </c>
      <c r="F37" s="147"/>
      <c r="G37" s="147"/>
      <c r="H37" s="147"/>
      <c r="I37" s="147"/>
      <c r="J37" s="147"/>
      <c r="K37" s="147"/>
      <c r="L37" s="147"/>
      <c r="M37" s="147"/>
      <c r="N37" s="147"/>
      <c r="O37" s="147"/>
      <c r="P37" s="147"/>
      <c r="Q37" s="147"/>
      <c r="R37" s="516">
        <f t="shared" si="9"/>
        <v>16400</v>
      </c>
      <c r="S37" s="147">
        <f t="shared" si="4"/>
        <v>16400</v>
      </c>
      <c r="T37" s="147"/>
      <c r="U37" s="143"/>
    </row>
    <row r="38" spans="1:21" s="144" customFormat="1">
      <c r="A38" s="149" t="s">
        <v>143</v>
      </c>
      <c r="B38" s="146">
        <f t="shared" si="8"/>
        <v>15836808</v>
      </c>
      <c r="C38" s="146">
        <f>SUM(C29:C37)</f>
        <v>15836808</v>
      </c>
      <c r="D38" s="146">
        <f t="shared" ref="D38:Q38" si="11">SUM(D29:D37)</f>
        <v>0</v>
      </c>
      <c r="E38" s="146">
        <f t="shared" si="11"/>
        <v>6311688</v>
      </c>
      <c r="F38" s="146">
        <f t="shared" si="11"/>
        <v>8540300</v>
      </c>
      <c r="G38" s="146">
        <f t="shared" si="11"/>
        <v>984820</v>
      </c>
      <c r="H38" s="146">
        <f t="shared" si="11"/>
        <v>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42">
        <f>SUM(R29:R37)</f>
        <v>15836808</v>
      </c>
      <c r="S38" s="150">
        <f>SUM(S29:S37)</f>
        <v>15836808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850000</v>
      </c>
      <c r="C40" s="147">
        <f>800000+50000</f>
        <v>850000</v>
      </c>
      <c r="D40" s="147"/>
      <c r="E40" s="147">
        <f>C40</f>
        <v>850000</v>
      </c>
      <c r="F40" s="147"/>
      <c r="G40" s="147"/>
      <c r="H40" s="147"/>
      <c r="I40" s="147"/>
      <c r="J40" s="147"/>
      <c r="K40" s="147"/>
      <c r="L40" s="147"/>
      <c r="M40" s="147"/>
      <c r="N40" s="147"/>
      <c r="O40" s="147"/>
      <c r="P40" s="147"/>
      <c r="Q40" s="147"/>
      <c r="R40" s="516">
        <f>SUM(E40:Q40)</f>
        <v>850000</v>
      </c>
      <c r="S40" s="147">
        <f>R40</f>
        <v>850000</v>
      </c>
      <c r="T40" s="147"/>
      <c r="U40" s="143"/>
    </row>
    <row r="41" spans="1:21" s="144" customFormat="1">
      <c r="A41" s="145" t="s">
        <v>146</v>
      </c>
      <c r="B41" s="146">
        <f>SUM(C41+D41)</f>
        <v>335000</v>
      </c>
      <c r="C41" s="147">
        <f>325000+10000</f>
        <v>335000</v>
      </c>
      <c r="D41" s="147"/>
      <c r="E41" s="147">
        <f>C41</f>
        <v>335000</v>
      </c>
      <c r="F41" s="147"/>
      <c r="G41" s="147"/>
      <c r="H41" s="147"/>
      <c r="I41" s="147"/>
      <c r="J41" s="147"/>
      <c r="K41" s="147"/>
      <c r="L41" s="147"/>
      <c r="M41" s="147"/>
      <c r="N41" s="147"/>
      <c r="O41" s="147"/>
      <c r="P41" s="147"/>
      <c r="Q41" s="147"/>
      <c r="R41" s="516">
        <f>SUM(E41:Q41)</f>
        <v>335000</v>
      </c>
      <c r="S41" s="147">
        <f>R41</f>
        <v>335000</v>
      </c>
      <c r="T41" s="147"/>
      <c r="U41" s="143"/>
    </row>
    <row r="42" spans="1:21" s="144" customFormat="1">
      <c r="A42" s="149" t="s">
        <v>147</v>
      </c>
      <c r="B42" s="146">
        <f>SUM(C42:D42)</f>
        <v>1185000</v>
      </c>
      <c r="C42" s="146">
        <f>SUM(C39:C41)</f>
        <v>1185000</v>
      </c>
      <c r="D42" s="146">
        <f>SUM(D39:D41)</f>
        <v>0</v>
      </c>
      <c r="E42" s="146">
        <f t="shared" ref="E42:T42" si="12">SUM(E40:E41)</f>
        <v>1185000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1185000</v>
      </c>
      <c r="S42" s="150">
        <f t="shared" si="12"/>
        <v>1185000</v>
      </c>
      <c r="T42" s="150">
        <f t="shared" si="12"/>
        <v>0</v>
      </c>
      <c r="U42" s="143"/>
    </row>
    <row r="43" spans="1:21" s="144" customFormat="1">
      <c r="A43" s="149" t="s">
        <v>148</v>
      </c>
      <c r="B43" s="146">
        <f>SUM(C43:D43)</f>
        <v>443755</v>
      </c>
      <c r="C43" s="147">
        <f>418755+15000+10000</f>
        <v>443755</v>
      </c>
      <c r="D43" s="147"/>
      <c r="E43" s="147">
        <f>C43</f>
        <v>443755</v>
      </c>
      <c r="F43" s="147"/>
      <c r="G43" s="147"/>
      <c r="H43" s="147"/>
      <c r="I43" s="147"/>
      <c r="J43" s="147"/>
      <c r="K43" s="147"/>
      <c r="L43" s="147"/>
      <c r="M43" s="147"/>
      <c r="N43" s="147"/>
      <c r="O43" s="147"/>
      <c r="P43" s="147"/>
      <c r="Q43" s="147"/>
      <c r="R43" s="516">
        <f>SUM(E43:Q43)</f>
        <v>443755</v>
      </c>
      <c r="S43" s="147">
        <f>R43</f>
        <v>443755</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3413575</v>
      </c>
      <c r="C45" s="147">
        <f>3413575</f>
        <v>3413575</v>
      </c>
      <c r="D45" s="147"/>
      <c r="E45" s="147">
        <f>C45-SUM(F45:M45)</f>
        <v>3413575</v>
      </c>
      <c r="F45" s="147"/>
      <c r="G45" s="147"/>
      <c r="H45" s="147"/>
      <c r="I45" s="147"/>
      <c r="J45" s="147"/>
      <c r="K45" s="147">
        <f>K108</f>
        <v>0</v>
      </c>
      <c r="L45" s="147"/>
      <c r="M45" s="147"/>
      <c r="N45" s="147"/>
      <c r="O45" s="147"/>
      <c r="P45" s="147"/>
      <c r="Q45" s="147"/>
      <c r="R45" s="516">
        <f t="shared" ref="R45:R53" si="14">SUM(E45:Q45)</f>
        <v>3413575</v>
      </c>
      <c r="S45" s="147">
        <v>2051302</v>
      </c>
      <c r="T45" s="147"/>
      <c r="U45" s="143"/>
    </row>
    <row r="46" spans="1:21" s="144" customFormat="1">
      <c r="A46" s="145" t="s">
        <v>151</v>
      </c>
      <c r="B46" s="146">
        <f t="shared" si="13"/>
        <v>425000</v>
      </c>
      <c r="C46" s="147">
        <v>425000</v>
      </c>
      <c r="D46" s="147"/>
      <c r="E46" s="147">
        <f>C46</f>
        <v>425000</v>
      </c>
      <c r="F46" s="147"/>
      <c r="G46" s="147"/>
      <c r="H46" s="147"/>
      <c r="I46" s="147"/>
      <c r="J46" s="147"/>
      <c r="K46" s="147"/>
      <c r="L46" s="147"/>
      <c r="M46" s="147"/>
      <c r="N46" s="147"/>
      <c r="O46" s="147"/>
      <c r="P46" s="147"/>
      <c r="Q46" s="147"/>
      <c r="R46" s="516">
        <f t="shared" si="14"/>
        <v>425000</v>
      </c>
      <c r="S46" s="147">
        <f>R46</f>
        <v>425000</v>
      </c>
      <c r="T46" s="147"/>
      <c r="U46" s="143"/>
    </row>
    <row r="47" spans="1:21" s="144" customFormat="1">
      <c r="A47" s="186" t="s">
        <v>152</v>
      </c>
      <c r="B47" s="146">
        <f t="shared" si="13"/>
        <v>0</v>
      </c>
      <c r="C47" s="147"/>
      <c r="D47" s="147"/>
      <c r="E47" s="147">
        <f t="shared" ref="E47:E53" si="15">C47</f>
        <v>0</v>
      </c>
      <c r="F47" s="147"/>
      <c r="G47" s="147"/>
      <c r="H47" s="147"/>
      <c r="I47" s="147"/>
      <c r="J47" s="147"/>
      <c r="K47" s="147"/>
      <c r="L47" s="147"/>
      <c r="M47" s="147"/>
      <c r="N47" s="147"/>
      <c r="O47" s="147"/>
      <c r="P47" s="147"/>
      <c r="Q47" s="147"/>
      <c r="R47" s="516">
        <f t="shared" si="14"/>
        <v>0</v>
      </c>
      <c r="S47" s="147">
        <v>0</v>
      </c>
      <c r="T47" s="147"/>
      <c r="U47" s="143"/>
    </row>
    <row r="48" spans="1:21" s="144" customFormat="1">
      <c r="A48" s="145" t="s">
        <v>153</v>
      </c>
      <c r="B48" s="146">
        <f t="shared" si="13"/>
        <v>0</v>
      </c>
      <c r="C48" s="147"/>
      <c r="D48" s="147"/>
      <c r="E48" s="147">
        <f t="shared" si="15"/>
        <v>0</v>
      </c>
      <c r="F48" s="147"/>
      <c r="G48" s="147"/>
      <c r="H48" s="147"/>
      <c r="I48" s="147"/>
      <c r="J48" s="147"/>
      <c r="K48" s="147"/>
      <c r="L48" s="147"/>
      <c r="M48" s="147"/>
      <c r="N48" s="147"/>
      <c r="O48" s="147"/>
      <c r="P48" s="147"/>
      <c r="Q48" s="147"/>
      <c r="R48" s="516">
        <f t="shared" si="14"/>
        <v>0</v>
      </c>
      <c r="S48" s="147">
        <v>0</v>
      </c>
      <c r="T48" s="147"/>
      <c r="U48" s="143"/>
    </row>
    <row r="49" spans="1:21" s="144" customFormat="1">
      <c r="A49" s="145" t="s">
        <v>57</v>
      </c>
      <c r="B49" s="146">
        <f t="shared" si="13"/>
        <v>129893</v>
      </c>
      <c r="C49" s="147">
        <v>129893</v>
      </c>
      <c r="D49" s="147"/>
      <c r="E49" s="147">
        <f t="shared" si="15"/>
        <v>129893</v>
      </c>
      <c r="F49" s="147"/>
      <c r="G49" s="147"/>
      <c r="H49" s="147"/>
      <c r="I49" s="147"/>
      <c r="J49" s="147"/>
      <c r="K49" s="147"/>
      <c r="L49" s="147"/>
      <c r="M49" s="147"/>
      <c r="N49" s="147"/>
      <c r="O49" s="147"/>
      <c r="P49" s="147"/>
      <c r="Q49" s="147"/>
      <c r="R49" s="516">
        <f t="shared" si="14"/>
        <v>129893</v>
      </c>
      <c r="S49" s="147">
        <v>0</v>
      </c>
      <c r="T49" s="147"/>
      <c r="U49" s="143"/>
    </row>
    <row r="50" spans="1:21" s="144" customFormat="1">
      <c r="A50" s="145" t="s">
        <v>156</v>
      </c>
      <c r="B50" s="146">
        <f t="shared" si="13"/>
        <v>25000</v>
      </c>
      <c r="C50" s="147">
        <v>25000</v>
      </c>
      <c r="D50" s="147"/>
      <c r="E50" s="147">
        <f t="shared" si="15"/>
        <v>25000</v>
      </c>
      <c r="F50" s="147"/>
      <c r="G50" s="147"/>
      <c r="H50" s="147"/>
      <c r="I50" s="147"/>
      <c r="J50" s="147"/>
      <c r="K50" s="147"/>
      <c r="L50" s="147"/>
      <c r="M50" s="147"/>
      <c r="N50" s="147"/>
      <c r="O50" s="147"/>
      <c r="P50" s="147"/>
      <c r="Q50" s="147"/>
      <c r="R50" s="516">
        <f t="shared" si="14"/>
        <v>25000</v>
      </c>
      <c r="S50" s="147">
        <f>R50</f>
        <v>25000</v>
      </c>
      <c r="T50" s="147"/>
      <c r="U50" s="143"/>
    </row>
    <row r="51" spans="1:21" s="144" customFormat="1">
      <c r="A51" s="283" t="s">
        <v>154</v>
      </c>
      <c r="B51" s="146">
        <f t="shared" si="13"/>
        <v>0</v>
      </c>
      <c r="C51" s="147"/>
      <c r="D51" s="147"/>
      <c r="E51" s="147">
        <f t="shared" si="15"/>
        <v>0</v>
      </c>
      <c r="F51" s="147"/>
      <c r="G51" s="147"/>
      <c r="H51" s="147"/>
      <c r="I51" s="147"/>
      <c r="J51" s="147"/>
      <c r="K51" s="147"/>
      <c r="L51" s="147"/>
      <c r="M51" s="147"/>
      <c r="N51" s="147"/>
      <c r="O51" s="147"/>
      <c r="P51" s="147"/>
      <c r="Q51" s="147"/>
      <c r="R51" s="516">
        <f t="shared" si="14"/>
        <v>0</v>
      </c>
      <c r="S51" s="147">
        <v>0</v>
      </c>
      <c r="T51" s="147"/>
      <c r="U51" s="143"/>
    </row>
    <row r="52" spans="1:21" s="144" customFormat="1">
      <c r="A52" s="145" t="s">
        <v>155</v>
      </c>
      <c r="B52" s="146">
        <f t="shared" si="13"/>
        <v>0</v>
      </c>
      <c r="C52" s="147"/>
      <c r="D52" s="147"/>
      <c r="E52" s="147">
        <f t="shared" si="15"/>
        <v>0</v>
      </c>
      <c r="F52" s="147"/>
      <c r="G52" s="147"/>
      <c r="H52" s="147"/>
      <c r="I52" s="147"/>
      <c r="J52" s="147"/>
      <c r="K52" s="147"/>
      <c r="L52" s="147"/>
      <c r="M52" s="147"/>
      <c r="N52" s="147"/>
      <c r="O52" s="147"/>
      <c r="P52" s="147"/>
      <c r="Q52" s="147"/>
      <c r="R52" s="516">
        <f t="shared" si="14"/>
        <v>0</v>
      </c>
      <c r="S52" s="147">
        <v>0</v>
      </c>
      <c r="T52" s="147"/>
      <c r="U52" s="143"/>
    </row>
    <row r="53" spans="1:21" s="144" customFormat="1" ht="24">
      <c r="A53" s="1149" t="s">
        <v>2763</v>
      </c>
      <c r="B53" s="146">
        <f t="shared" si="13"/>
        <v>328720</v>
      </c>
      <c r="C53" s="147">
        <f>200000+100000+25000+3720</f>
        <v>328720</v>
      </c>
      <c r="D53" s="147"/>
      <c r="E53" s="147">
        <f t="shared" si="15"/>
        <v>328720</v>
      </c>
      <c r="F53" s="147"/>
      <c r="G53" s="147"/>
      <c r="H53" s="147"/>
      <c r="I53" s="147"/>
      <c r="J53" s="147"/>
      <c r="K53" s="147"/>
      <c r="L53" s="147"/>
      <c r="M53" s="147"/>
      <c r="N53" s="147"/>
      <c r="O53" s="147"/>
      <c r="P53" s="147"/>
      <c r="Q53" s="147"/>
      <c r="R53" s="516">
        <f t="shared" si="14"/>
        <v>328720</v>
      </c>
      <c r="S53" s="147">
        <f>120160+15020+3720</f>
        <v>138900</v>
      </c>
      <c r="T53" s="147"/>
      <c r="U53" s="143"/>
    </row>
    <row r="54" spans="1:21" s="153" customFormat="1">
      <c r="A54" s="149" t="s">
        <v>157</v>
      </c>
      <c r="B54" s="150">
        <f>SUM(C54:D54)</f>
        <v>4322188</v>
      </c>
      <c r="C54" s="150">
        <f t="shared" ref="C54:T54" si="16">SUM(C45:C53)</f>
        <v>4322188</v>
      </c>
      <c r="D54" s="150">
        <f t="shared" si="16"/>
        <v>0</v>
      </c>
      <c r="E54" s="150">
        <f t="shared" si="16"/>
        <v>4322188</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2">
        <f t="shared" si="16"/>
        <v>4322188</v>
      </c>
      <c r="S54" s="150">
        <f t="shared" si="16"/>
        <v>2640202</v>
      </c>
      <c r="T54" s="150">
        <f t="shared" si="16"/>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208300</v>
      </c>
      <c r="C56" s="147">
        <v>208300</v>
      </c>
      <c r="D56" s="147"/>
      <c r="E56" s="147">
        <f>C56</f>
        <v>208300</v>
      </c>
      <c r="F56" s="147"/>
      <c r="G56" s="147"/>
      <c r="H56" s="147"/>
      <c r="I56" s="147"/>
      <c r="J56" s="147"/>
      <c r="K56" s="147"/>
      <c r="L56" s="147"/>
      <c r="M56" s="147"/>
      <c r="N56" s="147"/>
      <c r="O56" s="147"/>
      <c r="P56" s="147"/>
      <c r="Q56" s="147"/>
      <c r="R56" s="516">
        <f t="shared" ref="R56:R61" si="18">SUM(E56:Q56)</f>
        <v>208300</v>
      </c>
      <c r="S56" s="148"/>
      <c r="T56" s="148"/>
      <c r="U56" s="143"/>
    </row>
    <row r="57" spans="1:21" s="192" customFormat="1">
      <c r="A57" s="186" t="s">
        <v>152</v>
      </c>
      <c r="B57" s="193">
        <f t="shared" si="17"/>
        <v>0</v>
      </c>
      <c r="C57" s="190"/>
      <c r="D57" s="190"/>
      <c r="E57" s="190">
        <f t="shared" ref="E57:E61" si="19">C57</f>
        <v>0</v>
      </c>
      <c r="F57" s="190"/>
      <c r="G57" s="190"/>
      <c r="H57" s="190"/>
      <c r="I57" s="190"/>
      <c r="J57" s="190"/>
      <c r="K57" s="190"/>
      <c r="L57" s="190"/>
      <c r="M57" s="190"/>
      <c r="N57" s="190"/>
      <c r="O57" s="190"/>
      <c r="P57" s="190"/>
      <c r="Q57" s="190"/>
      <c r="R57" s="516">
        <f t="shared" si="18"/>
        <v>0</v>
      </c>
      <c r="S57" s="194"/>
      <c r="T57" s="194"/>
      <c r="U57" s="191"/>
    </row>
    <row r="58" spans="1:21" s="144" customFormat="1">
      <c r="A58" s="145" t="s">
        <v>156</v>
      </c>
      <c r="B58" s="146">
        <f t="shared" si="17"/>
        <v>15000</v>
      </c>
      <c r="C58" s="147">
        <v>15000</v>
      </c>
      <c r="D58" s="147"/>
      <c r="E58" s="147">
        <f t="shared" si="19"/>
        <v>15000</v>
      </c>
      <c r="F58" s="147"/>
      <c r="G58" s="147"/>
      <c r="H58" s="147"/>
      <c r="I58" s="147"/>
      <c r="J58" s="147"/>
      <c r="K58" s="147"/>
      <c r="L58" s="147"/>
      <c r="M58" s="147"/>
      <c r="N58" s="147"/>
      <c r="O58" s="147"/>
      <c r="P58" s="147"/>
      <c r="Q58" s="147"/>
      <c r="R58" s="516">
        <f t="shared" si="18"/>
        <v>15000</v>
      </c>
      <c r="S58" s="148"/>
      <c r="T58" s="148"/>
      <c r="U58" s="143"/>
    </row>
    <row r="59" spans="1:21" s="144" customFormat="1">
      <c r="A59" s="283" t="s">
        <v>154</v>
      </c>
      <c r="B59" s="146">
        <f t="shared" si="17"/>
        <v>0</v>
      </c>
      <c r="C59" s="147"/>
      <c r="D59" s="147"/>
      <c r="E59" s="147">
        <f t="shared" si="19"/>
        <v>0</v>
      </c>
      <c r="F59" s="147"/>
      <c r="G59" s="147"/>
      <c r="H59" s="147"/>
      <c r="I59" s="147"/>
      <c r="J59" s="147"/>
      <c r="K59" s="147"/>
      <c r="L59" s="147"/>
      <c r="M59" s="147"/>
      <c r="N59" s="147"/>
      <c r="O59" s="147"/>
      <c r="P59" s="147"/>
      <c r="Q59" s="147"/>
      <c r="R59" s="516">
        <f t="shared" si="18"/>
        <v>0</v>
      </c>
      <c r="S59" s="148"/>
      <c r="T59" s="148"/>
      <c r="U59" s="143"/>
    </row>
    <row r="60" spans="1:21" s="144" customFormat="1">
      <c r="A60" s="145" t="s">
        <v>155</v>
      </c>
      <c r="B60" s="146">
        <f t="shared" si="17"/>
        <v>0</v>
      </c>
      <c r="C60" s="147"/>
      <c r="D60" s="147"/>
      <c r="E60" s="147">
        <f t="shared" si="19"/>
        <v>0</v>
      </c>
      <c r="F60" s="147"/>
      <c r="G60" s="147"/>
      <c r="H60" s="147"/>
      <c r="I60" s="147"/>
      <c r="J60" s="147"/>
      <c r="K60" s="147"/>
      <c r="L60" s="147"/>
      <c r="M60" s="147"/>
      <c r="N60" s="147"/>
      <c r="O60" s="147"/>
      <c r="P60" s="147"/>
      <c r="Q60" s="147"/>
      <c r="R60" s="516">
        <f t="shared" si="18"/>
        <v>0</v>
      </c>
      <c r="S60" s="148"/>
      <c r="T60" s="148"/>
      <c r="U60" s="143"/>
    </row>
    <row r="61" spans="1:21" s="144" customFormat="1">
      <c r="A61" s="1149" t="s">
        <v>34</v>
      </c>
      <c r="B61" s="146">
        <f t="shared" si="17"/>
        <v>0</v>
      </c>
      <c r="C61" s="147"/>
      <c r="D61" s="147"/>
      <c r="E61" s="147">
        <f t="shared" si="19"/>
        <v>0</v>
      </c>
      <c r="F61" s="147"/>
      <c r="G61" s="147"/>
      <c r="H61" s="147"/>
      <c r="I61" s="147"/>
      <c r="J61" s="147"/>
      <c r="K61" s="147"/>
      <c r="L61" s="147"/>
      <c r="M61" s="147"/>
      <c r="N61" s="147"/>
      <c r="O61" s="147"/>
      <c r="P61" s="147"/>
      <c r="Q61" s="147"/>
      <c r="R61" s="516">
        <f t="shared" si="18"/>
        <v>0</v>
      </c>
      <c r="S61" s="148"/>
      <c r="T61" s="148"/>
      <c r="U61" s="143"/>
    </row>
    <row r="62" spans="1:21" s="144" customFormat="1" ht="13.7" customHeight="1">
      <c r="A62" s="149" t="s">
        <v>301</v>
      </c>
      <c r="B62" s="146">
        <f>SUM(C62:D62)</f>
        <v>223300</v>
      </c>
      <c r="C62" s="146">
        <f t="shared" ref="C62:R62" si="20">SUM(C56:C61)</f>
        <v>223300</v>
      </c>
      <c r="D62" s="146">
        <f t="shared" si="20"/>
        <v>0</v>
      </c>
      <c r="E62" s="146">
        <f t="shared" si="20"/>
        <v>223300</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2">
        <f t="shared" si="20"/>
        <v>223300</v>
      </c>
      <c r="S62" s="148"/>
      <c r="T62" s="148"/>
      <c r="U62" s="143"/>
    </row>
    <row r="63" spans="1:21" s="144" customFormat="1">
      <c r="A63" s="154" t="s">
        <v>302</v>
      </c>
      <c r="B63" s="146">
        <f t="shared" ref="B63:R63" si="21">SUM(B8+B11+B13+B14+B15+B26+B27+B38+B42+B43+B54+B62)</f>
        <v>63657308</v>
      </c>
      <c r="C63" s="146">
        <f t="shared" si="21"/>
        <v>63657308</v>
      </c>
      <c r="D63" s="146">
        <f t="shared" si="21"/>
        <v>0</v>
      </c>
      <c r="E63" s="146">
        <f t="shared" si="21"/>
        <v>21815308</v>
      </c>
      <c r="F63" s="146">
        <f t="shared" si="21"/>
        <v>20830000</v>
      </c>
      <c r="G63" s="146">
        <f t="shared" si="21"/>
        <v>2402000</v>
      </c>
      <c r="H63" s="146">
        <f t="shared" si="21"/>
        <v>0</v>
      </c>
      <c r="I63" s="146">
        <f t="shared" si="21"/>
        <v>18610000</v>
      </c>
      <c r="J63" s="146">
        <f t="shared" si="21"/>
        <v>0</v>
      </c>
      <c r="K63" s="146">
        <f t="shared" si="21"/>
        <v>0</v>
      </c>
      <c r="L63" s="146">
        <f t="shared" si="21"/>
        <v>0</v>
      </c>
      <c r="M63" s="146">
        <f t="shared" si="21"/>
        <v>0</v>
      </c>
      <c r="N63" s="146">
        <f t="shared" si="21"/>
        <v>0</v>
      </c>
      <c r="O63" s="146">
        <f t="shared" si="21"/>
        <v>0</v>
      </c>
      <c r="P63" s="146">
        <f t="shared" si="21"/>
        <v>0</v>
      </c>
      <c r="Q63" s="146">
        <f t="shared" si="21"/>
        <v>0</v>
      </c>
      <c r="R63" s="342">
        <f t="shared" si="21"/>
        <v>63657308</v>
      </c>
      <c r="S63" s="146">
        <f>SUM(S10+S13+S14+S15+S26+S27+S38+S42+S43+S54)</f>
        <v>42967977</v>
      </c>
      <c r="T63" s="146">
        <f>SUM(T11+T13+T14+T15+T26+T27+T38+T42+T43+T54)</f>
        <v>18610000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195000</v>
      </c>
      <c r="C65" s="147">
        <f>60000+60000+75000</f>
        <v>195000</v>
      </c>
      <c r="D65" s="147"/>
      <c r="E65" s="147">
        <f>C65</f>
        <v>195000</v>
      </c>
      <c r="F65" s="147"/>
      <c r="G65" s="147"/>
      <c r="H65" s="147"/>
      <c r="I65" s="147"/>
      <c r="J65" s="147"/>
      <c r="K65" s="147"/>
      <c r="L65" s="147"/>
      <c r="M65" s="147"/>
      <c r="N65" s="147"/>
      <c r="O65" s="147"/>
      <c r="P65" s="147"/>
      <c r="Q65" s="147"/>
      <c r="R65" s="516">
        <f>SUM(E65:Q65)</f>
        <v>195000</v>
      </c>
      <c r="S65" s="147">
        <f>60000+45060</f>
        <v>105060</v>
      </c>
      <c r="T65" s="147"/>
      <c r="U65" s="143"/>
    </row>
    <row r="66" spans="1:21" s="144" customFormat="1" ht="24" customHeight="1">
      <c r="A66" s="283" t="s">
        <v>1642</v>
      </c>
      <c r="B66" s="146">
        <f>SUM(C66+D66)</f>
        <v>0</v>
      </c>
      <c r="C66" s="147"/>
      <c r="D66" s="147"/>
      <c r="E66" s="147">
        <f t="shared" ref="E66:E69" si="22">C66</f>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229131</v>
      </c>
      <c r="C67" s="147">
        <f>100000+5000+500000-C85</f>
        <v>229131</v>
      </c>
      <c r="D67" s="147"/>
      <c r="E67" s="147">
        <f t="shared" si="22"/>
        <v>229131</v>
      </c>
      <c r="F67" s="147"/>
      <c r="G67" s="147"/>
      <c r="H67" s="147"/>
      <c r="I67" s="147"/>
      <c r="J67" s="147"/>
      <c r="K67" s="147"/>
      <c r="L67" s="147"/>
      <c r="M67" s="147"/>
      <c r="N67" s="147"/>
      <c r="O67" s="147"/>
      <c r="P67" s="147"/>
      <c r="Q67" s="147"/>
      <c r="R67" s="516">
        <f>SUM(E67:Q67)</f>
        <v>229131</v>
      </c>
      <c r="S67" s="147">
        <f>R67</f>
        <v>229131</v>
      </c>
      <c r="T67" s="147"/>
      <c r="U67" s="143"/>
    </row>
    <row r="68" spans="1:21" s="144" customFormat="1" ht="12" customHeight="1">
      <c r="A68" s="283" t="s">
        <v>1649</v>
      </c>
      <c r="B68" s="146">
        <f>SUM(C68+D68)</f>
        <v>0</v>
      </c>
      <c r="C68" s="147"/>
      <c r="D68" s="147"/>
      <c r="E68" s="147">
        <f t="shared" si="22"/>
        <v>0</v>
      </c>
      <c r="F68" s="147"/>
      <c r="G68" s="147"/>
      <c r="H68" s="147"/>
      <c r="I68" s="147"/>
      <c r="J68" s="147"/>
      <c r="K68" s="147"/>
      <c r="L68" s="147"/>
      <c r="M68" s="147"/>
      <c r="N68" s="147"/>
      <c r="O68" s="147"/>
      <c r="P68" s="147"/>
      <c r="Q68" s="147"/>
      <c r="R68" s="516">
        <f>SUM(E68:Q68)</f>
        <v>0</v>
      </c>
      <c r="S68" s="147">
        <f t="shared" ref="S68" si="23">R68</f>
        <v>0</v>
      </c>
      <c r="T68" s="147"/>
      <c r="U68" s="143"/>
    </row>
    <row r="69" spans="1:21" s="144" customFormat="1" ht="24">
      <c r="A69" s="1149" t="s">
        <v>2741</v>
      </c>
      <c r="B69" s="146">
        <f>SUM(C69+D69)</f>
        <v>230000</v>
      </c>
      <c r="C69" s="147">
        <f>100000+80000+50000</f>
        <v>230000</v>
      </c>
      <c r="D69" s="147"/>
      <c r="E69" s="147">
        <f t="shared" si="22"/>
        <v>230000</v>
      </c>
      <c r="F69" s="147"/>
      <c r="G69" s="147"/>
      <c r="H69" s="147"/>
      <c r="I69" s="147"/>
      <c r="J69" s="147"/>
      <c r="K69" s="147"/>
      <c r="L69" s="147"/>
      <c r="M69" s="147"/>
      <c r="N69" s="147"/>
      <c r="O69" s="147"/>
      <c r="P69" s="147"/>
      <c r="Q69" s="147"/>
      <c r="R69" s="516">
        <f>SUM(E69:Q69)</f>
        <v>230000</v>
      </c>
      <c r="S69" s="147">
        <f>ROUND(R69*0.75,0)</f>
        <v>172500</v>
      </c>
      <c r="T69" s="147"/>
      <c r="U69" s="143"/>
    </row>
    <row r="70" spans="1:21" s="144" customFormat="1">
      <c r="A70" s="149" t="s">
        <v>1646</v>
      </c>
      <c r="B70" s="146">
        <f>SUM(C70:D70)</f>
        <v>654131</v>
      </c>
      <c r="C70" s="146">
        <f>SUM(C65:C69)</f>
        <v>654131</v>
      </c>
      <c r="D70" s="146">
        <f>SUM(D65:D69)</f>
        <v>0</v>
      </c>
      <c r="E70" s="146">
        <f t="shared" ref="E70:T70" si="24">SUM(E65:E69)</f>
        <v>654131</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42">
        <f t="shared" si="24"/>
        <v>654131</v>
      </c>
      <c r="S70" s="150">
        <f t="shared" si="24"/>
        <v>506691</v>
      </c>
      <c r="T70" s="150">
        <f t="shared" si="24"/>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0</v>
      </c>
      <c r="C75" s="147"/>
      <c r="D75" s="147"/>
      <c r="E75" s="147"/>
      <c r="F75" s="147"/>
      <c r="G75" s="147"/>
      <c r="H75" s="147"/>
      <c r="I75" s="147"/>
      <c r="J75" s="147"/>
      <c r="K75" s="147"/>
      <c r="L75" s="147"/>
      <c r="M75" s="147"/>
      <c r="N75" s="147"/>
      <c r="O75" s="147"/>
      <c r="P75" s="147"/>
      <c r="Q75" s="147"/>
      <c r="R75" s="516">
        <f>SUM(E75:Q75)</f>
        <v>0</v>
      </c>
      <c r="S75" s="148"/>
      <c r="T75" s="148"/>
      <c r="U75" s="143"/>
    </row>
    <row r="76" spans="1:21" s="144" customFormat="1" ht="24">
      <c r="A76" s="1149" t="s">
        <v>2762</v>
      </c>
      <c r="B76" s="146">
        <f>SUM(C76+D76)</f>
        <v>730519</v>
      </c>
      <c r="C76" s="147">
        <f>304739+354780+71000</f>
        <v>730519</v>
      </c>
      <c r="D76" s="147"/>
      <c r="E76" s="147">
        <f>C76</f>
        <v>730519</v>
      </c>
      <c r="F76" s="147"/>
      <c r="G76" s="147"/>
      <c r="H76" s="147"/>
      <c r="I76" s="147"/>
      <c r="J76" s="147"/>
      <c r="K76" s="147"/>
      <c r="L76" s="147"/>
      <c r="M76" s="147"/>
      <c r="N76" s="147"/>
      <c r="O76" s="147"/>
      <c r="P76" s="147"/>
      <c r="Q76" s="147"/>
      <c r="R76" s="516">
        <f>SUM(E76:Q76)</f>
        <v>730519</v>
      </c>
      <c r="S76" s="148"/>
      <c r="T76" s="148"/>
      <c r="U76" s="143"/>
    </row>
    <row r="77" spans="1:21" s="144" customFormat="1">
      <c r="A77" s="149" t="s">
        <v>607</v>
      </c>
      <c r="B77" s="146">
        <f>SUM(C77:D77)</f>
        <v>730519</v>
      </c>
      <c r="C77" s="146">
        <f>SUM(C72:C76)</f>
        <v>730519</v>
      </c>
      <c r="D77" s="146">
        <f>SUM(D72:D76)</f>
        <v>0</v>
      </c>
      <c r="E77" s="146">
        <f t="shared" ref="E77:Q77" si="25">SUM(E72:E76)</f>
        <v>730519</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42">
        <f>SUM(R72:R76)</f>
        <v>730519</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3030364</v>
      </c>
      <c r="C79" s="147">
        <v>3030364</v>
      </c>
      <c r="D79" s="147"/>
      <c r="E79" s="147">
        <f>C79</f>
        <v>3030364</v>
      </c>
      <c r="F79" s="147"/>
      <c r="G79" s="147"/>
      <c r="H79" s="147"/>
      <c r="I79" s="147"/>
      <c r="J79" s="147"/>
      <c r="K79" s="147"/>
      <c r="L79" s="147"/>
      <c r="M79" s="147"/>
      <c r="N79" s="147"/>
      <c r="O79" s="147"/>
      <c r="P79" s="147"/>
      <c r="Q79" s="147"/>
      <c r="R79" s="516">
        <f>SUM(E79:Q79)</f>
        <v>3030364</v>
      </c>
      <c r="S79" s="147">
        <f>R79</f>
        <v>3030364</v>
      </c>
      <c r="T79" s="147"/>
      <c r="U79" s="143"/>
    </row>
    <row r="80" spans="1:21" s="144" customFormat="1">
      <c r="A80" s="283" t="s">
        <v>58</v>
      </c>
      <c r="B80" s="146">
        <f>SUM(C80:D80)</f>
        <v>327748</v>
      </c>
      <c r="C80" s="147">
        <f>148827+178920+1</f>
        <v>327748</v>
      </c>
      <c r="D80" s="147"/>
      <c r="E80" s="147">
        <f>C80</f>
        <v>327748</v>
      </c>
      <c r="F80" s="147"/>
      <c r="G80" s="147"/>
      <c r="H80" s="147"/>
      <c r="I80" s="147"/>
      <c r="J80" s="147"/>
      <c r="K80" s="147"/>
      <c r="L80" s="147"/>
      <c r="M80" s="147"/>
      <c r="N80" s="147"/>
      <c r="O80" s="147"/>
      <c r="P80" s="147"/>
      <c r="Q80" s="147"/>
      <c r="R80" s="516">
        <f>SUM(E80:Q80)</f>
        <v>327748</v>
      </c>
      <c r="S80" s="147">
        <f>115503+39</f>
        <v>115542</v>
      </c>
      <c r="T80" s="147"/>
      <c r="U80" s="143"/>
    </row>
    <row r="81" spans="1:21" s="144" customFormat="1">
      <c r="A81" s="149" t="s">
        <v>1210</v>
      </c>
      <c r="B81" s="146">
        <f>SUM(C81:D81)</f>
        <v>3358112</v>
      </c>
      <c r="C81" s="509">
        <f>SUM(C79:C80)</f>
        <v>3358112</v>
      </c>
      <c r="D81" s="509">
        <f t="shared" ref="D81:T81" si="26">SUM(D79:D80)</f>
        <v>0</v>
      </c>
      <c r="E81" s="509">
        <f t="shared" si="26"/>
        <v>3358112</v>
      </c>
      <c r="F81" s="509">
        <f t="shared" si="26"/>
        <v>0</v>
      </c>
      <c r="G81" s="509">
        <f t="shared" si="26"/>
        <v>0</v>
      </c>
      <c r="H81" s="509">
        <f t="shared" si="26"/>
        <v>0</v>
      </c>
      <c r="I81" s="509">
        <f t="shared" si="26"/>
        <v>0</v>
      </c>
      <c r="J81" s="509">
        <f t="shared" si="26"/>
        <v>0</v>
      </c>
      <c r="K81" s="509">
        <f t="shared" si="26"/>
        <v>0</v>
      </c>
      <c r="L81" s="509">
        <f t="shared" si="26"/>
        <v>0</v>
      </c>
      <c r="M81" s="509">
        <f t="shared" si="26"/>
        <v>0</v>
      </c>
      <c r="N81" s="509">
        <f t="shared" si="26"/>
        <v>0</v>
      </c>
      <c r="O81" s="509">
        <f t="shared" si="26"/>
        <v>0</v>
      </c>
      <c r="P81" s="509">
        <f t="shared" si="26"/>
        <v>0</v>
      </c>
      <c r="Q81" s="509">
        <f t="shared" si="26"/>
        <v>0</v>
      </c>
      <c r="R81" s="509">
        <f t="shared" si="26"/>
        <v>3358112</v>
      </c>
      <c r="S81" s="509">
        <f t="shared" si="26"/>
        <v>3145906</v>
      </c>
      <c r="T81" s="509">
        <f t="shared" si="26"/>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7">SUM(C83+D83)</f>
        <v>6700</v>
      </c>
      <c r="C83" s="147">
        <v>6700</v>
      </c>
      <c r="D83" s="147"/>
      <c r="E83" s="147">
        <f>C83-I83</f>
        <v>6700</v>
      </c>
      <c r="F83" s="147"/>
      <c r="G83" s="147"/>
      <c r="H83" s="147"/>
      <c r="I83" s="147"/>
      <c r="J83" s="147"/>
      <c r="K83" s="147"/>
      <c r="L83" s="147"/>
      <c r="M83" s="147"/>
      <c r="N83" s="147"/>
      <c r="O83" s="147"/>
      <c r="P83" s="147"/>
      <c r="Q83" s="147"/>
      <c r="R83" s="516">
        <f t="shared" ref="R83:R95" si="28">SUM(E83:Q83)</f>
        <v>6700</v>
      </c>
      <c r="S83" s="148"/>
      <c r="T83" s="148"/>
      <c r="U83" s="143"/>
    </row>
    <row r="84" spans="1:21" s="144" customFormat="1">
      <c r="A84" s="145" t="s">
        <v>768</v>
      </c>
      <c r="B84" s="146">
        <f t="shared" si="27"/>
        <v>165000</v>
      </c>
      <c r="C84" s="147">
        <f>5000+100000+10000+30000+20000</f>
        <v>165000</v>
      </c>
      <c r="D84" s="147"/>
      <c r="E84" s="147">
        <f>C84</f>
        <v>165000</v>
      </c>
      <c r="F84" s="147"/>
      <c r="G84" s="147"/>
      <c r="H84" s="147"/>
      <c r="I84" s="147"/>
      <c r="J84" s="147"/>
      <c r="K84" s="147"/>
      <c r="L84" s="147"/>
      <c r="M84" s="147"/>
      <c r="N84" s="147"/>
      <c r="O84" s="147"/>
      <c r="P84" s="147"/>
      <c r="Q84" s="147"/>
      <c r="R84" s="516">
        <f t="shared" si="28"/>
        <v>165000</v>
      </c>
      <c r="S84" s="147">
        <f t="shared" ref="S84:S87" si="29">R84</f>
        <v>165000</v>
      </c>
      <c r="T84" s="147"/>
      <c r="U84" s="143"/>
    </row>
    <row r="85" spans="1:21" s="144" customFormat="1">
      <c r="A85" s="145" t="s">
        <v>769</v>
      </c>
      <c r="B85" s="146">
        <f t="shared" si="27"/>
        <v>375869</v>
      </c>
      <c r="C85" s="147">
        <v>375869</v>
      </c>
      <c r="D85" s="147"/>
      <c r="E85" s="147">
        <f t="shared" ref="E85:E95" si="30">C85</f>
        <v>375869</v>
      </c>
      <c r="F85" s="147"/>
      <c r="G85" s="147"/>
      <c r="H85" s="147"/>
      <c r="I85" s="147"/>
      <c r="J85" s="147"/>
      <c r="K85" s="147"/>
      <c r="L85" s="147"/>
      <c r="M85" s="147"/>
      <c r="N85" s="147"/>
      <c r="O85" s="147"/>
      <c r="P85" s="147"/>
      <c r="Q85" s="147"/>
      <c r="R85" s="516">
        <f t="shared" si="28"/>
        <v>375869</v>
      </c>
      <c r="S85" s="147">
        <f t="shared" si="29"/>
        <v>375869</v>
      </c>
      <c r="T85" s="147"/>
      <c r="U85" s="143"/>
    </row>
    <row r="86" spans="1:21" s="144" customFormat="1">
      <c r="A86" s="145" t="s">
        <v>770</v>
      </c>
      <c r="B86" s="146">
        <f t="shared" si="27"/>
        <v>0</v>
      </c>
      <c r="C86" s="147"/>
      <c r="D86" s="147"/>
      <c r="E86" s="147">
        <f t="shared" si="30"/>
        <v>0</v>
      </c>
      <c r="F86" s="147"/>
      <c r="G86" s="147"/>
      <c r="H86" s="147"/>
      <c r="I86" s="147"/>
      <c r="J86" s="147"/>
      <c r="K86" s="147"/>
      <c r="L86" s="147"/>
      <c r="M86" s="147"/>
      <c r="N86" s="147"/>
      <c r="O86" s="147"/>
      <c r="P86" s="147"/>
      <c r="Q86" s="147"/>
      <c r="R86" s="516">
        <f t="shared" si="28"/>
        <v>0</v>
      </c>
      <c r="S86" s="147">
        <f t="shared" si="29"/>
        <v>0</v>
      </c>
      <c r="T86" s="147"/>
      <c r="U86" s="143"/>
    </row>
    <row r="87" spans="1:21" s="144" customFormat="1">
      <c r="A87" s="145" t="s">
        <v>771</v>
      </c>
      <c r="B87" s="146">
        <f t="shared" si="27"/>
        <v>0</v>
      </c>
      <c r="C87" s="147"/>
      <c r="D87" s="147"/>
      <c r="E87" s="147">
        <f t="shared" si="30"/>
        <v>0</v>
      </c>
      <c r="F87" s="147"/>
      <c r="G87" s="147"/>
      <c r="H87" s="147"/>
      <c r="I87" s="147"/>
      <c r="J87" s="147"/>
      <c r="K87" s="147"/>
      <c r="L87" s="147"/>
      <c r="M87" s="147"/>
      <c r="N87" s="147"/>
      <c r="O87" s="147"/>
      <c r="P87" s="147"/>
      <c r="Q87" s="147"/>
      <c r="R87" s="516">
        <f t="shared" si="28"/>
        <v>0</v>
      </c>
      <c r="S87" s="147">
        <f t="shared" si="29"/>
        <v>0</v>
      </c>
      <c r="T87" s="147"/>
      <c r="U87" s="143"/>
    </row>
    <row r="88" spans="1:21" s="144" customFormat="1">
      <c r="A88" s="145" t="s">
        <v>772</v>
      </c>
      <c r="B88" s="146">
        <f t="shared" si="27"/>
        <v>10000</v>
      </c>
      <c r="C88" s="147">
        <v>10000</v>
      </c>
      <c r="D88" s="147"/>
      <c r="E88" s="147">
        <f t="shared" si="30"/>
        <v>10000</v>
      </c>
      <c r="F88" s="147"/>
      <c r="G88" s="147"/>
      <c r="H88" s="147"/>
      <c r="I88" s="147"/>
      <c r="J88" s="147"/>
      <c r="K88" s="147"/>
      <c r="L88" s="147"/>
      <c r="M88" s="147"/>
      <c r="N88" s="147"/>
      <c r="O88" s="147"/>
      <c r="P88" s="147"/>
      <c r="Q88" s="147"/>
      <c r="R88" s="516">
        <f t="shared" si="28"/>
        <v>10000</v>
      </c>
      <c r="S88" s="148"/>
      <c r="T88" s="148"/>
      <c r="U88" s="143"/>
    </row>
    <row r="89" spans="1:21" s="144" customFormat="1">
      <c r="A89" s="145" t="s">
        <v>773</v>
      </c>
      <c r="B89" s="146">
        <f t="shared" si="27"/>
        <v>122477</v>
      </c>
      <c r="C89" s="147">
        <v>122477</v>
      </c>
      <c r="D89" s="147"/>
      <c r="E89" s="147">
        <f>C89-J89</f>
        <v>122377</v>
      </c>
      <c r="F89" s="147"/>
      <c r="G89" s="147"/>
      <c r="H89" s="147"/>
      <c r="I89" s="147"/>
      <c r="J89" s="147">
        <v>100</v>
      </c>
      <c r="K89" s="147"/>
      <c r="L89" s="147"/>
      <c r="M89" s="147"/>
      <c r="N89" s="147"/>
      <c r="O89" s="147"/>
      <c r="P89" s="147"/>
      <c r="Q89" s="147"/>
      <c r="R89" s="516">
        <f t="shared" si="28"/>
        <v>122477</v>
      </c>
      <c r="S89" s="147">
        <f>R89</f>
        <v>122477</v>
      </c>
      <c r="T89" s="147"/>
      <c r="U89" s="143"/>
    </row>
    <row r="90" spans="1:21" s="144" customFormat="1">
      <c r="A90" s="145" t="s">
        <v>774</v>
      </c>
      <c r="B90" s="146">
        <f t="shared" si="27"/>
        <v>15000</v>
      </c>
      <c r="C90" s="147">
        <v>15000</v>
      </c>
      <c r="D90" s="147"/>
      <c r="E90" s="147">
        <f t="shared" si="30"/>
        <v>15000</v>
      </c>
      <c r="F90" s="147"/>
      <c r="G90" s="147"/>
      <c r="H90" s="147"/>
      <c r="I90" s="147"/>
      <c r="J90" s="147"/>
      <c r="K90" s="147"/>
      <c r="L90" s="147"/>
      <c r="M90" s="147"/>
      <c r="N90" s="147"/>
      <c r="O90" s="147"/>
      <c r="P90" s="147"/>
      <c r="Q90" s="147"/>
      <c r="R90" s="516">
        <f t="shared" si="28"/>
        <v>15000</v>
      </c>
      <c r="S90" s="147">
        <f t="shared" ref="S90:S93" si="31">R90</f>
        <v>15000</v>
      </c>
      <c r="T90" s="147"/>
      <c r="U90" s="143"/>
    </row>
    <row r="91" spans="1:21" s="144" customFormat="1">
      <c r="A91" s="145" t="s">
        <v>372</v>
      </c>
      <c r="B91" s="146">
        <f t="shared" si="27"/>
        <v>40000</v>
      </c>
      <c r="C91" s="147">
        <v>40000</v>
      </c>
      <c r="D91" s="147"/>
      <c r="E91" s="147">
        <f t="shared" si="30"/>
        <v>40000</v>
      </c>
      <c r="F91" s="147"/>
      <c r="G91" s="147"/>
      <c r="H91" s="147"/>
      <c r="I91" s="147"/>
      <c r="J91" s="147"/>
      <c r="K91" s="147"/>
      <c r="L91" s="147"/>
      <c r="M91" s="147"/>
      <c r="N91" s="147"/>
      <c r="O91" s="147"/>
      <c r="P91" s="147"/>
      <c r="Q91" s="147"/>
      <c r="R91" s="516">
        <f t="shared" si="28"/>
        <v>40000</v>
      </c>
      <c r="S91" s="147">
        <v>30000</v>
      </c>
      <c r="T91" s="147"/>
      <c r="U91" s="143"/>
    </row>
    <row r="92" spans="1:21" s="144" customFormat="1">
      <c r="A92" s="283" t="s">
        <v>1212</v>
      </c>
      <c r="B92" s="146">
        <f t="shared" si="27"/>
        <v>15000</v>
      </c>
      <c r="C92" s="147">
        <v>15000</v>
      </c>
      <c r="D92" s="147"/>
      <c r="E92" s="147">
        <f t="shared" si="30"/>
        <v>15000</v>
      </c>
      <c r="F92" s="147"/>
      <c r="G92" s="147"/>
      <c r="H92" s="147"/>
      <c r="I92" s="147"/>
      <c r="J92" s="147"/>
      <c r="K92" s="147"/>
      <c r="L92" s="147"/>
      <c r="M92" s="147"/>
      <c r="N92" s="147"/>
      <c r="O92" s="147"/>
      <c r="P92" s="147"/>
      <c r="Q92" s="147"/>
      <c r="R92" s="516">
        <f t="shared" si="28"/>
        <v>15000</v>
      </c>
      <c r="S92" s="147">
        <f t="shared" si="31"/>
        <v>15000</v>
      </c>
      <c r="T92" s="147"/>
      <c r="U92" s="143"/>
    </row>
    <row r="93" spans="1:21" s="144" customFormat="1">
      <c r="A93" s="1149" t="s">
        <v>2764</v>
      </c>
      <c r="B93" s="146">
        <f t="shared" si="27"/>
        <v>30000</v>
      </c>
      <c r="C93" s="147">
        <v>30000</v>
      </c>
      <c r="D93" s="147"/>
      <c r="E93" s="147">
        <f t="shared" si="30"/>
        <v>30000</v>
      </c>
      <c r="F93" s="147"/>
      <c r="G93" s="147"/>
      <c r="H93" s="147"/>
      <c r="I93" s="147"/>
      <c r="J93" s="147"/>
      <c r="K93" s="147"/>
      <c r="L93" s="147"/>
      <c r="M93" s="147"/>
      <c r="N93" s="147"/>
      <c r="O93" s="147"/>
      <c r="P93" s="147"/>
      <c r="Q93" s="147"/>
      <c r="R93" s="516">
        <f t="shared" si="28"/>
        <v>30000</v>
      </c>
      <c r="S93" s="147">
        <f t="shared" si="31"/>
        <v>30000</v>
      </c>
      <c r="T93" s="147"/>
      <c r="U93" s="143"/>
    </row>
    <row r="94" spans="1:21" s="144" customFormat="1">
      <c r="A94" s="1149" t="s">
        <v>2766</v>
      </c>
      <c r="B94" s="146">
        <f t="shared" si="27"/>
        <v>50000</v>
      </c>
      <c r="C94" s="147">
        <v>50000</v>
      </c>
      <c r="D94" s="147"/>
      <c r="E94" s="147">
        <f t="shared" si="30"/>
        <v>50000</v>
      </c>
      <c r="F94" s="147"/>
      <c r="G94" s="147"/>
      <c r="H94" s="147"/>
      <c r="I94" s="147"/>
      <c r="J94" s="147"/>
      <c r="K94" s="147"/>
      <c r="L94" s="147"/>
      <c r="M94" s="147"/>
      <c r="N94" s="147"/>
      <c r="O94" s="147"/>
      <c r="P94" s="147"/>
      <c r="Q94" s="147"/>
      <c r="R94" s="516">
        <f t="shared" si="28"/>
        <v>50000</v>
      </c>
      <c r="S94" s="147">
        <f>R94</f>
        <v>50000</v>
      </c>
      <c r="T94" s="147"/>
      <c r="U94" s="143"/>
    </row>
    <row r="95" spans="1:21" s="144" customFormat="1" ht="24">
      <c r="A95" s="1149" t="s">
        <v>2767</v>
      </c>
      <c r="B95" s="146">
        <f t="shared" si="27"/>
        <v>50000</v>
      </c>
      <c r="C95" s="147">
        <f>15000+35000</f>
        <v>50000</v>
      </c>
      <c r="D95" s="147"/>
      <c r="E95" s="147">
        <f t="shared" si="30"/>
        <v>50000</v>
      </c>
      <c r="F95" s="147"/>
      <c r="G95" s="147"/>
      <c r="H95" s="147"/>
      <c r="I95" s="147"/>
      <c r="J95" s="147"/>
      <c r="K95" s="147"/>
      <c r="L95" s="147"/>
      <c r="M95" s="147"/>
      <c r="N95" s="147"/>
      <c r="O95" s="147"/>
      <c r="P95" s="147"/>
      <c r="Q95" s="147"/>
      <c r="R95" s="516">
        <f t="shared" si="28"/>
        <v>50000</v>
      </c>
      <c r="S95" s="147">
        <f>35000</f>
        <v>35000</v>
      </c>
      <c r="T95" s="147"/>
      <c r="U95" s="143"/>
    </row>
    <row r="96" spans="1:21" s="144" customFormat="1">
      <c r="A96" s="149" t="s">
        <v>775</v>
      </c>
      <c r="B96" s="146">
        <f>SUM(C96:D96)</f>
        <v>880046</v>
      </c>
      <c r="C96" s="146">
        <f t="shared" ref="C96:R96" si="32">SUM(C83:C95)</f>
        <v>880046</v>
      </c>
      <c r="D96" s="146">
        <f t="shared" si="32"/>
        <v>0</v>
      </c>
      <c r="E96" s="146">
        <f t="shared" si="32"/>
        <v>879946</v>
      </c>
      <c r="F96" s="146">
        <f t="shared" si="32"/>
        <v>0</v>
      </c>
      <c r="G96" s="146">
        <f t="shared" si="32"/>
        <v>0</v>
      </c>
      <c r="H96" s="146">
        <f t="shared" si="32"/>
        <v>0</v>
      </c>
      <c r="I96" s="146">
        <f t="shared" si="32"/>
        <v>0</v>
      </c>
      <c r="J96" s="146">
        <f t="shared" si="32"/>
        <v>100</v>
      </c>
      <c r="K96" s="146">
        <f t="shared" si="32"/>
        <v>0</v>
      </c>
      <c r="L96" s="146">
        <f t="shared" si="32"/>
        <v>0</v>
      </c>
      <c r="M96" s="146">
        <f t="shared" si="32"/>
        <v>0</v>
      </c>
      <c r="N96" s="146">
        <f t="shared" si="32"/>
        <v>0</v>
      </c>
      <c r="O96" s="146">
        <f t="shared" si="32"/>
        <v>0</v>
      </c>
      <c r="P96" s="146">
        <f t="shared" si="32"/>
        <v>0</v>
      </c>
      <c r="Q96" s="146">
        <f t="shared" si="32"/>
        <v>0</v>
      </c>
      <c r="R96" s="342">
        <f t="shared" si="32"/>
        <v>880046</v>
      </c>
      <c r="S96" s="150">
        <f>SUM(S84:S87,S89:S95)</f>
        <v>838346</v>
      </c>
      <c r="T96" s="146">
        <f>SUM(T84:T87,T89:T95)</f>
        <v>0</v>
      </c>
      <c r="U96" s="143"/>
    </row>
    <row r="97" spans="1:21" s="144" customFormat="1">
      <c r="A97" s="149" t="s">
        <v>776</v>
      </c>
      <c r="B97" s="146">
        <f>SUM(C97:D97)</f>
        <v>69280116</v>
      </c>
      <c r="C97" s="146">
        <f t="shared" ref="C97:R97" si="33">SUM(C63+C70+C77+C81+C96)</f>
        <v>69280116</v>
      </c>
      <c r="D97" s="146">
        <f t="shared" si="33"/>
        <v>0</v>
      </c>
      <c r="E97" s="146">
        <f t="shared" si="33"/>
        <v>27438016</v>
      </c>
      <c r="F97" s="146">
        <f t="shared" si="33"/>
        <v>20830000</v>
      </c>
      <c r="G97" s="146">
        <f t="shared" si="33"/>
        <v>2402000</v>
      </c>
      <c r="H97" s="146">
        <f t="shared" si="33"/>
        <v>0</v>
      </c>
      <c r="I97" s="146">
        <f t="shared" si="33"/>
        <v>18610000</v>
      </c>
      <c r="J97" s="146">
        <f t="shared" si="33"/>
        <v>100</v>
      </c>
      <c r="K97" s="146">
        <f t="shared" si="33"/>
        <v>0</v>
      </c>
      <c r="L97" s="146">
        <f t="shared" si="33"/>
        <v>0</v>
      </c>
      <c r="M97" s="146">
        <f t="shared" si="33"/>
        <v>0</v>
      </c>
      <c r="N97" s="146">
        <f t="shared" si="33"/>
        <v>0</v>
      </c>
      <c r="O97" s="146">
        <f t="shared" si="33"/>
        <v>0</v>
      </c>
      <c r="P97" s="146">
        <f t="shared" si="33"/>
        <v>0</v>
      </c>
      <c r="Q97" s="146">
        <f t="shared" si="33"/>
        <v>0</v>
      </c>
      <c r="R97" s="146">
        <f t="shared" si="33"/>
        <v>69280116</v>
      </c>
      <c r="S97" s="146">
        <f>SUM(S63+S70+S81+S96)</f>
        <v>47458920</v>
      </c>
      <c r="T97" s="146">
        <f>SUM(T63+T70+T81+T96)</f>
        <v>18610000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2500000</v>
      </c>
      <c r="C99" s="979">
        <f>2500000</f>
        <v>2500000</v>
      </c>
      <c r="D99" s="979"/>
      <c r="E99" s="979">
        <f>C99-H99</f>
        <v>300000</v>
      </c>
      <c r="F99" s="147"/>
      <c r="G99" s="147"/>
      <c r="H99" s="147">
        <f>H108</f>
        <v>2200000</v>
      </c>
      <c r="I99" s="147"/>
      <c r="J99" s="147"/>
      <c r="K99" s="147"/>
      <c r="L99" s="147"/>
      <c r="M99" s="147"/>
      <c r="N99" s="147"/>
      <c r="O99" s="147"/>
      <c r="P99" s="147"/>
      <c r="Q99" s="147"/>
      <c r="R99" s="516">
        <f>SUM(E99:Q99)</f>
        <v>2500000</v>
      </c>
      <c r="S99" s="147">
        <f t="shared" ref="S99:S103" si="34">R99</f>
        <v>2500000</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f t="shared" si="34"/>
        <v>0</v>
      </c>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f t="shared" si="34"/>
        <v>0</v>
      </c>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f t="shared" si="34"/>
        <v>0</v>
      </c>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f t="shared" si="34"/>
        <v>0</v>
      </c>
      <c r="T103" s="147"/>
      <c r="U103" s="143"/>
    </row>
    <row r="104" spans="1:21" s="144" customFormat="1">
      <c r="A104" s="149" t="s">
        <v>780</v>
      </c>
      <c r="B104" s="146">
        <f>SUM(C104:D104)</f>
        <v>2500000</v>
      </c>
      <c r="C104" s="146">
        <f>SUM(C99:C103)</f>
        <v>2500000</v>
      </c>
      <c r="D104" s="146">
        <f t="shared" ref="D104:T104" si="35">SUM(D99:D103)</f>
        <v>0</v>
      </c>
      <c r="E104" s="146">
        <f t="shared" si="35"/>
        <v>300000</v>
      </c>
      <c r="F104" s="146">
        <f t="shared" si="35"/>
        <v>0</v>
      </c>
      <c r="G104" s="146">
        <f t="shared" si="35"/>
        <v>0</v>
      </c>
      <c r="H104" s="146">
        <f t="shared" si="35"/>
        <v>2200000</v>
      </c>
      <c r="I104" s="146">
        <f t="shared" si="35"/>
        <v>0</v>
      </c>
      <c r="J104" s="146">
        <f t="shared" si="35"/>
        <v>0</v>
      </c>
      <c r="K104" s="146">
        <f t="shared" si="35"/>
        <v>0</v>
      </c>
      <c r="L104" s="146">
        <f t="shared" si="35"/>
        <v>0</v>
      </c>
      <c r="M104" s="146">
        <f t="shared" si="35"/>
        <v>0</v>
      </c>
      <c r="N104" s="146">
        <f t="shared" si="35"/>
        <v>0</v>
      </c>
      <c r="O104" s="146">
        <f t="shared" si="35"/>
        <v>0</v>
      </c>
      <c r="P104" s="146">
        <f t="shared" si="35"/>
        <v>0</v>
      </c>
      <c r="Q104" s="146">
        <f t="shared" si="35"/>
        <v>0</v>
      </c>
      <c r="R104" s="342">
        <f t="shared" si="35"/>
        <v>2500000</v>
      </c>
      <c r="S104" s="150">
        <f t="shared" si="35"/>
        <v>2500000</v>
      </c>
      <c r="T104" s="150">
        <f t="shared" si="35"/>
        <v>0</v>
      </c>
      <c r="U104" s="143"/>
    </row>
    <row r="105" spans="1:21" s="144" customFormat="1">
      <c r="A105" s="149" t="s">
        <v>781</v>
      </c>
      <c r="B105" s="150">
        <f>SUM(C105:D105)</f>
        <v>71780116</v>
      </c>
      <c r="C105" s="150">
        <f t="shared" ref="C105:R105" si="36">SUM(C97+C104)</f>
        <v>71780116</v>
      </c>
      <c r="D105" s="150">
        <f t="shared" si="36"/>
        <v>0</v>
      </c>
      <c r="E105" s="150">
        <f t="shared" si="36"/>
        <v>27738016</v>
      </c>
      <c r="F105" s="150">
        <f t="shared" si="36"/>
        <v>20830000</v>
      </c>
      <c r="G105" s="150">
        <f t="shared" si="36"/>
        <v>2402000</v>
      </c>
      <c r="H105" s="150">
        <f t="shared" si="36"/>
        <v>2200000</v>
      </c>
      <c r="I105" s="150">
        <f t="shared" si="36"/>
        <v>18610000</v>
      </c>
      <c r="J105" s="150">
        <f t="shared" si="36"/>
        <v>100</v>
      </c>
      <c r="K105" s="150">
        <f t="shared" si="36"/>
        <v>0</v>
      </c>
      <c r="L105" s="150">
        <f t="shared" si="36"/>
        <v>0</v>
      </c>
      <c r="M105" s="150">
        <f t="shared" si="36"/>
        <v>0</v>
      </c>
      <c r="N105" s="150">
        <f t="shared" si="36"/>
        <v>0</v>
      </c>
      <c r="O105" s="150">
        <f t="shared" si="36"/>
        <v>0</v>
      </c>
      <c r="P105" s="150">
        <f t="shared" si="36"/>
        <v>0</v>
      </c>
      <c r="Q105" s="150">
        <f t="shared" si="36"/>
        <v>0</v>
      </c>
      <c r="R105" s="342">
        <f t="shared" si="36"/>
        <v>71780116</v>
      </c>
      <c r="S105" s="150">
        <f>S97+S104</f>
        <v>49958920</v>
      </c>
      <c r="T105" s="150">
        <f>T97+T104</f>
        <v>18610000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49958920</v>
      </c>
      <c r="T107" s="150">
        <f>T105+T106</f>
        <v>18610000</v>
      </c>
    </row>
    <row r="108" spans="1:21" s="189" customFormat="1">
      <c r="A108" s="162" t="s">
        <v>880</v>
      </c>
      <c r="B108" s="157"/>
      <c r="C108" s="157"/>
      <c r="D108" s="157"/>
      <c r="E108" s="301">
        <f>Application!AO640</f>
        <v>27738016</v>
      </c>
      <c r="F108" s="301">
        <f>Application!AO627</f>
        <v>20830000</v>
      </c>
      <c r="G108" s="301">
        <f>Application!AO628</f>
        <v>2402000</v>
      </c>
      <c r="H108" s="301">
        <f>Application!AO629</f>
        <v>2200000</v>
      </c>
      <c r="I108" s="301">
        <f>Application!AO630</f>
        <v>18610000</v>
      </c>
      <c r="J108" s="301">
        <f>Application!AO631</f>
        <v>100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3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72" t="s">
        <v>991</v>
      </c>
      <c r="E122" s="1872"/>
      <c r="F122" s="1872"/>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4" t="s">
        <v>1225</v>
      </c>
      <c r="E123" s="1555"/>
      <c r="F123" s="1555"/>
      <c r="G123" s="1555"/>
      <c r="H123" s="1555"/>
      <c r="I123" s="1555"/>
      <c r="J123" s="1555"/>
      <c r="K123" s="1555"/>
      <c r="L123" s="1555"/>
      <c r="M123" s="1555"/>
      <c r="N123" s="1555"/>
      <c r="O123" s="1555"/>
      <c r="P123" s="1555"/>
      <c r="Q123" s="1555"/>
      <c r="R123" s="1555"/>
      <c r="S123" s="1555"/>
      <c r="T123" s="324"/>
      <c r="U123" s="326"/>
    </row>
    <row r="124" spans="1:21" ht="12.75">
      <c r="A124" s="117" t="s">
        <v>993</v>
      </c>
      <c r="B124" s="333"/>
      <c r="C124" s="117"/>
      <c r="D124" s="1555"/>
      <c r="E124" s="1555"/>
      <c r="F124" s="1555"/>
      <c r="G124" s="1555"/>
      <c r="H124" s="1555"/>
      <c r="I124" s="1555"/>
      <c r="J124" s="1555"/>
      <c r="K124" s="1555"/>
      <c r="L124" s="1555"/>
      <c r="M124" s="1555"/>
      <c r="N124" s="1555"/>
      <c r="O124" s="1555"/>
      <c r="P124" s="1555"/>
      <c r="Q124" s="1555"/>
      <c r="R124" s="1555"/>
      <c r="S124" s="1555"/>
      <c r="T124" s="324"/>
      <c r="U124" s="326"/>
    </row>
    <row r="125" spans="1:21" ht="12.75">
      <c r="A125" s="117" t="s">
        <v>994</v>
      </c>
      <c r="B125" s="333"/>
      <c r="C125" s="117"/>
      <c r="D125" s="1555"/>
      <c r="E125" s="1555"/>
      <c r="F125" s="1555"/>
      <c r="G125" s="1555"/>
      <c r="H125" s="1555"/>
      <c r="I125" s="1555"/>
      <c r="J125" s="1555"/>
      <c r="K125" s="1555"/>
      <c r="L125" s="1555"/>
      <c r="M125" s="1555"/>
      <c r="N125" s="1555"/>
      <c r="O125" s="1555"/>
      <c r="P125" s="1555"/>
      <c r="Q125" s="1555"/>
      <c r="R125" s="1555"/>
      <c r="S125" s="1555"/>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7"/>
      <c r="E128" s="1867"/>
      <c r="F128" s="1867"/>
      <c r="G128" s="1867"/>
      <c r="H128" s="1867"/>
      <c r="I128" s="117"/>
      <c r="J128" s="1863"/>
      <c r="K128" s="1863"/>
      <c r="L128" s="117"/>
      <c r="M128" s="117"/>
      <c r="N128" s="117"/>
      <c r="O128" s="117"/>
      <c r="P128" s="117"/>
      <c r="Q128" s="117"/>
      <c r="R128" s="117"/>
      <c r="S128" s="117"/>
      <c r="T128" s="324"/>
      <c r="U128" s="326"/>
    </row>
    <row r="129" spans="1:21" ht="12.75">
      <c r="A129" s="117" t="s">
        <v>300</v>
      </c>
      <c r="B129" s="333"/>
      <c r="C129" s="117"/>
      <c r="D129" s="1871" t="s">
        <v>998</v>
      </c>
      <c r="E129" s="1871"/>
      <c r="F129" s="1871"/>
      <c r="G129" s="1871"/>
      <c r="H129" s="1871"/>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528"/>
      <c r="E131" s="1528"/>
      <c r="F131" s="1528"/>
      <c r="G131" s="1528"/>
      <c r="H131" s="1528"/>
      <c r="I131" s="117"/>
      <c r="J131" s="1528"/>
      <c r="K131" s="1528"/>
      <c r="L131" s="1528"/>
      <c r="M131" s="1528"/>
      <c r="N131" s="117"/>
      <c r="O131" s="117"/>
      <c r="P131" s="117"/>
      <c r="Q131" s="117"/>
      <c r="R131" s="117"/>
      <c r="S131" s="117"/>
      <c r="T131" s="324"/>
      <c r="U131" s="326"/>
    </row>
    <row r="132" spans="1:21" ht="12" customHeight="1">
      <c r="A132" s="336"/>
      <c r="B132" s="117"/>
      <c r="C132" s="117"/>
      <c r="D132" s="1865" t="s">
        <v>1001</v>
      </c>
      <c r="E132" s="1865"/>
      <c r="F132" s="1865"/>
      <c r="G132" s="1865"/>
      <c r="H132" s="1865"/>
      <c r="I132" s="117"/>
      <c r="J132" s="1865" t="s">
        <v>1002</v>
      </c>
      <c r="K132" s="1865"/>
      <c r="L132" s="1865"/>
      <c r="M132" s="186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6"/>
      <c r="B138" s="1867"/>
      <c r="C138" s="1867"/>
      <c r="D138" s="328"/>
      <c r="E138" s="1863"/>
      <c r="F138" s="1863"/>
      <c r="G138" s="117"/>
      <c r="H138" s="117"/>
      <c r="I138" s="117"/>
      <c r="J138" s="117"/>
      <c r="K138" s="117"/>
      <c r="L138" s="117"/>
      <c r="M138" s="117"/>
      <c r="N138" s="117"/>
      <c r="O138" s="117"/>
      <c r="P138" s="117"/>
      <c r="Q138" s="117"/>
      <c r="R138" s="117"/>
      <c r="S138" s="117"/>
      <c r="T138" s="330"/>
      <c r="U138" s="331"/>
    </row>
    <row r="139" spans="1:21" ht="12.75">
      <c r="A139" s="1862" t="s">
        <v>1005</v>
      </c>
      <c r="B139" s="1862"/>
      <c r="C139" s="1862"/>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2" workbookViewId="0">
      <selection activeCell="H45" sqref="H45"/>
    </sheetView>
  </sheetViews>
  <sheetFormatPr defaultColWidth="0" defaultRowHeight="12" zeroHeight="1"/>
  <cols>
    <col min="1" max="1" width="32.570312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570312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570312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570312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570312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570312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570312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570312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570312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570312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570312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570312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570312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570312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570312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570312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570312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570312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570312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570312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570312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570312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570312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570312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570312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570312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570312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570312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570312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570312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570312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570312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570312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570312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570312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570312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570312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570312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570312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570312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570312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570312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570312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570312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570312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570312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570312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570312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570312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570312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570312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570312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570312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570312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570312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570312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570312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570312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570312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570312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570312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570312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570312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570312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5" t="s">
        <v>1228</v>
      </c>
      <c r="B1" s="1876"/>
      <c r="C1" s="1876"/>
      <c r="D1" s="1876"/>
      <c r="E1" s="1876"/>
      <c r="F1" s="1876"/>
      <c r="G1" s="1876"/>
      <c r="H1" s="1876"/>
      <c r="I1" s="1876"/>
      <c r="J1" s="1877"/>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f>B4</f>
        <v>0</v>
      </c>
      <c r="D4" s="362"/>
      <c r="E4" s="363"/>
      <c r="F4" s="363"/>
      <c r="G4" s="363"/>
      <c r="H4" s="363"/>
      <c r="I4" s="363"/>
      <c r="J4" s="363"/>
      <c r="K4" s="359"/>
    </row>
    <row r="5" spans="1:11" s="360" customFormat="1">
      <c r="A5" s="364" t="s">
        <v>28</v>
      </c>
      <c r="B5" s="361">
        <f>'Sources and Uses Budget'!C5</f>
        <v>145425</v>
      </c>
      <c r="C5" s="362">
        <f t="shared" ref="C5:C7" si="0">B5</f>
        <v>145425</v>
      </c>
      <c r="D5" s="362"/>
      <c r="E5" s="363"/>
      <c r="F5" s="363"/>
      <c r="G5" s="363"/>
      <c r="H5" s="363"/>
      <c r="I5" s="363"/>
      <c r="J5" s="363"/>
      <c r="K5" s="359"/>
    </row>
    <row r="6" spans="1:11" s="360" customFormat="1">
      <c r="A6" s="364" t="s">
        <v>29</v>
      </c>
      <c r="B6" s="361">
        <f>'Sources and Uses Budget'!C6</f>
        <v>0</v>
      </c>
      <c r="C6" s="362">
        <f t="shared" si="0"/>
        <v>0</v>
      </c>
      <c r="D6" s="362"/>
      <c r="E6" s="363"/>
      <c r="F6" s="363"/>
      <c r="G6" s="363"/>
      <c r="H6" s="363"/>
      <c r="I6" s="363"/>
      <c r="J6" s="363"/>
      <c r="K6" s="359"/>
    </row>
    <row r="7" spans="1:11" s="360" customFormat="1">
      <c r="A7" s="364" t="s">
        <v>97</v>
      </c>
      <c r="B7" s="361">
        <f>'Sources and Uses Budget'!C7</f>
        <v>0</v>
      </c>
      <c r="C7" s="362">
        <f t="shared" si="0"/>
        <v>0</v>
      </c>
      <c r="D7" s="362"/>
      <c r="E7" s="363"/>
      <c r="F7" s="363"/>
      <c r="G7" s="363"/>
      <c r="H7" s="363"/>
      <c r="I7" s="363"/>
      <c r="J7" s="363"/>
      <c r="K7" s="359"/>
    </row>
    <row r="8" spans="1:11" s="360" customFormat="1">
      <c r="A8" s="365" t="s">
        <v>594</v>
      </c>
      <c r="B8" s="361">
        <f>'Sources and Uses Budget'!C8</f>
        <v>145425</v>
      </c>
      <c r="C8" s="361">
        <f>SUM(C4:C7)</f>
        <v>145425</v>
      </c>
      <c r="D8" s="361">
        <f>SUM(D4:D7)</f>
        <v>0</v>
      </c>
      <c r="E8" s="363"/>
      <c r="F8" s="363"/>
      <c r="G8" s="363"/>
      <c r="H8" s="363"/>
      <c r="I8" s="363"/>
      <c r="J8" s="363"/>
      <c r="K8" s="359"/>
    </row>
    <row r="9" spans="1:11" s="360" customFormat="1">
      <c r="A9" s="364" t="s">
        <v>595</v>
      </c>
      <c r="B9" s="361">
        <f>'Sources and Uses Budget'!C9</f>
        <v>18610000</v>
      </c>
      <c r="C9" s="362">
        <f>B9</f>
        <v>18610000</v>
      </c>
      <c r="D9" s="362"/>
      <c r="E9" s="363"/>
      <c r="F9" s="363"/>
      <c r="G9" s="363"/>
      <c r="H9" s="361">
        <f>'Sources and Uses Budget'!T9</f>
        <v>18610000</v>
      </c>
      <c r="I9" s="362">
        <f>H9</f>
        <v>18610000</v>
      </c>
      <c r="J9" s="362"/>
      <c r="K9" s="359"/>
    </row>
    <row r="10" spans="1:11" s="360" customFormat="1">
      <c r="A10" s="364" t="s">
        <v>596</v>
      </c>
      <c r="B10" s="361">
        <f>'Sources and Uses Budget'!C10</f>
        <v>0</v>
      </c>
      <c r="C10" s="362">
        <f>B10</f>
        <v>0</v>
      </c>
      <c r="D10" s="362"/>
      <c r="E10" s="361">
        <f>'Sources and Uses Budget'!S10</f>
        <v>0</v>
      </c>
      <c r="F10" s="362">
        <f>E10</f>
        <v>0</v>
      </c>
      <c r="G10" s="362"/>
      <c r="H10" s="361">
        <f>'Sources and Uses Budget'!T10</f>
        <v>0</v>
      </c>
      <c r="I10" s="362">
        <f>H10</f>
        <v>0</v>
      </c>
      <c r="J10" s="362"/>
      <c r="K10" s="359"/>
    </row>
    <row r="11" spans="1:11" s="360" customFormat="1">
      <c r="A11" s="365" t="s">
        <v>597</v>
      </c>
      <c r="B11" s="361">
        <f>'Sources and Uses Budget'!C11</f>
        <v>18610000</v>
      </c>
      <c r="C11" s="361">
        <f>SUM(C9:C10)</f>
        <v>18610000</v>
      </c>
      <c r="D11" s="361">
        <f>SUM(D9:D10)</f>
        <v>0</v>
      </c>
      <c r="E11" s="363"/>
      <c r="F11" s="363"/>
      <c r="G11" s="363"/>
      <c r="H11" s="361">
        <f>'Sources and Uses Budget'!T11</f>
        <v>18610000</v>
      </c>
      <c r="I11" s="361">
        <f>SUM(I9:I10)</f>
        <v>18610000</v>
      </c>
      <c r="J11" s="361">
        <f>SUM(J9:J10)</f>
        <v>0</v>
      </c>
      <c r="K11" s="359"/>
    </row>
    <row r="12" spans="1:11" s="360" customFormat="1">
      <c r="A12" s="365" t="s">
        <v>84</v>
      </c>
      <c r="B12" s="361">
        <f>'Sources and Uses Budget'!C12</f>
        <v>18755425</v>
      </c>
      <c r="C12" s="361">
        <f>SUM(C8+C11)</f>
        <v>18755425</v>
      </c>
      <c r="D12" s="361">
        <f>SUM(D8+D11)</f>
        <v>0</v>
      </c>
      <c r="E12" s="363"/>
      <c r="F12" s="363"/>
      <c r="G12" s="363"/>
      <c r="H12" s="363"/>
      <c r="I12" s="363"/>
      <c r="J12" s="363"/>
      <c r="K12" s="359"/>
    </row>
    <row r="13" spans="1:11" s="360" customFormat="1">
      <c r="A13" s="366" t="s">
        <v>903</v>
      </c>
      <c r="B13" s="361">
        <f>'Sources and Uses Budget'!C13</f>
        <v>0</v>
      </c>
      <c r="C13" s="362">
        <f>B13</f>
        <v>0</v>
      </c>
      <c r="D13" s="362"/>
      <c r="E13" s="361">
        <f>'Sources and Uses Budget'!S13</f>
        <v>0</v>
      </c>
      <c r="F13" s="362">
        <f>E13</f>
        <v>0</v>
      </c>
      <c r="G13" s="362"/>
      <c r="H13" s="361">
        <f>'Sources and Uses Budget'!T13</f>
        <v>0</v>
      </c>
      <c r="I13" s="362">
        <f>H13</f>
        <v>0</v>
      </c>
      <c r="J13" s="362"/>
      <c r="K13" s="359"/>
    </row>
    <row r="14" spans="1:11" s="360" customFormat="1" ht="24">
      <c r="A14" s="364" t="s">
        <v>904</v>
      </c>
      <c r="B14" s="361">
        <f>'Sources and Uses Budget'!C14</f>
        <v>0</v>
      </c>
      <c r="C14" s="362">
        <f t="shared" ref="C14:C37" si="1">B14</f>
        <v>0</v>
      </c>
      <c r="D14" s="362"/>
      <c r="E14" s="361">
        <f>'Sources and Uses Budget'!S14</f>
        <v>0</v>
      </c>
      <c r="F14" s="362">
        <f>E14</f>
        <v>0</v>
      </c>
      <c r="G14" s="362"/>
      <c r="H14" s="361">
        <f>'Sources and Uses Budget'!T14</f>
        <v>0</v>
      </c>
      <c r="I14" s="362">
        <f>H14</f>
        <v>0</v>
      </c>
      <c r="J14" s="362"/>
      <c r="K14" s="359"/>
    </row>
    <row r="15" spans="1:11" s="360" customFormat="1">
      <c r="A15" s="364" t="s">
        <v>1162</v>
      </c>
      <c r="B15" s="361">
        <f>'Sources and Uses Budget'!C15</f>
        <v>0</v>
      </c>
      <c r="C15" s="362">
        <f t="shared" si="1"/>
        <v>0</v>
      </c>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f t="shared" si="1"/>
        <v>0</v>
      </c>
      <c r="D17" s="362"/>
      <c r="E17" s="361">
        <f>'Sources and Uses Budget'!S17</f>
        <v>0</v>
      </c>
      <c r="F17" s="362">
        <f>E17</f>
        <v>0</v>
      </c>
      <c r="G17" s="362"/>
      <c r="H17" s="361">
        <f>'Sources and Uses Budget'!T17</f>
        <v>0</v>
      </c>
      <c r="I17" s="362">
        <f>H17</f>
        <v>0</v>
      </c>
      <c r="J17" s="362"/>
      <c r="K17" s="359"/>
    </row>
    <row r="18" spans="1:11" s="360" customFormat="1">
      <c r="A18" s="364" t="s">
        <v>600</v>
      </c>
      <c r="B18" s="361">
        <f>'Sources and Uses Budget'!C18</f>
        <v>19600000</v>
      </c>
      <c r="C18" s="362">
        <f t="shared" si="1"/>
        <v>19600000</v>
      </c>
      <c r="D18" s="362"/>
      <c r="E18" s="361">
        <f>'Sources and Uses Budget'!S18</f>
        <v>19600000</v>
      </c>
      <c r="F18" s="362">
        <f t="shared" ref="F18:F37" si="2">E18</f>
        <v>19600000</v>
      </c>
      <c r="G18" s="362"/>
      <c r="H18" s="361">
        <f>'Sources and Uses Budget'!T18</f>
        <v>0</v>
      </c>
      <c r="I18" s="362">
        <f t="shared" ref="I18:I37" si="3">H18</f>
        <v>0</v>
      </c>
      <c r="J18" s="362"/>
      <c r="K18" s="359"/>
    </row>
    <row r="19" spans="1:11" s="360" customFormat="1">
      <c r="A19" s="364" t="s">
        <v>601</v>
      </c>
      <c r="B19" s="361">
        <f>'Sources and Uses Budget'!C19</f>
        <v>1181148</v>
      </c>
      <c r="C19" s="362">
        <f t="shared" si="1"/>
        <v>1181148</v>
      </c>
      <c r="D19" s="362"/>
      <c r="E19" s="361">
        <f>'Sources and Uses Budget'!S19</f>
        <v>1181148</v>
      </c>
      <c r="F19" s="362">
        <f t="shared" si="2"/>
        <v>1181148</v>
      </c>
      <c r="G19" s="362"/>
      <c r="H19" s="361">
        <f>'Sources and Uses Budget'!T19</f>
        <v>0</v>
      </c>
      <c r="I19" s="362">
        <f t="shared" si="3"/>
        <v>0</v>
      </c>
      <c r="J19" s="362"/>
      <c r="K19" s="359"/>
    </row>
    <row r="20" spans="1:11" s="360" customFormat="1">
      <c r="A20" s="364" t="s">
        <v>137</v>
      </c>
      <c r="B20" s="361">
        <f>'Sources and Uses Budget'!C20</f>
        <v>393716</v>
      </c>
      <c r="C20" s="362">
        <f t="shared" si="1"/>
        <v>393716</v>
      </c>
      <c r="D20" s="362"/>
      <c r="E20" s="361">
        <f>'Sources and Uses Budget'!S20</f>
        <v>393716</v>
      </c>
      <c r="F20" s="362">
        <f t="shared" si="2"/>
        <v>393716</v>
      </c>
      <c r="G20" s="362"/>
      <c r="H20" s="361">
        <f>'Sources and Uses Budget'!T20</f>
        <v>0</v>
      </c>
      <c r="I20" s="362">
        <f t="shared" si="3"/>
        <v>0</v>
      </c>
      <c r="J20" s="362"/>
      <c r="K20" s="359"/>
    </row>
    <row r="21" spans="1:11" s="360" customFormat="1">
      <c r="A21" s="364" t="s">
        <v>138</v>
      </c>
      <c r="B21" s="361">
        <f>'Sources and Uses Budget'!C21</f>
        <v>1181148</v>
      </c>
      <c r="C21" s="362">
        <f t="shared" si="1"/>
        <v>1181148</v>
      </c>
      <c r="D21" s="362"/>
      <c r="E21" s="361">
        <f>'Sources and Uses Budget'!S21</f>
        <v>1181148</v>
      </c>
      <c r="F21" s="362">
        <f t="shared" si="2"/>
        <v>1181148</v>
      </c>
      <c r="G21" s="362"/>
      <c r="H21" s="361">
        <f>'Sources and Uses Budget'!T21</f>
        <v>0</v>
      </c>
      <c r="I21" s="362">
        <f t="shared" si="3"/>
        <v>0</v>
      </c>
      <c r="J21" s="362"/>
      <c r="K21" s="359"/>
    </row>
    <row r="22" spans="1:11" s="360" customFormat="1">
      <c r="A22" s="364" t="s">
        <v>139</v>
      </c>
      <c r="B22" s="361">
        <f>'Sources and Uses Budget'!C22</f>
        <v>18520</v>
      </c>
      <c r="C22" s="362">
        <f t="shared" si="1"/>
        <v>18520</v>
      </c>
      <c r="D22" s="362"/>
      <c r="E22" s="361">
        <f>'Sources and Uses Budget'!S22</f>
        <v>18520</v>
      </c>
      <c r="F22" s="362">
        <f t="shared" si="2"/>
        <v>18520</v>
      </c>
      <c r="G22" s="362"/>
      <c r="H22" s="361">
        <f>'Sources and Uses Budget'!T22</f>
        <v>0</v>
      </c>
      <c r="I22" s="362">
        <f t="shared" si="3"/>
        <v>0</v>
      </c>
      <c r="J22" s="362"/>
      <c r="K22" s="359"/>
    </row>
    <row r="23" spans="1:11" s="360" customFormat="1">
      <c r="A23" s="364" t="s">
        <v>140</v>
      </c>
      <c r="B23" s="361">
        <f>'Sources and Uses Budget'!C23</f>
        <v>206500</v>
      </c>
      <c r="C23" s="362">
        <f t="shared" si="1"/>
        <v>206500</v>
      </c>
      <c r="D23" s="362"/>
      <c r="E23" s="361">
        <f>'Sources and Uses Budget'!S23</f>
        <v>206500</v>
      </c>
      <c r="F23" s="362">
        <f t="shared" si="2"/>
        <v>206500</v>
      </c>
      <c r="G23" s="362"/>
      <c r="H23" s="361">
        <f>'Sources and Uses Budget'!T23</f>
        <v>0</v>
      </c>
      <c r="I23" s="362">
        <f t="shared" si="3"/>
        <v>0</v>
      </c>
      <c r="J23" s="362"/>
      <c r="K23" s="359"/>
    </row>
    <row r="24" spans="1:11" s="360" customFormat="1">
      <c r="A24" s="508" t="s">
        <v>1641</v>
      </c>
      <c r="B24" s="361">
        <f>'Sources and Uses Budget'!C24</f>
        <v>0</v>
      </c>
      <c r="C24" s="362">
        <f t="shared" si="1"/>
        <v>0</v>
      </c>
      <c r="D24" s="362"/>
      <c r="E24" s="361">
        <f>'Sources and Uses Budget'!S24</f>
        <v>0</v>
      </c>
      <c r="F24" s="362">
        <f t="shared" si="2"/>
        <v>0</v>
      </c>
      <c r="G24" s="362"/>
      <c r="H24" s="361">
        <f>'Sources and Uses Budget'!T24</f>
        <v>0</v>
      </c>
      <c r="I24" s="362">
        <f t="shared" si="3"/>
        <v>0</v>
      </c>
      <c r="J24" s="362"/>
      <c r="K24" s="359"/>
    </row>
    <row r="25" spans="1:11" s="360" customFormat="1">
      <c r="A25" s="364" t="str">
        <f>'Sources and Uses Budget'!$A25</f>
        <v>Other: Lender Inspection</v>
      </c>
      <c r="B25" s="361">
        <f>'Sources and Uses Budget'!C25</f>
        <v>23600</v>
      </c>
      <c r="C25" s="362">
        <f t="shared" si="1"/>
        <v>23600</v>
      </c>
      <c r="D25" s="362"/>
      <c r="E25" s="361">
        <f>'Sources and Uses Budget'!S25</f>
        <v>23600</v>
      </c>
      <c r="F25" s="362">
        <f t="shared" si="2"/>
        <v>23600</v>
      </c>
      <c r="G25" s="362"/>
      <c r="H25" s="361">
        <f>'Sources and Uses Budget'!T25</f>
        <v>0</v>
      </c>
      <c r="I25" s="362">
        <f t="shared" si="3"/>
        <v>0</v>
      </c>
      <c r="J25" s="362"/>
      <c r="K25" s="359"/>
    </row>
    <row r="26" spans="1:11" s="360" customFormat="1">
      <c r="A26" s="365" t="s">
        <v>133</v>
      </c>
      <c r="B26" s="361">
        <f>'Sources and Uses Budget'!C26</f>
        <v>22604632</v>
      </c>
      <c r="C26" s="361">
        <f>SUM(C17:C25)</f>
        <v>22604632</v>
      </c>
      <c r="D26" s="361">
        <f>SUM(D17:D25)</f>
        <v>0</v>
      </c>
      <c r="E26" s="361">
        <f>'Sources and Uses Budget'!S26</f>
        <v>22604632</v>
      </c>
      <c r="F26" s="367">
        <f>SUM(F17:F25)</f>
        <v>22604632</v>
      </c>
      <c r="G26" s="367">
        <f>SUM(G17:G25)</f>
        <v>0</v>
      </c>
      <c r="H26" s="361">
        <f>'Sources and Uses Budget'!T26</f>
        <v>0</v>
      </c>
      <c r="I26" s="367">
        <f>SUM(I17:I25)</f>
        <v>0</v>
      </c>
      <c r="J26" s="367">
        <f>SUM(J17:J25)</f>
        <v>0</v>
      </c>
      <c r="K26" s="359"/>
    </row>
    <row r="27" spans="1:11" s="360" customFormat="1">
      <c r="A27" s="365" t="s">
        <v>141</v>
      </c>
      <c r="B27" s="361">
        <f>'Sources and Uses Budget'!C27</f>
        <v>286200</v>
      </c>
      <c r="C27" s="362">
        <f t="shared" si="1"/>
        <v>286200</v>
      </c>
      <c r="D27" s="362"/>
      <c r="E27" s="361">
        <f>'Sources and Uses Budget'!S27</f>
        <v>257580</v>
      </c>
      <c r="F27" s="362">
        <f t="shared" si="2"/>
        <v>257580</v>
      </c>
      <c r="G27" s="362"/>
      <c r="H27" s="361">
        <f>'Sources and Uses Budget'!T27</f>
        <v>0</v>
      </c>
      <c r="I27" s="362">
        <f t="shared" si="3"/>
        <v>0</v>
      </c>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f t="shared" si="1"/>
        <v>0</v>
      </c>
      <c r="D29" s="362"/>
      <c r="E29" s="361">
        <f>'Sources and Uses Budget'!S29</f>
        <v>0</v>
      </c>
      <c r="F29" s="362">
        <f t="shared" si="2"/>
        <v>0</v>
      </c>
      <c r="G29" s="362"/>
      <c r="H29" s="361">
        <f>'Sources and Uses Budget'!T29</f>
        <v>0</v>
      </c>
      <c r="I29" s="362">
        <f t="shared" si="3"/>
        <v>0</v>
      </c>
      <c r="J29" s="362"/>
      <c r="K29" s="359"/>
    </row>
    <row r="30" spans="1:11" s="360" customFormat="1">
      <c r="A30" s="145" t="s">
        <v>600</v>
      </c>
      <c r="B30" s="361">
        <f>'Sources and Uses Budget'!C30</f>
        <v>13733063</v>
      </c>
      <c r="C30" s="362">
        <f t="shared" si="1"/>
        <v>13733063</v>
      </c>
      <c r="D30" s="362"/>
      <c r="E30" s="361">
        <f>'Sources and Uses Budget'!S30</f>
        <v>13733063</v>
      </c>
      <c r="F30" s="362">
        <f t="shared" si="2"/>
        <v>13733063</v>
      </c>
      <c r="G30" s="362"/>
      <c r="H30" s="361">
        <f>'Sources and Uses Budget'!T30</f>
        <v>0</v>
      </c>
      <c r="I30" s="362">
        <f t="shared" si="3"/>
        <v>0</v>
      </c>
      <c r="J30" s="362"/>
      <c r="K30" s="359"/>
    </row>
    <row r="31" spans="1:11" s="360" customFormat="1">
      <c r="A31" s="145" t="s">
        <v>601</v>
      </c>
      <c r="B31" s="361">
        <f>'Sources and Uses Budget'!C31</f>
        <v>827561</v>
      </c>
      <c r="C31" s="362">
        <f t="shared" si="1"/>
        <v>827561</v>
      </c>
      <c r="D31" s="362"/>
      <c r="E31" s="361">
        <f>'Sources and Uses Budget'!S31</f>
        <v>827561</v>
      </c>
      <c r="F31" s="362">
        <f t="shared" si="2"/>
        <v>827561</v>
      </c>
      <c r="G31" s="362"/>
      <c r="H31" s="361">
        <f>'Sources and Uses Budget'!T31</f>
        <v>0</v>
      </c>
      <c r="I31" s="362">
        <f t="shared" si="3"/>
        <v>0</v>
      </c>
      <c r="J31" s="362"/>
      <c r="K31" s="359"/>
    </row>
    <row r="32" spans="1:11" s="360" customFormat="1">
      <c r="A32" s="145" t="s">
        <v>137</v>
      </c>
      <c r="B32" s="361">
        <f>'Sources and Uses Budget'!C32</f>
        <v>275854</v>
      </c>
      <c r="C32" s="362">
        <f t="shared" si="1"/>
        <v>275854</v>
      </c>
      <c r="D32" s="362"/>
      <c r="E32" s="361">
        <f>'Sources and Uses Budget'!S32</f>
        <v>275854</v>
      </c>
      <c r="F32" s="362">
        <f t="shared" si="2"/>
        <v>275854</v>
      </c>
      <c r="G32" s="362"/>
      <c r="H32" s="361">
        <f>'Sources and Uses Budget'!T32</f>
        <v>0</v>
      </c>
      <c r="I32" s="362">
        <f t="shared" si="3"/>
        <v>0</v>
      </c>
      <c r="J32" s="362"/>
      <c r="K32" s="359"/>
    </row>
    <row r="33" spans="1:11" s="360" customFormat="1">
      <c r="A33" s="145" t="s">
        <v>138</v>
      </c>
      <c r="B33" s="361">
        <f>'Sources and Uses Budget'!C33</f>
        <v>827561</v>
      </c>
      <c r="C33" s="362">
        <f t="shared" si="1"/>
        <v>827561</v>
      </c>
      <c r="D33" s="362"/>
      <c r="E33" s="361">
        <f>'Sources and Uses Budget'!S33</f>
        <v>827561</v>
      </c>
      <c r="F33" s="362">
        <f t="shared" si="2"/>
        <v>827561</v>
      </c>
      <c r="G33" s="362"/>
      <c r="H33" s="361">
        <f>'Sources and Uses Budget'!T33</f>
        <v>0</v>
      </c>
      <c r="I33" s="362">
        <f t="shared" si="3"/>
        <v>0</v>
      </c>
      <c r="J33" s="362"/>
      <c r="K33" s="359"/>
    </row>
    <row r="34" spans="1:11" s="360" customFormat="1">
      <c r="A34" s="145" t="s">
        <v>139</v>
      </c>
      <c r="B34" s="361">
        <f>'Sources and Uses Budget'!C34</f>
        <v>12869</v>
      </c>
      <c r="C34" s="362">
        <f t="shared" si="1"/>
        <v>12869</v>
      </c>
      <c r="D34" s="362"/>
      <c r="E34" s="361">
        <f>'Sources and Uses Budget'!S34</f>
        <v>12869</v>
      </c>
      <c r="F34" s="362">
        <f t="shared" si="2"/>
        <v>12869</v>
      </c>
      <c r="G34" s="362"/>
      <c r="H34" s="361">
        <f>'Sources and Uses Budget'!T34</f>
        <v>0</v>
      </c>
      <c r="I34" s="362">
        <f t="shared" si="3"/>
        <v>0</v>
      </c>
      <c r="J34" s="362"/>
      <c r="K34" s="359"/>
    </row>
    <row r="35" spans="1:11" s="360" customFormat="1">
      <c r="A35" s="145" t="s">
        <v>140</v>
      </c>
      <c r="B35" s="361">
        <f>'Sources and Uses Budget'!C35</f>
        <v>143500</v>
      </c>
      <c r="C35" s="362">
        <f t="shared" si="1"/>
        <v>143500</v>
      </c>
      <c r="D35" s="362"/>
      <c r="E35" s="361">
        <f>'Sources and Uses Budget'!S35</f>
        <v>143500</v>
      </c>
      <c r="F35" s="362">
        <f t="shared" si="2"/>
        <v>143500</v>
      </c>
      <c r="G35" s="362"/>
      <c r="H35" s="361">
        <f>'Sources and Uses Budget'!T35</f>
        <v>0</v>
      </c>
      <c r="I35" s="362">
        <f t="shared" si="3"/>
        <v>0</v>
      </c>
      <c r="J35" s="362"/>
      <c r="K35" s="359"/>
    </row>
    <row r="36" spans="1:11" s="360" customFormat="1">
      <c r="A36" s="508" t="s">
        <v>1641</v>
      </c>
      <c r="B36" s="361">
        <f>'Sources and Uses Budget'!C36</f>
        <v>0</v>
      </c>
      <c r="C36" s="362">
        <f t="shared" si="1"/>
        <v>0</v>
      </c>
      <c r="D36" s="362"/>
      <c r="E36" s="361">
        <f>'Sources and Uses Budget'!S36</f>
        <v>0</v>
      </c>
      <c r="F36" s="362">
        <f t="shared" si="2"/>
        <v>0</v>
      </c>
      <c r="G36" s="362"/>
      <c r="H36" s="361">
        <f>'Sources and Uses Budget'!T36</f>
        <v>0</v>
      </c>
      <c r="I36" s="362">
        <f t="shared" si="3"/>
        <v>0</v>
      </c>
      <c r="J36" s="362"/>
      <c r="K36" s="359"/>
    </row>
    <row r="37" spans="1:11" s="360" customFormat="1">
      <c r="A37" s="364" t="str">
        <f>'Sources and Uses Budget'!$A37</f>
        <v>Other: Lender Inspection</v>
      </c>
      <c r="B37" s="361">
        <f>'Sources and Uses Budget'!C37</f>
        <v>16400</v>
      </c>
      <c r="C37" s="362">
        <f t="shared" si="1"/>
        <v>16400</v>
      </c>
      <c r="D37" s="362"/>
      <c r="E37" s="361">
        <f>'Sources and Uses Budget'!S37</f>
        <v>16400</v>
      </c>
      <c r="F37" s="362">
        <f t="shared" si="2"/>
        <v>16400</v>
      </c>
      <c r="G37" s="362"/>
      <c r="H37" s="361">
        <f>'Sources and Uses Budget'!T37</f>
        <v>0</v>
      </c>
      <c r="I37" s="362">
        <f t="shared" si="3"/>
        <v>0</v>
      </c>
      <c r="J37" s="362"/>
      <c r="K37" s="359"/>
    </row>
    <row r="38" spans="1:11" s="360" customFormat="1">
      <c r="A38" s="365" t="s">
        <v>143</v>
      </c>
      <c r="B38" s="361">
        <f>'Sources and Uses Budget'!C38</f>
        <v>15836808</v>
      </c>
      <c r="C38" s="361">
        <f>SUM(C29:C37)</f>
        <v>15836808</v>
      </c>
      <c r="D38" s="361">
        <f>SUM(D29:D37)</f>
        <v>0</v>
      </c>
      <c r="E38" s="361">
        <f>'Sources and Uses Budget'!S38</f>
        <v>15836808</v>
      </c>
      <c r="F38" s="367">
        <f>SUM(F29:F37)</f>
        <v>15836808</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850000</v>
      </c>
      <c r="C40" s="362">
        <f t="shared" ref="C40:C53" si="4">B40</f>
        <v>850000</v>
      </c>
      <c r="D40" s="362"/>
      <c r="E40" s="361">
        <f>'Sources and Uses Budget'!S40</f>
        <v>850000</v>
      </c>
      <c r="F40" s="362">
        <f t="shared" ref="F40:F53" si="5">E40</f>
        <v>850000</v>
      </c>
      <c r="G40" s="362"/>
      <c r="H40" s="361">
        <f>'Sources and Uses Budget'!T40</f>
        <v>0</v>
      </c>
      <c r="I40" s="362">
        <f t="shared" ref="I40:I53" si="6">H40</f>
        <v>0</v>
      </c>
      <c r="J40" s="362"/>
      <c r="K40" s="359"/>
    </row>
    <row r="41" spans="1:11" s="360" customFormat="1">
      <c r="A41" s="364" t="s">
        <v>146</v>
      </c>
      <c r="B41" s="361">
        <f>'Sources and Uses Budget'!C41</f>
        <v>335000</v>
      </c>
      <c r="C41" s="362">
        <f t="shared" si="4"/>
        <v>335000</v>
      </c>
      <c r="D41" s="362"/>
      <c r="E41" s="361">
        <f>'Sources and Uses Budget'!S41</f>
        <v>335000</v>
      </c>
      <c r="F41" s="362">
        <f t="shared" si="5"/>
        <v>335000</v>
      </c>
      <c r="G41" s="362"/>
      <c r="H41" s="361">
        <f>'Sources and Uses Budget'!T41</f>
        <v>0</v>
      </c>
      <c r="I41" s="362">
        <f t="shared" si="6"/>
        <v>0</v>
      </c>
      <c r="J41" s="362"/>
      <c r="K41" s="359"/>
    </row>
    <row r="42" spans="1:11" s="360" customFormat="1">
      <c r="A42" s="365" t="s">
        <v>147</v>
      </c>
      <c r="B42" s="361">
        <f>'Sources and Uses Budget'!C42</f>
        <v>1185000</v>
      </c>
      <c r="C42" s="361">
        <f>SUM(C39:C41)</f>
        <v>1185000</v>
      </c>
      <c r="D42" s="361">
        <f>SUM(D39:D41)</f>
        <v>0</v>
      </c>
      <c r="E42" s="361">
        <f>'Sources and Uses Budget'!S42</f>
        <v>1185000</v>
      </c>
      <c r="F42" s="367">
        <f>SUM(F40:F41)</f>
        <v>1185000</v>
      </c>
      <c r="G42" s="367">
        <f>SUM(G40:G41)</f>
        <v>0</v>
      </c>
      <c r="H42" s="361">
        <f>'Sources and Uses Budget'!T42</f>
        <v>0</v>
      </c>
      <c r="I42" s="367">
        <f>SUM(I40:I41)</f>
        <v>0</v>
      </c>
      <c r="J42" s="367">
        <f>SUM(J40:J41)</f>
        <v>0</v>
      </c>
      <c r="K42" s="359"/>
    </row>
    <row r="43" spans="1:11" s="360" customFormat="1">
      <c r="A43" s="365" t="s">
        <v>148</v>
      </c>
      <c r="B43" s="361">
        <f>'Sources and Uses Budget'!C43</f>
        <v>443755</v>
      </c>
      <c r="C43" s="362">
        <f t="shared" si="4"/>
        <v>443755</v>
      </c>
      <c r="D43" s="362"/>
      <c r="E43" s="361">
        <f>'Sources and Uses Budget'!S43</f>
        <v>443755</v>
      </c>
      <c r="F43" s="362">
        <f t="shared" si="5"/>
        <v>443755</v>
      </c>
      <c r="G43" s="362"/>
      <c r="H43" s="361">
        <f>'Sources and Uses Budget'!T43</f>
        <v>0</v>
      </c>
      <c r="I43" s="362">
        <f t="shared" si="6"/>
        <v>0</v>
      </c>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3413575</v>
      </c>
      <c r="C45" s="362">
        <f t="shared" si="4"/>
        <v>3413575</v>
      </c>
      <c r="D45" s="362"/>
      <c r="E45" s="361">
        <f>'Sources and Uses Budget'!S45</f>
        <v>2051302</v>
      </c>
      <c r="F45" s="362">
        <f t="shared" si="5"/>
        <v>2051302</v>
      </c>
      <c r="G45" s="362"/>
      <c r="H45" s="361">
        <f>'Sources and Uses Budget'!T45</f>
        <v>0</v>
      </c>
      <c r="I45" s="362">
        <f t="shared" si="6"/>
        <v>0</v>
      </c>
      <c r="J45" s="362"/>
      <c r="K45" s="359"/>
    </row>
    <row r="46" spans="1:11" s="360" customFormat="1">
      <c r="A46" s="364" t="s">
        <v>151</v>
      </c>
      <c r="B46" s="361">
        <f>'Sources and Uses Budget'!C46</f>
        <v>425000</v>
      </c>
      <c r="C46" s="362">
        <f t="shared" si="4"/>
        <v>425000</v>
      </c>
      <c r="D46" s="362"/>
      <c r="E46" s="361">
        <f>'Sources and Uses Budget'!S46</f>
        <v>425000</v>
      </c>
      <c r="F46" s="362">
        <f t="shared" si="5"/>
        <v>425000</v>
      </c>
      <c r="G46" s="362"/>
      <c r="H46" s="361">
        <f>'Sources and Uses Budget'!T46</f>
        <v>0</v>
      </c>
      <c r="I46" s="362">
        <f t="shared" si="6"/>
        <v>0</v>
      </c>
      <c r="J46" s="362"/>
      <c r="K46" s="359"/>
    </row>
    <row r="47" spans="1:11" s="360" customFormat="1" ht="12" customHeight="1">
      <c r="A47" s="364" t="s">
        <v>152</v>
      </c>
      <c r="B47" s="361">
        <f>'Sources and Uses Budget'!C47</f>
        <v>0</v>
      </c>
      <c r="C47" s="362">
        <f t="shared" si="4"/>
        <v>0</v>
      </c>
      <c r="D47" s="362"/>
      <c r="E47" s="361">
        <f>'Sources and Uses Budget'!S47</f>
        <v>0</v>
      </c>
      <c r="F47" s="362">
        <f t="shared" si="5"/>
        <v>0</v>
      </c>
      <c r="G47" s="362"/>
      <c r="H47" s="361">
        <f>'Sources and Uses Budget'!T47</f>
        <v>0</v>
      </c>
      <c r="I47" s="362">
        <f t="shared" si="6"/>
        <v>0</v>
      </c>
      <c r="J47" s="362"/>
      <c r="K47" s="359"/>
    </row>
    <row r="48" spans="1:11" s="360" customFormat="1">
      <c r="A48" s="364" t="s">
        <v>153</v>
      </c>
      <c r="B48" s="361">
        <f>'Sources and Uses Budget'!C48</f>
        <v>0</v>
      </c>
      <c r="C48" s="362">
        <f t="shared" si="4"/>
        <v>0</v>
      </c>
      <c r="D48" s="362"/>
      <c r="E48" s="361">
        <f>'Sources and Uses Budget'!S48</f>
        <v>0</v>
      </c>
      <c r="F48" s="362">
        <f t="shared" si="5"/>
        <v>0</v>
      </c>
      <c r="G48" s="362"/>
      <c r="H48" s="361">
        <f>'Sources and Uses Budget'!T48</f>
        <v>0</v>
      </c>
      <c r="I48" s="362">
        <f t="shared" si="6"/>
        <v>0</v>
      </c>
      <c r="J48" s="362"/>
      <c r="K48" s="359"/>
    </row>
    <row r="49" spans="1:11" s="360" customFormat="1">
      <c r="A49" s="283" t="s">
        <v>57</v>
      </c>
      <c r="B49" s="361">
        <f>'Sources and Uses Budget'!C49</f>
        <v>129893</v>
      </c>
      <c r="C49" s="362">
        <f t="shared" si="4"/>
        <v>129893</v>
      </c>
      <c r="D49" s="362"/>
      <c r="E49" s="361">
        <f>'Sources and Uses Budget'!S49</f>
        <v>0</v>
      </c>
      <c r="F49" s="362">
        <f t="shared" si="5"/>
        <v>0</v>
      </c>
      <c r="G49" s="362"/>
      <c r="H49" s="361">
        <f>'Sources and Uses Budget'!T49</f>
        <v>0</v>
      </c>
      <c r="I49" s="362">
        <f t="shared" si="6"/>
        <v>0</v>
      </c>
      <c r="J49" s="362"/>
      <c r="K49" s="359"/>
    </row>
    <row r="50" spans="1:11" s="360" customFormat="1">
      <c r="A50" s="364" t="s">
        <v>156</v>
      </c>
      <c r="B50" s="361">
        <f>'Sources and Uses Budget'!C50</f>
        <v>25000</v>
      </c>
      <c r="C50" s="362">
        <f t="shared" si="4"/>
        <v>25000</v>
      </c>
      <c r="D50" s="362"/>
      <c r="E50" s="361">
        <f>'Sources and Uses Budget'!S50</f>
        <v>25000</v>
      </c>
      <c r="F50" s="362">
        <f t="shared" si="5"/>
        <v>25000</v>
      </c>
      <c r="G50" s="362"/>
      <c r="H50" s="361">
        <f>'Sources and Uses Budget'!T50</f>
        <v>0</v>
      </c>
      <c r="I50" s="362">
        <f t="shared" si="6"/>
        <v>0</v>
      </c>
      <c r="J50" s="362"/>
      <c r="K50" s="359"/>
    </row>
    <row r="51" spans="1:11" s="360" customFormat="1">
      <c r="A51" s="364" t="s">
        <v>154</v>
      </c>
      <c r="B51" s="361">
        <f>'Sources and Uses Budget'!C51</f>
        <v>0</v>
      </c>
      <c r="C51" s="362">
        <f t="shared" si="4"/>
        <v>0</v>
      </c>
      <c r="D51" s="362"/>
      <c r="E51" s="361">
        <f>'Sources and Uses Budget'!S51</f>
        <v>0</v>
      </c>
      <c r="F51" s="362">
        <f t="shared" si="5"/>
        <v>0</v>
      </c>
      <c r="G51" s="362"/>
      <c r="H51" s="361">
        <f>'Sources and Uses Budget'!T51</f>
        <v>0</v>
      </c>
      <c r="I51" s="362">
        <f t="shared" si="6"/>
        <v>0</v>
      </c>
      <c r="J51" s="362"/>
      <c r="K51" s="359"/>
    </row>
    <row r="52" spans="1:11" s="360" customFormat="1">
      <c r="A52" s="364" t="s">
        <v>155</v>
      </c>
      <c r="B52" s="361">
        <f>'Sources and Uses Budget'!C52</f>
        <v>0</v>
      </c>
      <c r="C52" s="362">
        <f t="shared" si="4"/>
        <v>0</v>
      </c>
      <c r="D52" s="362"/>
      <c r="E52" s="361">
        <f>'Sources and Uses Budget'!S52</f>
        <v>0</v>
      </c>
      <c r="F52" s="362">
        <f t="shared" si="5"/>
        <v>0</v>
      </c>
      <c r="G52" s="362"/>
      <c r="H52" s="361">
        <f>'Sources and Uses Budget'!T52</f>
        <v>0</v>
      </c>
      <c r="I52" s="362">
        <f t="shared" si="6"/>
        <v>0</v>
      </c>
      <c r="J52" s="362"/>
      <c r="K52" s="359"/>
    </row>
    <row r="53" spans="1:11" s="360" customFormat="1" ht="24">
      <c r="A53" s="364" t="str">
        <f>'Sources and Uses Budget'!$A53</f>
        <v>Other: Performance Deposit, Trustee Fees, Filing Fees</v>
      </c>
      <c r="B53" s="361">
        <f>'Sources and Uses Budget'!C53</f>
        <v>328720</v>
      </c>
      <c r="C53" s="362">
        <f t="shared" si="4"/>
        <v>328720</v>
      </c>
      <c r="D53" s="362"/>
      <c r="E53" s="361">
        <f>'Sources and Uses Budget'!S53</f>
        <v>138900</v>
      </c>
      <c r="F53" s="362">
        <f t="shared" si="5"/>
        <v>138900</v>
      </c>
      <c r="G53" s="362"/>
      <c r="H53" s="361">
        <f>'Sources and Uses Budget'!T53</f>
        <v>0</v>
      </c>
      <c r="I53" s="362">
        <f t="shared" si="6"/>
        <v>0</v>
      </c>
      <c r="J53" s="362"/>
      <c r="K53" s="359"/>
    </row>
    <row r="54" spans="1:11" s="369" customFormat="1">
      <c r="A54" s="365" t="s">
        <v>157</v>
      </c>
      <c r="B54" s="361">
        <f>'Sources and Uses Budget'!C54</f>
        <v>4322188</v>
      </c>
      <c r="C54" s="367">
        <f>SUM(C45:C53)</f>
        <v>4322188</v>
      </c>
      <c r="D54" s="367">
        <f>SUM(D45:D53)</f>
        <v>0</v>
      </c>
      <c r="E54" s="361">
        <f>'Sources and Uses Budget'!S54</f>
        <v>2640202</v>
      </c>
      <c r="F54" s="367">
        <f>SUM(F45:F53)</f>
        <v>2640202</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208300</v>
      </c>
      <c r="C56" s="362">
        <f t="shared" ref="C56:C61" si="7">B56</f>
        <v>208300</v>
      </c>
      <c r="D56" s="362"/>
      <c r="E56" s="363"/>
      <c r="F56" s="363"/>
      <c r="G56" s="363"/>
      <c r="H56" s="363"/>
      <c r="I56" s="363"/>
      <c r="J56" s="363"/>
      <c r="K56" s="359"/>
    </row>
    <row r="57" spans="1:11" s="360" customFormat="1" ht="12" customHeight="1">
      <c r="A57" s="364" t="s">
        <v>152</v>
      </c>
      <c r="B57" s="361">
        <f>'Sources and Uses Budget'!C57</f>
        <v>0</v>
      </c>
      <c r="C57" s="362">
        <f t="shared" si="7"/>
        <v>0</v>
      </c>
      <c r="D57" s="362"/>
      <c r="E57" s="363"/>
      <c r="F57" s="363"/>
      <c r="G57" s="363"/>
      <c r="H57" s="363"/>
      <c r="I57" s="363"/>
      <c r="J57" s="363"/>
      <c r="K57" s="359"/>
    </row>
    <row r="58" spans="1:11" s="360" customFormat="1">
      <c r="A58" s="364" t="s">
        <v>156</v>
      </c>
      <c r="B58" s="361">
        <f>'Sources and Uses Budget'!C58</f>
        <v>15000</v>
      </c>
      <c r="C58" s="362">
        <f t="shared" si="7"/>
        <v>15000</v>
      </c>
      <c r="D58" s="362"/>
      <c r="E58" s="363"/>
      <c r="F58" s="363"/>
      <c r="G58" s="363"/>
      <c r="H58" s="363"/>
      <c r="I58" s="363"/>
      <c r="J58" s="363"/>
      <c r="K58" s="359"/>
    </row>
    <row r="59" spans="1:11" s="360" customFormat="1">
      <c r="A59" s="364" t="s">
        <v>154</v>
      </c>
      <c r="B59" s="361">
        <f>'Sources and Uses Budget'!C59</f>
        <v>0</v>
      </c>
      <c r="C59" s="362">
        <f t="shared" si="7"/>
        <v>0</v>
      </c>
      <c r="D59" s="362"/>
      <c r="E59" s="363"/>
      <c r="F59" s="363"/>
      <c r="G59" s="363"/>
      <c r="H59" s="363"/>
      <c r="I59" s="363"/>
      <c r="J59" s="363"/>
      <c r="K59" s="359"/>
    </row>
    <row r="60" spans="1:11" s="360" customFormat="1">
      <c r="A60" s="364" t="s">
        <v>155</v>
      </c>
      <c r="B60" s="361">
        <f>'Sources and Uses Budget'!C60</f>
        <v>0</v>
      </c>
      <c r="C60" s="362">
        <f t="shared" si="7"/>
        <v>0</v>
      </c>
      <c r="D60" s="362"/>
      <c r="E60" s="363"/>
      <c r="F60" s="363"/>
      <c r="G60" s="363"/>
      <c r="H60" s="363"/>
      <c r="I60" s="363"/>
      <c r="J60" s="363"/>
      <c r="K60" s="359"/>
    </row>
    <row r="61" spans="1:11" s="360" customFormat="1">
      <c r="A61" s="364" t="str">
        <f>'Sources and Uses Budget'!$A61</f>
        <v>Other: (Specify)</v>
      </c>
      <c r="B61" s="361">
        <f>'Sources and Uses Budget'!C61</f>
        <v>0</v>
      </c>
      <c r="C61" s="362">
        <f t="shared" si="7"/>
        <v>0</v>
      </c>
      <c r="D61" s="362"/>
      <c r="E61" s="363"/>
      <c r="F61" s="363"/>
      <c r="G61" s="363"/>
      <c r="H61" s="363"/>
      <c r="I61" s="363"/>
      <c r="J61" s="363"/>
      <c r="K61" s="359"/>
    </row>
    <row r="62" spans="1:11" s="360" customFormat="1" ht="13.7" customHeight="1">
      <c r="A62" s="365" t="s">
        <v>301</v>
      </c>
      <c r="B62" s="361">
        <f>'Sources and Uses Budget'!C62</f>
        <v>223300</v>
      </c>
      <c r="C62" s="361">
        <f>SUM(C56:C61)</f>
        <v>223300</v>
      </c>
      <c r="D62" s="361">
        <f>SUM(D56:D61)</f>
        <v>0</v>
      </c>
      <c r="E62" s="363"/>
      <c r="F62" s="363"/>
      <c r="G62" s="363"/>
      <c r="H62" s="363"/>
      <c r="I62" s="363"/>
      <c r="J62" s="363"/>
      <c r="K62" s="359"/>
    </row>
    <row r="63" spans="1:11" s="360" customFormat="1">
      <c r="A63" s="370" t="s">
        <v>302</v>
      </c>
      <c r="B63" s="361">
        <f>'Sources and Uses Budget'!C63</f>
        <v>63657308</v>
      </c>
      <c r="C63" s="361">
        <f>SUM(C8+C11+C13+C14+C15+C26+C27+C38+C42+C43+C54+C62)</f>
        <v>63657308</v>
      </c>
      <c r="D63" s="361">
        <f>SUM(D8+D11+D13+D14+D15+D26+D27+D38+D42+D43+D54+D62)</f>
        <v>0</v>
      </c>
      <c r="E63" s="361">
        <f>'Sources and Uses Budget'!S63</f>
        <v>42967977</v>
      </c>
      <c r="F63" s="361">
        <f>SUM(F10+F13+F14+F15+F26+F27+F38+F42+F43+F54)</f>
        <v>42967977</v>
      </c>
      <c r="G63" s="361">
        <f>SUM(G10+G13+G14+G15+G26+G27+G38+G42+G43+G54)</f>
        <v>0</v>
      </c>
      <c r="H63" s="361">
        <f>'Sources and Uses Budget'!T63</f>
        <v>18610000</v>
      </c>
      <c r="I63" s="361">
        <f>SUM(I11+I13+I14+I15+I26+I27+I38+I42+I43+I54)</f>
        <v>18610000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195000</v>
      </c>
      <c r="C65" s="362">
        <f t="shared" ref="C65:C69" si="8">B65</f>
        <v>195000</v>
      </c>
      <c r="D65" s="362"/>
      <c r="E65" s="361">
        <f>'Sources and Uses Budget'!S65</f>
        <v>105060</v>
      </c>
      <c r="F65" s="362">
        <f t="shared" ref="F65:F69" si="9">E65</f>
        <v>105060</v>
      </c>
      <c r="G65" s="362"/>
      <c r="H65" s="361">
        <f>'Sources and Uses Budget'!T65</f>
        <v>0</v>
      </c>
      <c r="I65" s="362">
        <f t="shared" ref="I65:I69" si="10">H65</f>
        <v>0</v>
      </c>
      <c r="J65" s="362"/>
      <c r="K65" s="359"/>
    </row>
    <row r="66" spans="1:11" s="360" customFormat="1" ht="24">
      <c r="A66" s="283" t="s">
        <v>1642</v>
      </c>
      <c r="B66" s="361">
        <f>'Sources and Uses Budget'!C66</f>
        <v>0</v>
      </c>
      <c r="C66" s="362">
        <f t="shared" si="8"/>
        <v>0</v>
      </c>
      <c r="D66" s="362"/>
      <c r="E66" s="361">
        <f>'Sources and Uses Budget'!S66</f>
        <v>0</v>
      </c>
      <c r="F66" s="362">
        <f t="shared" si="9"/>
        <v>0</v>
      </c>
      <c r="G66" s="362"/>
      <c r="H66" s="361">
        <f>'Sources and Uses Budget'!T66</f>
        <v>0</v>
      </c>
      <c r="I66" s="362">
        <f t="shared" si="10"/>
        <v>0</v>
      </c>
      <c r="J66" s="362"/>
      <c r="K66" s="359"/>
    </row>
    <row r="67" spans="1:11" s="360" customFormat="1" ht="24">
      <c r="A67" s="283" t="s">
        <v>1643</v>
      </c>
      <c r="B67" s="361">
        <f>'Sources and Uses Budget'!C67</f>
        <v>229131</v>
      </c>
      <c r="C67" s="362">
        <f t="shared" si="8"/>
        <v>229131</v>
      </c>
      <c r="D67" s="362"/>
      <c r="E67" s="361">
        <f>'Sources and Uses Budget'!S67</f>
        <v>229131</v>
      </c>
      <c r="F67" s="362">
        <f t="shared" si="9"/>
        <v>229131</v>
      </c>
      <c r="G67" s="362"/>
      <c r="H67" s="361">
        <f>'Sources and Uses Budget'!T67</f>
        <v>0</v>
      </c>
      <c r="I67" s="362">
        <f t="shared" si="10"/>
        <v>0</v>
      </c>
      <c r="J67" s="362"/>
      <c r="K67" s="359"/>
    </row>
    <row r="68" spans="1:11" s="360" customFormat="1">
      <c r="A68" s="283" t="s">
        <v>1649</v>
      </c>
      <c r="B68" s="361">
        <f>'Sources and Uses Budget'!C68</f>
        <v>0</v>
      </c>
      <c r="C68" s="362">
        <f t="shared" si="8"/>
        <v>0</v>
      </c>
      <c r="D68" s="362"/>
      <c r="E68" s="361">
        <f>'Sources and Uses Budget'!S68</f>
        <v>0</v>
      </c>
      <c r="F68" s="362">
        <f t="shared" si="9"/>
        <v>0</v>
      </c>
      <c r="G68" s="362"/>
      <c r="H68" s="361">
        <f>'Sources and Uses Budget'!T68</f>
        <v>0</v>
      </c>
      <c r="I68" s="362">
        <f t="shared" si="10"/>
        <v>0</v>
      </c>
      <c r="J68" s="362"/>
      <c r="K68" s="359"/>
    </row>
    <row r="69" spans="1:11" s="360" customFormat="1" ht="24">
      <c r="A69" s="364" t="str">
        <f>'Sources and Uses Budget'!$A69</f>
        <v>Other: Legal (Transactional, Partnership, Sydication)</v>
      </c>
      <c r="B69" s="361">
        <f>'Sources and Uses Budget'!C69</f>
        <v>230000</v>
      </c>
      <c r="C69" s="362">
        <f t="shared" si="8"/>
        <v>230000</v>
      </c>
      <c r="D69" s="362"/>
      <c r="E69" s="361">
        <f>'Sources and Uses Budget'!S69</f>
        <v>172500</v>
      </c>
      <c r="F69" s="362">
        <f t="shared" si="9"/>
        <v>172500</v>
      </c>
      <c r="G69" s="362"/>
      <c r="H69" s="361">
        <f>'Sources and Uses Budget'!T69</f>
        <v>0</v>
      </c>
      <c r="I69" s="362">
        <f t="shared" si="10"/>
        <v>0</v>
      </c>
      <c r="J69" s="362"/>
      <c r="K69" s="359"/>
    </row>
    <row r="70" spans="1:11" s="360" customFormat="1">
      <c r="A70" s="365" t="s">
        <v>602</v>
      </c>
      <c r="B70" s="361">
        <f>'Sources and Uses Budget'!C70</f>
        <v>654131</v>
      </c>
      <c r="C70" s="361">
        <f>SUM(C64:C69)</f>
        <v>654131</v>
      </c>
      <c r="D70" s="361">
        <f>SUM(D64:D69)</f>
        <v>0</v>
      </c>
      <c r="E70" s="361">
        <f>'Sources and Uses Budget'!S70</f>
        <v>506691</v>
      </c>
      <c r="F70" s="367">
        <f>SUM(F65:F69)</f>
        <v>506691</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f t="shared" ref="C72:C76" si="11">B72</f>
        <v>0</v>
      </c>
      <c r="D72" s="362"/>
      <c r="E72" s="363"/>
      <c r="F72" s="363"/>
      <c r="G72" s="363"/>
      <c r="H72" s="363"/>
      <c r="I72" s="363"/>
      <c r="J72" s="363"/>
      <c r="K72" s="359"/>
    </row>
    <row r="73" spans="1:11" s="360" customFormat="1">
      <c r="A73" s="364" t="s">
        <v>605</v>
      </c>
      <c r="B73" s="361">
        <f>'Sources and Uses Budget'!C73</f>
        <v>0</v>
      </c>
      <c r="C73" s="362">
        <f t="shared" si="11"/>
        <v>0</v>
      </c>
      <c r="D73" s="362"/>
      <c r="E73" s="363"/>
      <c r="F73" s="363"/>
      <c r="G73" s="363"/>
      <c r="H73" s="363"/>
      <c r="I73" s="363"/>
      <c r="J73" s="363"/>
      <c r="K73" s="359"/>
    </row>
    <row r="74" spans="1:11" s="360" customFormat="1">
      <c r="A74" s="366" t="s">
        <v>987</v>
      </c>
      <c r="B74" s="361">
        <f>'Sources and Uses Budget'!C74</f>
        <v>0</v>
      </c>
      <c r="C74" s="362">
        <f t="shared" si="11"/>
        <v>0</v>
      </c>
      <c r="D74" s="362"/>
      <c r="E74" s="363"/>
      <c r="F74" s="363"/>
      <c r="G74" s="363"/>
      <c r="H74" s="363"/>
      <c r="I74" s="363"/>
      <c r="J74" s="363"/>
      <c r="K74" s="359"/>
    </row>
    <row r="75" spans="1:11" s="360" customFormat="1">
      <c r="A75" s="364" t="s">
        <v>606</v>
      </c>
      <c r="B75" s="361">
        <f>'Sources and Uses Budget'!C75</f>
        <v>0</v>
      </c>
      <c r="C75" s="362">
        <f t="shared" si="11"/>
        <v>0</v>
      </c>
      <c r="D75" s="362"/>
      <c r="E75" s="363"/>
      <c r="F75" s="363"/>
      <c r="G75" s="363"/>
      <c r="H75" s="363"/>
      <c r="I75" s="363"/>
      <c r="J75" s="363"/>
      <c r="K75" s="359"/>
    </row>
    <row r="76" spans="1:11" s="360" customFormat="1" ht="24">
      <c r="A76" s="364" t="str">
        <f>'Sources and Uses Budget'!$A76</f>
        <v>Other: Replacement, Operating, and Debt Service</v>
      </c>
      <c r="B76" s="361">
        <f>'Sources and Uses Budget'!C76</f>
        <v>730519</v>
      </c>
      <c r="C76" s="362">
        <f t="shared" si="11"/>
        <v>730519</v>
      </c>
      <c r="D76" s="362"/>
      <c r="E76" s="363"/>
      <c r="F76" s="363"/>
      <c r="G76" s="363"/>
      <c r="H76" s="363"/>
      <c r="I76" s="363"/>
      <c r="J76" s="363"/>
      <c r="K76" s="359"/>
    </row>
    <row r="77" spans="1:11" s="360" customFormat="1">
      <c r="A77" s="365" t="s">
        <v>607</v>
      </c>
      <c r="B77" s="361">
        <f>'Sources and Uses Budget'!C77</f>
        <v>730519</v>
      </c>
      <c r="C77" s="361">
        <f>SUM(C72:C76)</f>
        <v>730519</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3030364</v>
      </c>
      <c r="C79" s="362">
        <f t="shared" ref="C79:C80" si="12">B79</f>
        <v>3030364</v>
      </c>
      <c r="D79" s="362"/>
      <c r="E79" s="361">
        <f>'Sources and Uses Budget'!S79</f>
        <v>3030364</v>
      </c>
      <c r="F79" s="362">
        <f t="shared" ref="F79:F80" si="13">E79</f>
        <v>3030364</v>
      </c>
      <c r="G79" s="362"/>
      <c r="H79" s="361">
        <f>'Sources and Uses Budget'!T79</f>
        <v>0</v>
      </c>
      <c r="I79" s="362">
        <f t="shared" ref="I79:I80" si="14">H79</f>
        <v>0</v>
      </c>
      <c r="J79" s="362"/>
      <c r="K79" s="359"/>
    </row>
    <row r="80" spans="1:11" s="360" customFormat="1">
      <c r="A80" s="364" t="s">
        <v>58</v>
      </c>
      <c r="B80" s="361">
        <f>'Sources and Uses Budget'!C80</f>
        <v>327748</v>
      </c>
      <c r="C80" s="362">
        <f t="shared" si="12"/>
        <v>327748</v>
      </c>
      <c r="D80" s="362"/>
      <c r="E80" s="361">
        <f>'Sources and Uses Budget'!S80</f>
        <v>115542</v>
      </c>
      <c r="F80" s="362">
        <f t="shared" si="13"/>
        <v>115542</v>
      </c>
      <c r="G80" s="362"/>
      <c r="H80" s="361">
        <f>'Sources and Uses Budget'!T80</f>
        <v>0</v>
      </c>
      <c r="I80" s="362">
        <f t="shared" si="14"/>
        <v>0</v>
      </c>
      <c r="J80" s="362"/>
      <c r="K80" s="359"/>
    </row>
    <row r="81" spans="1:11" s="360" customFormat="1">
      <c r="A81" s="365" t="s">
        <v>1210</v>
      </c>
      <c r="B81" s="361">
        <f>'Sources and Uses Budget'!C81</f>
        <v>3358112</v>
      </c>
      <c r="C81" s="361">
        <f>SUM(C79:C80)</f>
        <v>3358112</v>
      </c>
      <c r="D81" s="361">
        <f>SUM(D79:D80)</f>
        <v>0</v>
      </c>
      <c r="E81" s="361">
        <f>'Sources and Uses Budget'!S81</f>
        <v>3145906</v>
      </c>
      <c r="F81" s="361">
        <f>SUM(F79:F80)</f>
        <v>3145906</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2095</v>
      </c>
      <c r="B83" s="361">
        <f>'Sources and Uses Budget'!C83</f>
        <v>6700</v>
      </c>
      <c r="C83" s="362">
        <f t="shared" ref="C83:C95" si="15">B83</f>
        <v>6700</v>
      </c>
      <c r="D83" s="362"/>
      <c r="E83" s="363"/>
      <c r="F83" s="363"/>
      <c r="G83" s="363"/>
      <c r="H83" s="363"/>
      <c r="I83" s="363"/>
      <c r="J83" s="363"/>
      <c r="K83" s="359"/>
    </row>
    <row r="84" spans="1:11" s="360" customFormat="1">
      <c r="A84" s="145" t="s">
        <v>768</v>
      </c>
      <c r="B84" s="361">
        <f>'Sources and Uses Budget'!C84</f>
        <v>165000</v>
      </c>
      <c r="C84" s="362">
        <f t="shared" si="15"/>
        <v>165000</v>
      </c>
      <c r="D84" s="362"/>
      <c r="E84" s="361">
        <f>'Sources and Uses Budget'!S84</f>
        <v>165000</v>
      </c>
      <c r="F84" s="362">
        <f t="shared" ref="F84:F95" si="16">E84</f>
        <v>165000</v>
      </c>
      <c r="G84" s="362"/>
      <c r="H84" s="361">
        <f>'Sources and Uses Budget'!T84</f>
        <v>0</v>
      </c>
      <c r="I84" s="362">
        <f t="shared" ref="I84:I95" si="17">H84</f>
        <v>0</v>
      </c>
      <c r="J84" s="362"/>
      <c r="K84" s="359"/>
    </row>
    <row r="85" spans="1:11" s="360" customFormat="1">
      <c r="A85" s="145" t="s">
        <v>769</v>
      </c>
      <c r="B85" s="361">
        <f>'Sources and Uses Budget'!C85</f>
        <v>375869</v>
      </c>
      <c r="C85" s="362">
        <f t="shared" si="15"/>
        <v>375869</v>
      </c>
      <c r="D85" s="362"/>
      <c r="E85" s="361">
        <f>'Sources and Uses Budget'!S85</f>
        <v>375869</v>
      </c>
      <c r="F85" s="362">
        <f t="shared" si="16"/>
        <v>375869</v>
      </c>
      <c r="G85" s="362"/>
      <c r="H85" s="361">
        <f>'Sources and Uses Budget'!T85</f>
        <v>0</v>
      </c>
      <c r="I85" s="362">
        <f t="shared" si="17"/>
        <v>0</v>
      </c>
      <c r="J85" s="362"/>
      <c r="K85" s="359"/>
    </row>
    <row r="86" spans="1:11" s="360" customFormat="1">
      <c r="A86" s="145" t="s">
        <v>770</v>
      </c>
      <c r="B86" s="361">
        <f>'Sources and Uses Budget'!C86</f>
        <v>0</v>
      </c>
      <c r="C86" s="362">
        <f t="shared" si="15"/>
        <v>0</v>
      </c>
      <c r="D86" s="362"/>
      <c r="E86" s="361">
        <f>'Sources and Uses Budget'!S86</f>
        <v>0</v>
      </c>
      <c r="F86" s="362">
        <f t="shared" si="16"/>
        <v>0</v>
      </c>
      <c r="G86" s="362"/>
      <c r="H86" s="361">
        <f>'Sources and Uses Budget'!T86</f>
        <v>0</v>
      </c>
      <c r="I86" s="362">
        <f t="shared" si="17"/>
        <v>0</v>
      </c>
      <c r="J86" s="362"/>
      <c r="K86" s="359"/>
    </row>
    <row r="87" spans="1:11" s="360" customFormat="1">
      <c r="A87" s="145" t="s">
        <v>771</v>
      </c>
      <c r="B87" s="361">
        <f>'Sources and Uses Budget'!C87</f>
        <v>0</v>
      </c>
      <c r="C87" s="362">
        <f t="shared" si="15"/>
        <v>0</v>
      </c>
      <c r="D87" s="362"/>
      <c r="E87" s="361">
        <f>'Sources and Uses Budget'!S87</f>
        <v>0</v>
      </c>
      <c r="F87" s="362">
        <f t="shared" si="16"/>
        <v>0</v>
      </c>
      <c r="G87" s="362"/>
      <c r="H87" s="361">
        <f>'Sources and Uses Budget'!T87</f>
        <v>0</v>
      </c>
      <c r="I87" s="362">
        <f t="shared" si="17"/>
        <v>0</v>
      </c>
      <c r="J87" s="362"/>
      <c r="K87" s="359"/>
    </row>
    <row r="88" spans="1:11" s="360" customFormat="1">
      <c r="A88" s="145" t="s">
        <v>772</v>
      </c>
      <c r="B88" s="361">
        <f>'Sources and Uses Budget'!C88</f>
        <v>10000</v>
      </c>
      <c r="C88" s="362">
        <f t="shared" si="15"/>
        <v>10000</v>
      </c>
      <c r="D88" s="362"/>
      <c r="E88" s="363"/>
      <c r="F88" s="363"/>
      <c r="G88" s="363"/>
      <c r="H88" s="363"/>
      <c r="I88" s="363"/>
      <c r="J88" s="363"/>
      <c r="K88" s="359"/>
    </row>
    <row r="89" spans="1:11" s="360" customFormat="1">
      <c r="A89" s="145" t="s">
        <v>773</v>
      </c>
      <c r="B89" s="361">
        <f>'Sources and Uses Budget'!C89</f>
        <v>122477</v>
      </c>
      <c r="C89" s="362">
        <f t="shared" si="15"/>
        <v>122477</v>
      </c>
      <c r="D89" s="362"/>
      <c r="E89" s="361">
        <f>'Sources and Uses Budget'!S89</f>
        <v>122477</v>
      </c>
      <c r="F89" s="362">
        <f t="shared" si="16"/>
        <v>122477</v>
      </c>
      <c r="G89" s="362"/>
      <c r="H89" s="361">
        <f>'Sources and Uses Budget'!T89</f>
        <v>0</v>
      </c>
      <c r="I89" s="362">
        <f t="shared" si="17"/>
        <v>0</v>
      </c>
      <c r="J89" s="362"/>
      <c r="K89" s="359"/>
    </row>
    <row r="90" spans="1:11" s="360" customFormat="1">
      <c r="A90" s="145" t="s">
        <v>774</v>
      </c>
      <c r="B90" s="361">
        <f>'Sources and Uses Budget'!C90</f>
        <v>15000</v>
      </c>
      <c r="C90" s="362">
        <f t="shared" si="15"/>
        <v>15000</v>
      </c>
      <c r="D90" s="362"/>
      <c r="E90" s="361">
        <f>'Sources and Uses Budget'!S90</f>
        <v>15000</v>
      </c>
      <c r="F90" s="362">
        <f t="shared" si="16"/>
        <v>15000</v>
      </c>
      <c r="G90" s="362"/>
      <c r="H90" s="361">
        <f>'Sources and Uses Budget'!T90</f>
        <v>0</v>
      </c>
      <c r="I90" s="362">
        <f t="shared" si="17"/>
        <v>0</v>
      </c>
      <c r="J90" s="362"/>
      <c r="K90" s="359"/>
    </row>
    <row r="91" spans="1:11" s="360" customFormat="1">
      <c r="A91" s="155" t="s">
        <v>372</v>
      </c>
      <c r="B91" s="361">
        <f>'Sources and Uses Budget'!C91</f>
        <v>40000</v>
      </c>
      <c r="C91" s="362">
        <f t="shared" si="15"/>
        <v>40000</v>
      </c>
      <c r="D91" s="362"/>
      <c r="E91" s="361">
        <f>'Sources and Uses Budget'!S91</f>
        <v>30000</v>
      </c>
      <c r="F91" s="362">
        <f t="shared" si="16"/>
        <v>30000</v>
      </c>
      <c r="G91" s="362"/>
      <c r="H91" s="361">
        <f>'Sources and Uses Budget'!T91</f>
        <v>0</v>
      </c>
      <c r="I91" s="362">
        <f t="shared" si="17"/>
        <v>0</v>
      </c>
      <c r="J91" s="362"/>
      <c r="K91" s="359"/>
    </row>
    <row r="92" spans="1:11" s="360" customFormat="1">
      <c r="A92" s="508" t="s">
        <v>1212</v>
      </c>
      <c r="B92" s="361">
        <f>'Sources and Uses Budget'!C92</f>
        <v>15000</v>
      </c>
      <c r="C92" s="362">
        <f t="shared" si="15"/>
        <v>15000</v>
      </c>
      <c r="D92" s="362"/>
      <c r="E92" s="361">
        <f>'Sources and Uses Budget'!S92</f>
        <v>15000</v>
      </c>
      <c r="F92" s="362">
        <f t="shared" si="16"/>
        <v>15000</v>
      </c>
      <c r="G92" s="362"/>
      <c r="H92" s="361">
        <f>'Sources and Uses Budget'!T92</f>
        <v>0</v>
      </c>
      <c r="I92" s="362">
        <f t="shared" si="17"/>
        <v>0</v>
      </c>
      <c r="J92" s="362"/>
      <c r="K92" s="359"/>
    </row>
    <row r="93" spans="1:11" s="360" customFormat="1">
      <c r="A93" s="364" t="str">
        <f>'Sources and Uses Budget'!$A93</f>
        <v>Other: CASp Accessibility</v>
      </c>
      <c r="B93" s="361">
        <f>'Sources and Uses Budget'!C93</f>
        <v>30000</v>
      </c>
      <c r="C93" s="362">
        <f t="shared" si="15"/>
        <v>30000</v>
      </c>
      <c r="D93" s="362"/>
      <c r="E93" s="361">
        <f>'Sources and Uses Budget'!S93</f>
        <v>30000</v>
      </c>
      <c r="F93" s="362">
        <f t="shared" si="16"/>
        <v>30000</v>
      </c>
      <c r="G93" s="362"/>
      <c r="H93" s="361">
        <f>'Sources and Uses Budget'!T93</f>
        <v>0</v>
      </c>
      <c r="I93" s="362">
        <f t="shared" si="17"/>
        <v>0</v>
      </c>
      <c r="J93" s="362"/>
      <c r="K93" s="359"/>
    </row>
    <row r="94" spans="1:11" s="360" customFormat="1">
      <c r="A94" s="364" t="str">
        <f>'Sources and Uses Budget'!$A94</f>
        <v>Other: Public Works Inspection</v>
      </c>
      <c r="B94" s="361">
        <f>'Sources and Uses Budget'!C94</f>
        <v>50000</v>
      </c>
      <c r="C94" s="362">
        <f t="shared" si="15"/>
        <v>50000</v>
      </c>
      <c r="D94" s="362"/>
      <c r="E94" s="361">
        <f>'Sources and Uses Budget'!S94</f>
        <v>50000</v>
      </c>
      <c r="F94" s="362">
        <f t="shared" si="16"/>
        <v>50000</v>
      </c>
      <c r="G94" s="362"/>
      <c r="H94" s="361">
        <f>'Sources and Uses Budget'!T94</f>
        <v>0</v>
      </c>
      <c r="I94" s="362">
        <f t="shared" si="17"/>
        <v>0</v>
      </c>
      <c r="J94" s="362"/>
      <c r="K94" s="359"/>
    </row>
    <row r="95" spans="1:11" s="360" customFormat="1" ht="24">
      <c r="A95" s="364" t="str">
        <f>'Sources and Uses Budget'!$A95</f>
        <v>Other: Physical Needs Assessment; Section 18 Application</v>
      </c>
      <c r="B95" s="361">
        <f>'Sources and Uses Budget'!C95</f>
        <v>50000</v>
      </c>
      <c r="C95" s="362">
        <f t="shared" si="15"/>
        <v>50000</v>
      </c>
      <c r="D95" s="362"/>
      <c r="E95" s="361">
        <f>'Sources and Uses Budget'!S95</f>
        <v>35000</v>
      </c>
      <c r="F95" s="362">
        <f t="shared" si="16"/>
        <v>35000</v>
      </c>
      <c r="G95" s="362"/>
      <c r="H95" s="361">
        <f>'Sources and Uses Budget'!T95</f>
        <v>0</v>
      </c>
      <c r="I95" s="362">
        <f t="shared" si="17"/>
        <v>0</v>
      </c>
      <c r="J95" s="362"/>
      <c r="K95" s="359"/>
    </row>
    <row r="96" spans="1:11" s="360" customFormat="1">
      <c r="A96" s="365" t="s">
        <v>775</v>
      </c>
      <c r="B96" s="361">
        <f>'Sources and Uses Budget'!C96</f>
        <v>880046</v>
      </c>
      <c r="C96" s="361">
        <f>SUM(C83:C95)</f>
        <v>880046</v>
      </c>
      <c r="D96" s="361">
        <f>SUM(D83:D95)</f>
        <v>0</v>
      </c>
      <c r="E96" s="361">
        <f>'Sources and Uses Budget'!S96</f>
        <v>838346</v>
      </c>
      <c r="F96" s="367">
        <f>SUM(F84:F87,F89:F95)</f>
        <v>838346</v>
      </c>
      <c r="G96" s="367">
        <f>SUM(G84:G87,G89:G95)</f>
        <v>0</v>
      </c>
      <c r="H96" s="361">
        <f>'Sources and Uses Budget'!T96</f>
        <v>0</v>
      </c>
      <c r="I96" s="361">
        <f>SUM(I84:I87,I89:I95)</f>
        <v>0</v>
      </c>
      <c r="J96" s="361">
        <f>SUM(J84:J87,J89:J95)</f>
        <v>0</v>
      </c>
      <c r="K96" s="359"/>
    </row>
    <row r="97" spans="1:11" s="360" customFormat="1">
      <c r="A97" s="365" t="s">
        <v>1030</v>
      </c>
      <c r="B97" s="361">
        <f>'Sources and Uses Budget'!C97</f>
        <v>69280116</v>
      </c>
      <c r="C97" s="361">
        <f>SUM(C63+C70+C77+C81+C96)</f>
        <v>69280116</v>
      </c>
      <c r="D97" s="361">
        <f>SUM(D63+D70+D77+D81+D96)</f>
        <v>0</v>
      </c>
      <c r="E97" s="361">
        <f>'Sources and Uses Budget'!S97</f>
        <v>47458920</v>
      </c>
      <c r="F97" s="367">
        <f>SUM(+F63+F70+F81+F96)</f>
        <v>47458920</v>
      </c>
      <c r="G97" s="367">
        <f>SUM(+G63+G70+G81+G96)</f>
        <v>0</v>
      </c>
      <c r="H97" s="361">
        <f>'Sources and Uses Budget'!T97</f>
        <v>18610000</v>
      </c>
      <c r="I97" s="367">
        <f>SUM(I63+I70+I81+I96)</f>
        <v>18610000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2500000</v>
      </c>
      <c r="C99" s="362">
        <f>B99</f>
        <v>2500000</v>
      </c>
      <c r="D99" s="362"/>
      <c r="E99" s="361">
        <f>'Sources and Uses Budget'!S99</f>
        <v>2500000</v>
      </c>
      <c r="F99" s="362">
        <f t="shared" ref="F99:F103" si="18">E99</f>
        <v>2500000</v>
      </c>
      <c r="G99" s="362"/>
      <c r="H99" s="361">
        <f>'Sources and Uses Budget'!T99</f>
        <v>0</v>
      </c>
      <c r="I99" s="362">
        <f t="shared" ref="I99:I103" si="19">H99</f>
        <v>0</v>
      </c>
      <c r="J99" s="362"/>
      <c r="K99" s="359"/>
    </row>
    <row r="100" spans="1:11" s="360" customFormat="1">
      <c r="A100" s="283" t="s">
        <v>1647</v>
      </c>
      <c r="B100" s="361">
        <f>'Sources and Uses Budget'!C100</f>
        <v>0</v>
      </c>
      <c r="C100" s="362">
        <f t="shared" ref="C100:C103" si="20">B100</f>
        <v>0</v>
      </c>
      <c r="D100" s="362"/>
      <c r="E100" s="361">
        <f>'Sources and Uses Budget'!S100</f>
        <v>0</v>
      </c>
      <c r="F100" s="362">
        <f t="shared" si="18"/>
        <v>0</v>
      </c>
      <c r="G100" s="362"/>
      <c r="H100" s="361">
        <f>'Sources and Uses Budget'!T100</f>
        <v>0</v>
      </c>
      <c r="I100" s="362">
        <f t="shared" si="19"/>
        <v>0</v>
      </c>
      <c r="J100" s="362"/>
      <c r="K100" s="359"/>
    </row>
    <row r="101" spans="1:11" s="360" customFormat="1">
      <c r="A101" s="145" t="s">
        <v>779</v>
      </c>
      <c r="B101" s="361">
        <f>'Sources and Uses Budget'!C101</f>
        <v>0</v>
      </c>
      <c r="C101" s="362">
        <f t="shared" si="20"/>
        <v>0</v>
      </c>
      <c r="D101" s="362"/>
      <c r="E101" s="361">
        <f>'Sources and Uses Budget'!S101</f>
        <v>0</v>
      </c>
      <c r="F101" s="362">
        <f t="shared" si="18"/>
        <v>0</v>
      </c>
      <c r="G101" s="362"/>
      <c r="H101" s="361">
        <f>'Sources and Uses Budget'!T101</f>
        <v>0</v>
      </c>
      <c r="I101" s="362">
        <f t="shared" si="19"/>
        <v>0</v>
      </c>
      <c r="J101" s="362"/>
      <c r="K101" s="359"/>
    </row>
    <row r="102" spans="1:11" s="360" customFormat="1" ht="12" customHeight="1">
      <c r="A102" s="283" t="s">
        <v>1648</v>
      </c>
      <c r="B102" s="361">
        <f>'Sources and Uses Budget'!C102</f>
        <v>0</v>
      </c>
      <c r="C102" s="362">
        <f t="shared" si="20"/>
        <v>0</v>
      </c>
      <c r="D102" s="362"/>
      <c r="E102" s="361">
        <f>'Sources and Uses Budget'!S102</f>
        <v>0</v>
      </c>
      <c r="F102" s="362">
        <f t="shared" si="18"/>
        <v>0</v>
      </c>
      <c r="G102" s="362"/>
      <c r="H102" s="361">
        <f>'Sources and Uses Budget'!T102</f>
        <v>0</v>
      </c>
      <c r="I102" s="362">
        <f t="shared" si="19"/>
        <v>0</v>
      </c>
      <c r="J102" s="362"/>
      <c r="K102" s="359"/>
    </row>
    <row r="103" spans="1:11" s="360" customFormat="1">
      <c r="A103" s="364" t="str">
        <f>'Sources and Uses Budget'!$A103</f>
        <v>Other: (Specify)</v>
      </c>
      <c r="B103" s="361">
        <f>'Sources and Uses Budget'!C103</f>
        <v>0</v>
      </c>
      <c r="C103" s="362">
        <f t="shared" si="20"/>
        <v>0</v>
      </c>
      <c r="D103" s="362"/>
      <c r="E103" s="361">
        <f>'Sources and Uses Budget'!S103</f>
        <v>0</v>
      </c>
      <c r="F103" s="362">
        <f t="shared" si="18"/>
        <v>0</v>
      </c>
      <c r="G103" s="362"/>
      <c r="H103" s="361">
        <f>'Sources and Uses Budget'!T103</f>
        <v>0</v>
      </c>
      <c r="I103" s="362">
        <f t="shared" si="19"/>
        <v>0</v>
      </c>
      <c r="J103" s="362"/>
      <c r="K103" s="359"/>
    </row>
    <row r="104" spans="1:11" s="360" customFormat="1">
      <c r="A104" s="365" t="s">
        <v>780</v>
      </c>
      <c r="B104" s="361">
        <f>'Sources and Uses Budget'!C104</f>
        <v>2500000</v>
      </c>
      <c r="C104" s="361">
        <f>SUM(C99:C103)</f>
        <v>2500000</v>
      </c>
      <c r="D104" s="361">
        <f>SUM(D99:D103)</f>
        <v>0</v>
      </c>
      <c r="E104" s="361">
        <f>'Sources and Uses Budget'!S104</f>
        <v>2500000</v>
      </c>
      <c r="F104" s="367">
        <f>SUM(F99:F103)</f>
        <v>2500000</v>
      </c>
      <c r="G104" s="367">
        <f>SUM(G99:G103)</f>
        <v>0</v>
      </c>
      <c r="H104" s="361">
        <f>'Sources and Uses Budget'!T104</f>
        <v>0</v>
      </c>
      <c r="I104" s="367">
        <f>SUM(I99:I103)</f>
        <v>0</v>
      </c>
      <c r="J104" s="367">
        <f>SUM(J99:J103)</f>
        <v>0</v>
      </c>
      <c r="K104" s="359"/>
    </row>
    <row r="105" spans="1:11" s="360" customFormat="1">
      <c r="A105" s="365" t="s">
        <v>1031</v>
      </c>
      <c r="B105" s="361">
        <f>'Sources and Uses Budget'!C105</f>
        <v>71780116</v>
      </c>
      <c r="C105" s="367">
        <f>SUM(C97+C104)</f>
        <v>71780116</v>
      </c>
      <c r="D105" s="367">
        <f>SUM(D97+D104)</f>
        <v>0</v>
      </c>
      <c r="E105" s="361">
        <f>'Sources and Uses Budget'!S105</f>
        <v>49958920</v>
      </c>
      <c r="F105" s="367">
        <f>F97+F104</f>
        <v>49958920</v>
      </c>
      <c r="G105" s="367">
        <f>G97+G104</f>
        <v>0</v>
      </c>
      <c r="H105" s="361">
        <f>'Sources and Uses Budget'!T105</f>
        <v>18610000</v>
      </c>
      <c r="I105" s="367">
        <f>I97+I104</f>
        <v>18610000</v>
      </c>
      <c r="J105" s="367">
        <f>J97+J104</f>
        <v>0</v>
      </c>
      <c r="K105" s="359"/>
    </row>
    <row r="106" spans="1:11" s="360" customFormat="1">
      <c r="A106" s="371"/>
      <c r="B106" s="372"/>
      <c r="C106" s="372"/>
      <c r="D106" s="372"/>
      <c r="E106" s="361">
        <f>'Sources and Uses Budget'!S106</f>
        <v>0</v>
      </c>
      <c r="F106" s="362">
        <f t="shared" ref="F106" si="21">E106</f>
        <v>0</v>
      </c>
      <c r="G106" s="362"/>
      <c r="H106" s="361">
        <f>'Sources and Uses Budget'!T106</f>
        <v>0</v>
      </c>
      <c r="I106" s="362">
        <f t="shared" ref="I106" si="22">H106</f>
        <v>0</v>
      </c>
      <c r="J106" s="362"/>
      <c r="K106" s="359"/>
    </row>
    <row r="107" spans="1:11" s="360" customFormat="1">
      <c r="A107" s="373"/>
      <c r="B107" s="374"/>
      <c r="C107" s="372"/>
      <c r="D107" s="454" t="s">
        <v>375</v>
      </c>
      <c r="E107" s="361">
        <f>'Sources and Uses Budget'!S107</f>
        <v>49958920</v>
      </c>
      <c r="F107" s="367">
        <f>F105+F106</f>
        <v>49958920</v>
      </c>
      <c r="G107" s="367">
        <f>G105+G106</f>
        <v>0</v>
      </c>
      <c r="H107" s="361">
        <f>'Sources and Uses Budget'!T107</f>
        <v>18610000</v>
      </c>
      <c r="I107" s="367">
        <f>I105+I106</f>
        <v>18610000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3"/>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4"/>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8" sqref="AP8:AU8"/>
    </sheetView>
  </sheetViews>
  <sheetFormatPr defaultColWidth="2.5703125" defaultRowHeight="15.75" customHeight="1"/>
  <cols>
    <col min="1" max="8" width="2.5703125" style="1187"/>
    <col min="9" max="9" width="7.5703125" style="1187" customWidth="1"/>
    <col min="10" max="13" width="2.5703125" style="1187"/>
    <col min="14" max="14" width="4.5703125" style="1187" customWidth="1"/>
    <col min="15" max="19" width="2.5703125" style="1187"/>
    <col min="20" max="20" width="3.5703125" style="1187" customWidth="1"/>
    <col min="21" max="37" width="2.5703125" style="1187"/>
    <col min="38" max="38" width="3" style="1187" customWidth="1"/>
    <col min="39" max="45" width="2.5703125" style="1187"/>
    <col min="46" max="46" width="4.5703125" style="1187" customWidth="1"/>
    <col min="47" max="64" width="2.570312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5703125" style="1187"/>
  </cols>
  <sheetData>
    <row r="1" spans="1:65" ht="15.75" customHeight="1">
      <c r="A1" s="1886" t="s">
        <v>2456</v>
      </c>
      <c r="B1" s="1887"/>
      <c r="C1" s="1887"/>
      <c r="D1" s="1887"/>
      <c r="E1" s="1887"/>
      <c r="F1" s="1887"/>
      <c r="G1" s="1887"/>
      <c r="H1" s="1887"/>
      <c r="I1" s="1887"/>
      <c r="J1" s="1887"/>
      <c r="K1" s="1887"/>
      <c r="L1" s="1887"/>
      <c r="M1" s="1887"/>
      <c r="N1" s="1887"/>
      <c r="O1" s="1887"/>
      <c r="P1" s="1887"/>
      <c r="Q1" s="1887"/>
      <c r="R1" s="1887"/>
      <c r="S1" s="1887"/>
      <c r="T1" s="1887"/>
      <c r="U1" s="1887"/>
      <c r="V1" s="1887"/>
      <c r="W1" s="1887"/>
      <c r="X1" s="1887"/>
      <c r="Y1" s="1887"/>
      <c r="Z1" s="1887"/>
      <c r="AA1" s="1887"/>
      <c r="AB1" s="1887"/>
      <c r="AC1" s="1887"/>
      <c r="AD1" s="1887"/>
      <c r="AE1" s="1887"/>
      <c r="AF1" s="1887"/>
      <c r="AG1" s="1887"/>
      <c r="AH1" s="1887"/>
      <c r="AI1" s="1887"/>
      <c r="AJ1" s="1887"/>
      <c r="AK1" s="1887"/>
      <c r="AL1" s="1887"/>
      <c r="AM1" s="1887"/>
      <c r="AN1" s="1887"/>
      <c r="AO1" s="1887"/>
      <c r="AP1" s="1887"/>
      <c r="AQ1" s="1887"/>
      <c r="AR1" s="1887"/>
      <c r="AS1" s="1887"/>
      <c r="AT1" s="1887"/>
      <c r="AU1" s="1887"/>
      <c r="AV1" s="1887"/>
      <c r="AW1" s="1887"/>
      <c r="AX1" s="1887"/>
      <c r="AY1" s="1887"/>
      <c r="AZ1" s="1887"/>
      <c r="BA1" s="1887"/>
      <c r="BB1" s="1887"/>
      <c r="BC1" s="1887"/>
      <c r="BD1" s="1887"/>
      <c r="BE1" s="1888"/>
    </row>
    <row r="2" spans="1:65" ht="15.75" customHeight="1">
      <c r="A2" s="1889" t="s">
        <v>2455</v>
      </c>
      <c r="B2" s="1890"/>
      <c r="C2" s="1890"/>
      <c r="D2" s="1890"/>
      <c r="E2" s="1890"/>
      <c r="F2" s="1890"/>
      <c r="G2" s="1890"/>
      <c r="H2" s="1890"/>
      <c r="I2" s="1890"/>
      <c r="J2" s="1890"/>
      <c r="K2" s="1890"/>
      <c r="L2" s="1890"/>
      <c r="M2" s="1890"/>
      <c r="N2" s="1890"/>
      <c r="O2" s="1890"/>
      <c r="P2" s="1890"/>
      <c r="Q2" s="1890"/>
      <c r="R2" s="1890"/>
      <c r="S2" s="1890"/>
      <c r="T2" s="1890"/>
      <c r="U2" s="1890"/>
      <c r="V2" s="1890"/>
      <c r="W2" s="1890"/>
      <c r="X2" s="1890"/>
      <c r="Y2" s="1890"/>
      <c r="Z2" s="1890"/>
      <c r="AA2" s="1890"/>
      <c r="AB2" s="1890"/>
      <c r="AC2" s="1890"/>
      <c r="AD2" s="1890"/>
      <c r="AE2" s="1890"/>
      <c r="AF2" s="1890"/>
      <c r="AG2" s="1890"/>
      <c r="AH2" s="1890"/>
      <c r="AI2" s="1890"/>
      <c r="AJ2" s="1890"/>
      <c r="AK2" s="1890"/>
      <c r="AL2" s="1890"/>
      <c r="AM2" s="1890"/>
      <c r="AN2" s="1890"/>
      <c r="AO2" s="1890"/>
      <c r="AP2" s="1890"/>
      <c r="AQ2" s="1890"/>
      <c r="AR2" s="1890"/>
      <c r="AS2" s="1890"/>
      <c r="AT2" s="1890"/>
      <c r="AU2" s="1890"/>
      <c r="AV2" s="1890"/>
      <c r="AW2" s="1890"/>
      <c r="AX2" s="1890"/>
      <c r="AY2" s="1890"/>
      <c r="AZ2" s="1890"/>
      <c r="BA2" s="1890"/>
      <c r="BB2" s="1890"/>
      <c r="BC2" s="1890"/>
      <c r="BD2" s="1890"/>
      <c r="BE2" s="1891"/>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8" t="str">
        <f>IF(Application!H18="","",Application!H18)</f>
        <v>Green Phase</v>
      </c>
      <c r="M4" s="1879"/>
      <c r="N4" s="1879"/>
      <c r="O4" s="1879"/>
      <c r="P4" s="1879"/>
      <c r="Q4" s="1879"/>
      <c r="R4" s="1879"/>
      <c r="S4" s="1879"/>
      <c r="T4" s="1879"/>
      <c r="U4" s="1879"/>
      <c r="V4" s="1879"/>
      <c r="W4" s="1879"/>
      <c r="X4" s="1879"/>
      <c r="Y4" s="1879"/>
      <c r="Z4" s="1879"/>
      <c r="AA4" s="1879"/>
      <c r="AB4" s="1879"/>
      <c r="AC4" s="1880"/>
      <c r="AD4" s="1190"/>
      <c r="AE4" s="1190"/>
      <c r="AF4" s="1892" t="s">
        <v>2454</v>
      </c>
      <c r="AG4" s="1892"/>
      <c r="AH4" s="1892"/>
      <c r="AI4" s="1892"/>
      <c r="AJ4" s="1892"/>
      <c r="AK4" s="1892"/>
      <c r="AL4" s="1892"/>
      <c r="AM4" s="1892"/>
      <c r="AN4" s="1892"/>
      <c r="AO4" s="1892"/>
      <c r="AP4" s="1893"/>
      <c r="AQ4" s="1894"/>
      <c r="AR4" s="1894"/>
      <c r="AS4" s="1894"/>
      <c r="AT4" s="1894"/>
      <c r="AU4" s="1894"/>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2" t="s">
        <v>2453</v>
      </c>
      <c r="AG5" s="1892"/>
      <c r="AH5" s="1892"/>
      <c r="AI5" s="1892"/>
      <c r="AJ5" s="1892"/>
      <c r="AK5" s="1892"/>
      <c r="AL5" s="1892"/>
      <c r="AM5" s="1892"/>
      <c r="AN5" s="1892"/>
      <c r="AO5" s="1892"/>
      <c r="AP5" s="1893"/>
      <c r="AQ5" s="1894"/>
      <c r="AR5" s="1894"/>
      <c r="AS5" s="1894"/>
      <c r="AT5" s="1894"/>
      <c r="AU5" s="1894"/>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1878" t="str">
        <f>IF(Application!H16="","",Application!H16)</f>
        <v>Hiler I LP</v>
      </c>
      <c r="M6" s="1879"/>
      <c r="N6" s="1879"/>
      <c r="O6" s="1879"/>
      <c r="P6" s="1879"/>
      <c r="Q6" s="1879"/>
      <c r="R6" s="1879"/>
      <c r="S6" s="1879"/>
      <c r="T6" s="1879"/>
      <c r="U6" s="1879"/>
      <c r="V6" s="1879"/>
      <c r="W6" s="1879"/>
      <c r="X6" s="1879"/>
      <c r="Y6" s="1879"/>
      <c r="Z6" s="1879"/>
      <c r="AA6" s="1879"/>
      <c r="AB6" s="1879"/>
      <c r="AC6" s="1880"/>
      <c r="AD6" s="1190"/>
      <c r="AE6" s="1190"/>
      <c r="AF6" s="1881" t="s">
        <v>2451</v>
      </c>
      <c r="AG6" s="1881"/>
      <c r="AH6" s="1881"/>
      <c r="AI6" s="1881"/>
      <c r="AJ6" s="1881"/>
      <c r="AK6" s="1881"/>
      <c r="AL6" s="1881"/>
      <c r="AM6" s="1881"/>
      <c r="AN6" s="1881"/>
      <c r="AO6" s="1881"/>
      <c r="AP6" s="1882"/>
      <c r="AQ6" s="1882"/>
      <c r="AR6" s="1882"/>
      <c r="AS6" s="1882"/>
      <c r="AT6" s="1882"/>
      <c r="AU6" s="1882"/>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1" t="s">
        <v>2450</v>
      </c>
      <c r="AG7" s="1881"/>
      <c r="AH7" s="1881"/>
      <c r="AI7" s="1881"/>
      <c r="AJ7" s="1881"/>
      <c r="AK7" s="1881"/>
      <c r="AL7" s="1881"/>
      <c r="AM7" s="1881"/>
      <c r="AN7" s="1881"/>
      <c r="AO7" s="1881"/>
      <c r="AP7" s="1882"/>
      <c r="AQ7" s="1882"/>
      <c r="AR7" s="1882"/>
      <c r="AS7" s="1882"/>
      <c r="AT7" s="1882"/>
      <c r="AU7" s="1882"/>
      <c r="AV7" s="1190"/>
      <c r="AW7" s="1190"/>
      <c r="AX7" s="1190"/>
      <c r="AY7" s="1190"/>
      <c r="AZ7" s="1190"/>
      <c r="BA7" s="1190"/>
      <c r="BB7" s="1190"/>
      <c r="BC7" s="1190"/>
      <c r="BD7" s="1190"/>
      <c r="BE7" s="1191"/>
    </row>
    <row r="8" spans="1:6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3" t="str">
        <f>Application!T197</f>
        <v>No</v>
      </c>
      <c r="AC8" s="1884"/>
      <c r="AD8" s="1885"/>
      <c r="AE8" s="1190"/>
      <c r="AF8" s="1881" t="s">
        <v>2448</v>
      </c>
      <c r="AG8" s="1881"/>
      <c r="AH8" s="1881"/>
      <c r="AI8" s="1881"/>
      <c r="AJ8" s="1881"/>
      <c r="AK8" s="1881"/>
      <c r="AL8" s="1881"/>
      <c r="AM8" s="1881"/>
      <c r="AN8" s="1881"/>
      <c r="AO8" s="1881"/>
      <c r="AP8" s="1882" t="s">
        <v>2443</v>
      </c>
      <c r="AQ8" s="1882"/>
      <c r="AR8" s="1882"/>
      <c r="AS8" s="1882"/>
      <c r="AT8" s="1882"/>
      <c r="AU8" s="1882"/>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2" t="s">
        <v>2447</v>
      </c>
      <c r="AG9" s="1892"/>
      <c r="AH9" s="1892"/>
      <c r="AI9" s="1892"/>
      <c r="AJ9" s="1892"/>
      <c r="AK9" s="1892"/>
      <c r="AL9" s="1892"/>
      <c r="AM9" s="1892"/>
      <c r="AN9" s="1892"/>
      <c r="AO9" s="1892"/>
      <c r="AP9" s="1893"/>
      <c r="AQ9" s="1894"/>
      <c r="AR9" s="1894"/>
      <c r="AS9" s="1894"/>
      <c r="AT9" s="1894"/>
      <c r="AU9" s="1894"/>
      <c r="AV9" s="1190"/>
      <c r="AW9" s="1190"/>
      <c r="AX9" s="1190"/>
      <c r="AY9" s="1190"/>
      <c r="AZ9" s="1190"/>
      <c r="BA9" s="1190"/>
      <c r="BB9" s="1190"/>
      <c r="BC9" s="1190"/>
      <c r="BD9" s="1190"/>
      <c r="BE9" s="1191"/>
      <c r="BM9" s="1187" t="s">
        <v>2446</v>
      </c>
    </row>
    <row r="10" spans="1:65" ht="15">
      <c r="A10" s="1189"/>
      <c r="B10" s="1192" t="s">
        <v>2445</v>
      </c>
      <c r="C10" s="1192"/>
      <c r="D10" s="1192"/>
      <c r="E10" s="1192"/>
      <c r="F10" s="1192"/>
      <c r="G10" s="1192"/>
      <c r="H10" s="1192"/>
      <c r="I10" s="1192"/>
      <c r="J10" s="1192"/>
      <c r="K10" s="1192"/>
      <c r="L10" s="1192"/>
      <c r="M10" s="1190"/>
      <c r="N10" s="1907">
        <f>Application!AO627</f>
        <v>20830000</v>
      </c>
      <c r="O10" s="1907"/>
      <c r="P10" s="1907"/>
      <c r="Q10" s="1907"/>
      <c r="R10" s="1907"/>
      <c r="S10" s="1907"/>
      <c r="T10" s="1907"/>
      <c r="U10" s="1190"/>
      <c r="V10" s="1190"/>
      <c r="W10" s="1190"/>
      <c r="X10" s="1193"/>
      <c r="Y10" s="1193"/>
      <c r="Z10" s="1193"/>
      <c r="AA10" s="1193"/>
      <c r="AB10" s="1193"/>
      <c r="AC10" s="1193"/>
      <c r="AD10" s="1193"/>
      <c r="AE10" s="1193"/>
      <c r="AF10" s="1892" t="s">
        <v>2444</v>
      </c>
      <c r="AG10" s="1892"/>
      <c r="AH10" s="1892"/>
      <c r="AI10" s="1892"/>
      <c r="AJ10" s="1892"/>
      <c r="AK10" s="1892"/>
      <c r="AL10" s="1892"/>
      <c r="AM10" s="1892"/>
      <c r="AN10" s="1892"/>
      <c r="AO10" s="1892"/>
      <c r="AP10" s="1893"/>
      <c r="AQ10" s="1894"/>
      <c r="AR10" s="1894"/>
      <c r="AS10" s="1894"/>
      <c r="AT10" s="1894"/>
      <c r="AU10" s="1894"/>
      <c r="AV10" s="1193"/>
      <c r="AW10" s="1193"/>
      <c r="AX10" s="1190"/>
      <c r="AY10" s="1190"/>
      <c r="AZ10" s="1190"/>
      <c r="BA10" s="1190"/>
      <c r="BB10" s="1190"/>
      <c r="BC10" s="1190"/>
      <c r="BD10" s="1190"/>
      <c r="BE10" s="1191"/>
      <c r="BM10" s="1187" t="s">
        <v>2443</v>
      </c>
    </row>
    <row r="11" spans="1:65" ht="15">
      <c r="A11" s="1189"/>
      <c r="B11" s="1192" t="s">
        <v>2442</v>
      </c>
      <c r="C11" s="1192"/>
      <c r="D11" s="1192"/>
      <c r="E11" s="1192"/>
      <c r="F11" s="1192"/>
      <c r="G11" s="1192"/>
      <c r="H11" s="1192"/>
      <c r="I11" s="1192"/>
      <c r="J11" s="1192"/>
      <c r="K11" s="1192"/>
      <c r="L11" s="1192"/>
      <c r="M11" s="1190"/>
      <c r="N11" s="1907">
        <f>Application!AA934</f>
        <v>0</v>
      </c>
      <c r="O11" s="1907"/>
      <c r="P11" s="1907"/>
      <c r="Q11" s="1907"/>
      <c r="R11" s="1907"/>
      <c r="S11" s="1907"/>
      <c r="T11" s="1907"/>
      <c r="U11" s="1190"/>
      <c r="V11" s="1190"/>
      <c r="W11" s="1190"/>
      <c r="X11" s="1193"/>
      <c r="Y11" s="1193"/>
      <c r="Z11" s="1193"/>
      <c r="AA11" s="1193"/>
      <c r="AB11" s="1193"/>
      <c r="AC11" s="1193"/>
      <c r="AD11" s="1193"/>
      <c r="AE11" s="1193"/>
      <c r="AF11" s="1892" t="s">
        <v>2441</v>
      </c>
      <c r="AG11" s="1892"/>
      <c r="AH11" s="1892"/>
      <c r="AI11" s="1892"/>
      <c r="AJ11" s="1892"/>
      <c r="AK11" s="1892"/>
      <c r="AL11" s="1892"/>
      <c r="AM11" s="1892"/>
      <c r="AN11" s="1892"/>
      <c r="AO11" s="1892"/>
      <c r="AP11" s="1893"/>
      <c r="AQ11" s="1894"/>
      <c r="AR11" s="1894"/>
      <c r="AS11" s="1894"/>
      <c r="AT11" s="1894"/>
      <c r="AU11" s="1894"/>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thickBot="1">
      <c r="A13" s="1190"/>
      <c r="B13" s="1895" t="s">
        <v>2439</v>
      </c>
      <c r="C13" s="1896"/>
      <c r="D13" s="1896"/>
      <c r="E13" s="1896"/>
      <c r="F13" s="1896"/>
      <c r="G13" s="1896"/>
      <c r="H13" s="1896"/>
      <c r="I13" s="1896"/>
      <c r="J13" s="1896"/>
      <c r="K13" s="1896"/>
      <c r="L13" s="1896"/>
      <c r="M13" s="1896"/>
      <c r="N13" s="1896"/>
      <c r="O13" s="1896"/>
      <c r="P13" s="1897"/>
      <c r="Q13" s="1898" t="s">
        <v>670</v>
      </c>
      <c r="R13" s="1899"/>
      <c r="S13" s="1899"/>
      <c r="T13" s="1900"/>
      <c r="U13" s="1193"/>
      <c r="V13" s="1190"/>
      <c r="W13" s="1190"/>
      <c r="X13" s="1190"/>
      <c r="Y13" s="1190"/>
      <c r="Z13" s="1190"/>
      <c r="AA13" s="1901" t="s">
        <v>2438</v>
      </c>
      <c r="AB13" s="1901"/>
      <c r="AC13" s="1901"/>
      <c r="AD13" s="1901"/>
      <c r="AE13" s="1901"/>
      <c r="AF13" s="1901"/>
      <c r="AG13" s="1901"/>
      <c r="AH13" s="1901"/>
      <c r="AI13" s="1901"/>
      <c r="AJ13" s="1901"/>
      <c r="AK13" s="1901"/>
      <c r="AL13" s="1901"/>
      <c r="AM13" s="1901"/>
      <c r="AN13" s="1901"/>
      <c r="AO13" s="1902">
        <f>Application!W473</f>
        <v>15</v>
      </c>
      <c r="AP13" s="1903"/>
      <c r="AQ13" s="1903"/>
      <c r="AR13" s="1903"/>
      <c r="AS13" s="1903"/>
      <c r="AT13" s="1193"/>
      <c r="AU13" s="1193"/>
      <c r="AV13" s="1193"/>
      <c r="AW13" s="1193"/>
      <c r="AX13" s="1193"/>
      <c r="AY13" s="1193"/>
      <c r="AZ13" s="1193"/>
      <c r="BA13" s="1193"/>
      <c r="BB13" s="1193"/>
      <c r="BC13" s="1193"/>
      <c r="BD13" s="1193"/>
      <c r="BE13" s="1194"/>
      <c r="BM13" s="1187" t="s">
        <v>2437</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4" t="s">
        <v>2436</v>
      </c>
      <c r="AB14" s="1904"/>
      <c r="AC14" s="1904"/>
      <c r="AD14" s="1904"/>
      <c r="AE14" s="1904"/>
      <c r="AF14" s="1904"/>
      <c r="AG14" s="1904"/>
      <c r="AH14" s="1904"/>
      <c r="AI14" s="1904"/>
      <c r="AJ14" s="1904"/>
      <c r="AK14" s="1904"/>
      <c r="AL14" s="1904"/>
      <c r="AM14" s="1904"/>
      <c r="AN14" s="1904"/>
      <c r="AO14" s="1905"/>
      <c r="AP14" s="1906"/>
      <c r="AQ14" s="1906"/>
      <c r="AR14" s="1906"/>
      <c r="AS14" s="1906"/>
      <c r="AT14" s="1193"/>
      <c r="AU14" s="1193"/>
      <c r="AV14" s="1193"/>
      <c r="AW14" s="1193"/>
      <c r="AX14" s="1193"/>
      <c r="AY14" s="1193"/>
      <c r="AZ14" s="1193"/>
      <c r="BA14" s="1193"/>
      <c r="BB14" s="1193"/>
      <c r="BC14" s="1193"/>
      <c r="BD14" s="1193"/>
      <c r="BE14" s="1194"/>
    </row>
    <row r="15" spans="1:65" thickBot="1">
      <c r="A15" s="1190"/>
      <c r="B15" s="1908" t="s">
        <v>2435</v>
      </c>
      <c r="C15" s="1909"/>
      <c r="D15" s="1909"/>
      <c r="E15" s="1909"/>
      <c r="F15" s="1909"/>
      <c r="G15" s="1909"/>
      <c r="H15" s="1909"/>
      <c r="I15" s="1909"/>
      <c r="J15" s="1909"/>
      <c r="K15" s="1909"/>
      <c r="L15" s="1909"/>
      <c r="M15" s="1909"/>
      <c r="N15" s="1909"/>
      <c r="O15" s="1909"/>
      <c r="P15" s="1909"/>
      <c r="Q15" s="1909"/>
      <c r="R15" s="1910"/>
      <c r="S15" s="1911" t="str">
        <f>IF(Application!AB214="","",Application!AB214)</f>
        <v/>
      </c>
      <c r="T15" s="1911"/>
      <c r="U15" s="1911"/>
      <c r="V15" s="1911"/>
      <c r="W15" s="1912"/>
      <c r="X15" s="1193"/>
      <c r="Y15" s="1190"/>
      <c r="Z15" s="1190"/>
      <c r="AA15" s="1901" t="s">
        <v>2434</v>
      </c>
      <c r="AB15" s="1901"/>
      <c r="AC15" s="1901"/>
      <c r="AD15" s="1901"/>
      <c r="AE15" s="1901"/>
      <c r="AF15" s="1901"/>
      <c r="AG15" s="1901"/>
      <c r="AH15" s="1901"/>
      <c r="AI15" s="1901"/>
      <c r="AJ15" s="1901"/>
      <c r="AK15" s="1901"/>
      <c r="AL15" s="1901"/>
      <c r="AM15" s="1901"/>
      <c r="AN15" s="1901"/>
      <c r="AO15" s="1905"/>
      <c r="AP15" s="1906"/>
      <c r="AQ15" s="1906"/>
      <c r="AR15" s="1906"/>
      <c r="AS15" s="1906"/>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3" t="s">
        <v>2433</v>
      </c>
      <c r="C17" s="1914"/>
      <c r="D17" s="1914"/>
      <c r="E17" s="1914"/>
      <c r="F17" s="1914"/>
      <c r="G17" s="1914"/>
      <c r="H17" s="1914"/>
      <c r="I17" s="1914"/>
      <c r="J17" s="1914"/>
      <c r="K17" s="1914"/>
      <c r="L17" s="1914"/>
      <c r="M17" s="1914"/>
      <c r="N17" s="1914"/>
      <c r="O17" s="1914"/>
      <c r="P17" s="1914"/>
      <c r="Q17" s="1914"/>
      <c r="R17" s="1914"/>
      <c r="S17" s="1914"/>
      <c r="T17" s="1914"/>
      <c r="U17" s="1914"/>
      <c r="V17" s="1914"/>
      <c r="W17" s="1914"/>
      <c r="X17" s="1914"/>
      <c r="Y17" s="1914"/>
      <c r="Z17" s="1914"/>
      <c r="AA17" s="1914"/>
      <c r="AB17" s="1914"/>
      <c r="AC17" s="1914"/>
      <c r="AD17" s="1914"/>
      <c r="AE17" s="1914"/>
      <c r="AF17" s="1914"/>
      <c r="AG17" s="1914"/>
      <c r="AH17" s="1914"/>
      <c r="AI17" s="1914"/>
      <c r="AJ17" s="1914"/>
      <c r="AK17" s="1914"/>
      <c r="AL17" s="1914"/>
      <c r="AM17" s="1914"/>
      <c r="AN17" s="1914"/>
      <c r="AO17" s="1914"/>
      <c r="AP17" s="1914"/>
      <c r="AQ17" s="1914"/>
      <c r="AR17" s="1914"/>
      <c r="AS17" s="1914"/>
      <c r="AT17" s="1914"/>
      <c r="AU17" s="1914"/>
      <c r="AV17" s="1914"/>
      <c r="AW17" s="1914"/>
      <c r="AX17" s="1914"/>
      <c r="AY17" s="1915"/>
      <c r="AZ17" s="1190"/>
      <c r="BA17" s="1190"/>
      <c r="BB17" s="1190"/>
      <c r="BC17" s="1190"/>
      <c r="BD17" s="1190"/>
      <c r="BE17" s="1194"/>
      <c r="BF17" s="1188"/>
    </row>
    <row r="18" spans="1:58" ht="15.75" customHeight="1">
      <c r="A18" s="1190"/>
      <c r="B18" s="1916" t="s">
        <v>2432</v>
      </c>
      <c r="C18" s="1917"/>
      <c r="D18" s="1917"/>
      <c r="E18" s="1917"/>
      <c r="F18" s="1917"/>
      <c r="G18" s="1917"/>
      <c r="H18" s="1917"/>
      <c r="I18" s="1918"/>
      <c r="J18" s="1919" t="s">
        <v>1587</v>
      </c>
      <c r="K18" s="1920"/>
      <c r="L18" s="1920"/>
      <c r="M18" s="1920"/>
      <c r="N18" s="1920"/>
      <c r="O18" s="1921"/>
      <c r="P18" s="1919" t="s">
        <v>324</v>
      </c>
      <c r="Q18" s="1920"/>
      <c r="R18" s="1920"/>
      <c r="S18" s="1920"/>
      <c r="T18" s="1920"/>
      <c r="U18" s="1921"/>
      <c r="V18" s="1919" t="s">
        <v>325</v>
      </c>
      <c r="W18" s="1920"/>
      <c r="X18" s="1920"/>
      <c r="Y18" s="1920"/>
      <c r="Z18" s="1920"/>
      <c r="AA18" s="1921"/>
      <c r="AB18" s="1919" t="s">
        <v>163</v>
      </c>
      <c r="AC18" s="1920"/>
      <c r="AD18" s="1920"/>
      <c r="AE18" s="1920"/>
      <c r="AF18" s="1920"/>
      <c r="AG18" s="1921"/>
      <c r="AH18" s="1919" t="s">
        <v>164</v>
      </c>
      <c r="AI18" s="1920"/>
      <c r="AJ18" s="1920"/>
      <c r="AK18" s="1920"/>
      <c r="AL18" s="1920"/>
      <c r="AM18" s="1921"/>
      <c r="AN18" s="1919" t="s">
        <v>165</v>
      </c>
      <c r="AO18" s="1920"/>
      <c r="AP18" s="1920"/>
      <c r="AQ18" s="1920"/>
      <c r="AR18" s="1920"/>
      <c r="AS18" s="1921"/>
      <c r="AT18" s="1919" t="s">
        <v>2431</v>
      </c>
      <c r="AU18" s="1920"/>
      <c r="AV18" s="1920"/>
      <c r="AW18" s="1920"/>
      <c r="AX18" s="1920"/>
      <c r="AY18" s="1922"/>
      <c r="AZ18" s="1190"/>
      <c r="BA18" s="1190"/>
      <c r="BB18" s="1190"/>
      <c r="BC18" s="1190"/>
      <c r="BD18" s="1190"/>
      <c r="BE18" s="1194"/>
    </row>
    <row r="19" spans="1:58" ht="15">
      <c r="A19" s="1190"/>
      <c r="B19" s="1923">
        <v>0.3</v>
      </c>
      <c r="C19" s="1924"/>
      <c r="D19" s="1924"/>
      <c r="E19" s="1924"/>
      <c r="F19" s="1924"/>
      <c r="G19" s="1924"/>
      <c r="H19" s="1924"/>
      <c r="I19" s="1925"/>
      <c r="J19" s="1926">
        <f t="shared" ref="J19:J24" si="0">SUM(P19:AS19)</f>
        <v>28</v>
      </c>
      <c r="K19" s="1927"/>
      <c r="L19" s="1927"/>
      <c r="M19" s="1927"/>
      <c r="N19" s="1927"/>
      <c r="O19" s="1928"/>
      <c r="P19" s="1926" cm="1">
        <f t="array" ref="P19">SUMPRODUCT((Application!$B$718:$B$752 = 'CalHFA Addendum'!P$18)*(Application!$AC$718:$AC$752 = 'CalHFA Addendum'!$B19),Application!$G$718:$G$752)</f>
        <v>0</v>
      </c>
      <c r="Q19" s="1927"/>
      <c r="R19" s="1927"/>
      <c r="S19" s="1927"/>
      <c r="T19" s="1927"/>
      <c r="U19" s="1928"/>
      <c r="V19" s="1926" cm="1">
        <f t="array" ref="V19">SUMPRODUCT((Application!$B$714:$B$738 = 'CalHFA Addendum'!V$18)*(Application!$AC$714:$AC$738 = 'CalHFA Addendum'!$B19),Application!$G$714:$G$738)</f>
        <v>18</v>
      </c>
      <c r="W19" s="1927"/>
      <c r="X19" s="1927"/>
      <c r="Y19" s="1927"/>
      <c r="Z19" s="1927"/>
      <c r="AA19" s="1928"/>
      <c r="AB19" s="1926" cm="1">
        <f t="array" ref="AB19">SUMPRODUCT((Application!$B$714:$B$738 = 'CalHFA Addendum'!AB$18)*(Application!$AC$714:$AC$738 = 'CalHFA Addendum'!$B19),Application!$G$714:$G$738)</f>
        <v>5</v>
      </c>
      <c r="AC19" s="1927"/>
      <c r="AD19" s="1927"/>
      <c r="AE19" s="1927"/>
      <c r="AF19" s="1927"/>
      <c r="AG19" s="1928"/>
      <c r="AH19" s="1926" cm="1">
        <f t="array" ref="AH19">SUMPRODUCT((Application!$B$714:$B$738 = 'CalHFA Addendum'!AH$18)*(Application!$AC$714:$AC$738 = 'CalHFA Addendum'!$B19),Application!$G$714:$G$738)</f>
        <v>5</v>
      </c>
      <c r="AI19" s="1927"/>
      <c r="AJ19" s="1927"/>
      <c r="AK19" s="1927"/>
      <c r="AL19" s="1927"/>
      <c r="AM19" s="1928"/>
      <c r="AN19" s="1926" cm="1">
        <f t="array" ref="AN19">SUMPRODUCT((Application!$B$714:$B$738 = 'CalHFA Addendum'!AN$18)*(Application!$AC$714:$AC$738 = 'CalHFA Addendum'!$B19),Application!$G$714:$G$738)</f>
        <v>0</v>
      </c>
      <c r="AO19" s="1927"/>
      <c r="AP19" s="1927"/>
      <c r="AQ19" s="1927"/>
      <c r="AR19" s="1927"/>
      <c r="AS19" s="1928"/>
      <c r="AT19" s="1929">
        <f t="shared" ref="AT19:AT29" si="1">J19/$J$29</f>
        <v>0.19718309859154928</v>
      </c>
      <c r="AU19" s="1930"/>
      <c r="AV19" s="1930"/>
      <c r="AW19" s="1930"/>
      <c r="AX19" s="1930"/>
      <c r="AY19" s="1931"/>
      <c r="AZ19" s="1195"/>
      <c r="BA19" s="1190"/>
      <c r="BB19" s="1190"/>
      <c r="BC19" s="1190"/>
      <c r="BD19" s="1190"/>
      <c r="BE19" s="1194"/>
    </row>
    <row r="20" spans="1:58" ht="15" customHeight="1">
      <c r="A20" s="1190"/>
      <c r="B20" s="1923">
        <v>0.4</v>
      </c>
      <c r="C20" s="1924"/>
      <c r="D20" s="1924"/>
      <c r="E20" s="1924"/>
      <c r="F20" s="1924"/>
      <c r="G20" s="1924"/>
      <c r="H20" s="1924"/>
      <c r="I20" s="1925"/>
      <c r="J20" s="1926">
        <f t="shared" si="0"/>
        <v>10</v>
      </c>
      <c r="K20" s="1927"/>
      <c r="L20" s="1927"/>
      <c r="M20" s="1927"/>
      <c r="N20" s="1927"/>
      <c r="O20" s="1928"/>
      <c r="P20" s="1926" cm="1">
        <f t="array" ref="P20">SUMPRODUCT((Application!$B$718:$B$752 = 'CalHFA Addendum'!P$18)*(Application!$AC$718:$AC$752 = 'CalHFA Addendum'!$B20),Application!$G$718:$G$752)</f>
        <v>0</v>
      </c>
      <c r="Q20" s="1927"/>
      <c r="R20" s="1927"/>
      <c r="S20" s="1927"/>
      <c r="T20" s="1927"/>
      <c r="U20" s="1928"/>
      <c r="V20" s="1926" cm="1">
        <f t="array" ref="V20">SUMPRODUCT((Application!$B$714:$B$738 = 'CalHFA Addendum'!V$18)*(Application!$AC$714:$AC$738 = 'CalHFA Addendum'!$B20),Application!$G$714:$G$738)</f>
        <v>4</v>
      </c>
      <c r="W20" s="1927"/>
      <c r="X20" s="1927"/>
      <c r="Y20" s="1927"/>
      <c r="Z20" s="1927"/>
      <c r="AA20" s="1928"/>
      <c r="AB20" s="1926" cm="1">
        <f t="array" ref="AB20">SUMPRODUCT((Application!$B$714:$B$738 = 'CalHFA Addendum'!AB$18)*(Application!$AC$714:$AC$738 = 'CalHFA Addendum'!$B20),Application!$G$714:$G$738)</f>
        <v>3</v>
      </c>
      <c r="AC20" s="1927"/>
      <c r="AD20" s="1927"/>
      <c r="AE20" s="1927"/>
      <c r="AF20" s="1927"/>
      <c r="AG20" s="1928"/>
      <c r="AH20" s="1926" cm="1">
        <f t="array" ref="AH20">SUMPRODUCT((Application!$B$714:$B$738 = 'CalHFA Addendum'!AH$18)*(Application!$AC$714:$AC$738 = 'CalHFA Addendum'!$B20),Application!$G$714:$G$738)</f>
        <v>3</v>
      </c>
      <c r="AI20" s="1927"/>
      <c r="AJ20" s="1927"/>
      <c r="AK20" s="1927"/>
      <c r="AL20" s="1927"/>
      <c r="AM20" s="1928"/>
      <c r="AN20" s="1926" cm="1">
        <f t="array" ref="AN20">SUMPRODUCT((Application!$B$714:$B$738 = 'CalHFA Addendum'!AN$18)*(Application!$AC$714:$AC$738 = 'CalHFA Addendum'!$B20),Application!$G$714:$G$738)</f>
        <v>0</v>
      </c>
      <c r="AO20" s="1927"/>
      <c r="AP20" s="1927"/>
      <c r="AQ20" s="1927"/>
      <c r="AR20" s="1927"/>
      <c r="AS20" s="1928"/>
      <c r="AT20" s="1929">
        <f t="shared" si="1"/>
        <v>7.0422535211267609E-2</v>
      </c>
      <c r="AU20" s="1930"/>
      <c r="AV20" s="1930"/>
      <c r="AW20" s="1930"/>
      <c r="AX20" s="1930"/>
      <c r="AY20" s="1931"/>
      <c r="AZ20" s="1190"/>
      <c r="BA20" s="1190"/>
      <c r="BB20" s="1190"/>
      <c r="BC20" s="1190"/>
      <c r="BD20" s="1190"/>
      <c r="BE20" s="1194"/>
    </row>
    <row r="21" spans="1:58" ht="15">
      <c r="A21" s="1190"/>
      <c r="B21" s="1923">
        <v>0.5</v>
      </c>
      <c r="C21" s="1924"/>
      <c r="D21" s="1924"/>
      <c r="E21" s="1924"/>
      <c r="F21" s="1924"/>
      <c r="G21" s="1924"/>
      <c r="H21" s="1924"/>
      <c r="I21" s="1925"/>
      <c r="J21" s="1926">
        <f t="shared" si="0"/>
        <v>0</v>
      </c>
      <c r="K21" s="1927"/>
      <c r="L21" s="1927"/>
      <c r="M21" s="1927"/>
      <c r="N21" s="1927"/>
      <c r="O21" s="1928"/>
      <c r="P21" s="1926" cm="1">
        <f t="array" ref="P21">SUMPRODUCT((Application!$B$714:$B$738 = 'CalHFA Addendum'!P$18)*(Application!$AC$714:$AC$738 = 'CalHFA Addendum'!$B21),Application!$G$714:$G$738)</f>
        <v>0</v>
      </c>
      <c r="Q21" s="1927"/>
      <c r="R21" s="1927"/>
      <c r="S21" s="1927"/>
      <c r="T21" s="1927"/>
      <c r="U21" s="1928"/>
      <c r="V21" s="1926" cm="1">
        <f t="array" ref="V21">SUMPRODUCT((Application!$B$714:$B$738 = 'CalHFA Addendum'!V$18)*(Application!$AC$714:$AC$738 = 'CalHFA Addendum'!$B21),Application!$G$714:$G$738)</f>
        <v>0</v>
      </c>
      <c r="W21" s="1927"/>
      <c r="X21" s="1927"/>
      <c r="Y21" s="1927"/>
      <c r="Z21" s="1927"/>
      <c r="AA21" s="1928"/>
      <c r="AB21" s="1926" cm="1">
        <f t="array" ref="AB21">SUMPRODUCT((Application!$B$714:$B$738 = 'CalHFA Addendum'!AB$18)*(Application!$AC$714:$AC$738 = 'CalHFA Addendum'!$B21),Application!$G$714:$G$738)</f>
        <v>0</v>
      </c>
      <c r="AC21" s="1927"/>
      <c r="AD21" s="1927"/>
      <c r="AE21" s="1927"/>
      <c r="AF21" s="1927"/>
      <c r="AG21" s="1928"/>
      <c r="AH21" s="1926" cm="1">
        <f t="array" ref="AH21">SUMPRODUCT((Application!$B$714:$B$738 = 'CalHFA Addendum'!AH$18)*(Application!$AC$714:$AC$738 = 'CalHFA Addendum'!$B21),Application!$G$714:$G$738)</f>
        <v>0</v>
      </c>
      <c r="AI21" s="1927"/>
      <c r="AJ21" s="1927"/>
      <c r="AK21" s="1927"/>
      <c r="AL21" s="1927"/>
      <c r="AM21" s="1928"/>
      <c r="AN21" s="1926" cm="1">
        <f t="array" ref="AN21">SUMPRODUCT((Application!$B$714:$B$738 = 'CalHFA Addendum'!AN$18)*(Application!$AC$714:$AC$738 = 'CalHFA Addendum'!$B21),Application!$G$714:$G$738)</f>
        <v>0</v>
      </c>
      <c r="AO21" s="1927"/>
      <c r="AP21" s="1927"/>
      <c r="AQ21" s="1927"/>
      <c r="AR21" s="1927"/>
      <c r="AS21" s="1928"/>
      <c r="AT21" s="1929">
        <f t="shared" si="1"/>
        <v>0</v>
      </c>
      <c r="AU21" s="1930"/>
      <c r="AV21" s="1930"/>
      <c r="AW21" s="1930"/>
      <c r="AX21" s="1930"/>
      <c r="AY21" s="1931"/>
      <c r="AZ21" s="1190"/>
      <c r="BA21" s="1190"/>
      <c r="BB21" s="1190"/>
      <c r="BC21" s="1190"/>
      <c r="BD21" s="1190"/>
      <c r="BE21" s="1194"/>
    </row>
    <row r="22" spans="1:58" ht="15">
      <c r="A22" s="1190"/>
      <c r="B22" s="1923">
        <v>0.6</v>
      </c>
      <c r="C22" s="1924"/>
      <c r="D22" s="1924"/>
      <c r="E22" s="1924"/>
      <c r="F22" s="1924"/>
      <c r="G22" s="1924"/>
      <c r="H22" s="1924"/>
      <c r="I22" s="1925"/>
      <c r="J22" s="1926">
        <f t="shared" si="0"/>
        <v>103</v>
      </c>
      <c r="K22" s="1927"/>
      <c r="L22" s="1927"/>
      <c r="M22" s="1927"/>
      <c r="N22" s="1927"/>
      <c r="O22" s="1928"/>
      <c r="P22" s="1926" cm="1">
        <f t="array" ref="P22">SUMPRODUCT((Application!$B$714:$B$738 = 'CalHFA Addendum'!P$18)*(Application!$AC$714:$AC$738 = 'CalHFA Addendum'!$B22),Application!$G$714:$G$738)</f>
        <v>0</v>
      </c>
      <c r="Q22" s="1927"/>
      <c r="R22" s="1927"/>
      <c r="S22" s="1927"/>
      <c r="T22" s="1927"/>
      <c r="U22" s="1928"/>
      <c r="V22" s="1926" cm="1">
        <f t="array" ref="V22">SUMPRODUCT((Application!$B$714:$B$738 = 'CalHFA Addendum'!V$18)*(Application!$AC$714:$AC$738 = 'CalHFA Addendum'!$B22),Application!$G$714:$G$738)</f>
        <v>18</v>
      </c>
      <c r="W22" s="1927"/>
      <c r="X22" s="1927"/>
      <c r="Y22" s="1927"/>
      <c r="Z22" s="1927"/>
      <c r="AA22" s="1928"/>
      <c r="AB22" s="1926" cm="1">
        <f t="array" ref="AB22">SUMPRODUCT((Application!$B$714:$B$738 = 'CalHFA Addendum'!AB$18)*(Application!$AC$714:$AC$738 = 'CalHFA Addendum'!$B22),Application!$G$714:$G$738)</f>
        <v>46</v>
      </c>
      <c r="AC22" s="1927"/>
      <c r="AD22" s="1927"/>
      <c r="AE22" s="1927"/>
      <c r="AF22" s="1927"/>
      <c r="AG22" s="1928"/>
      <c r="AH22" s="1926" cm="1">
        <f t="array" ref="AH22">SUMPRODUCT((Application!$B$714:$B$738 = 'CalHFA Addendum'!AH$18)*(Application!$AC$714:$AC$738 = 'CalHFA Addendum'!$B22),Application!$G$714:$G$738)</f>
        <v>27</v>
      </c>
      <c r="AI22" s="1927"/>
      <c r="AJ22" s="1927"/>
      <c r="AK22" s="1927"/>
      <c r="AL22" s="1927"/>
      <c r="AM22" s="1928"/>
      <c r="AN22" s="1926" cm="1">
        <f t="array" ref="AN22">SUMPRODUCT((Application!$B$714:$B$738 = 'CalHFA Addendum'!AN$18)*(Application!$AC$714:$AC$738 = 'CalHFA Addendum'!$B22),Application!$G$714:$G$738)</f>
        <v>12</v>
      </c>
      <c r="AO22" s="1927"/>
      <c r="AP22" s="1927"/>
      <c r="AQ22" s="1927"/>
      <c r="AR22" s="1927"/>
      <c r="AS22" s="1928"/>
      <c r="AT22" s="1929">
        <f t="shared" si="1"/>
        <v>0.72535211267605637</v>
      </c>
      <c r="AU22" s="1930"/>
      <c r="AV22" s="1930"/>
      <c r="AW22" s="1930"/>
      <c r="AX22" s="1930"/>
      <c r="AY22" s="1931"/>
      <c r="AZ22" s="1190"/>
      <c r="BA22" s="1190"/>
      <c r="BB22" s="1190"/>
      <c r="BC22" s="1190"/>
      <c r="BD22" s="1190"/>
      <c r="BE22" s="1194"/>
    </row>
    <row r="23" spans="1:58" ht="15">
      <c r="A23" s="1190"/>
      <c r="B23" s="1923">
        <v>0.7</v>
      </c>
      <c r="C23" s="1924"/>
      <c r="D23" s="1924"/>
      <c r="E23" s="1924"/>
      <c r="F23" s="1924"/>
      <c r="G23" s="1924"/>
      <c r="H23" s="1924"/>
      <c r="I23" s="1925"/>
      <c r="J23" s="1926">
        <f t="shared" si="0"/>
        <v>0</v>
      </c>
      <c r="K23" s="1927"/>
      <c r="L23" s="1927"/>
      <c r="M23" s="1927"/>
      <c r="N23" s="1927"/>
      <c r="O23" s="1928"/>
      <c r="P23" s="1926" cm="1">
        <f t="array" ref="P23">SUMPRODUCT((Application!$B$714:$B$738 = 'CalHFA Addendum'!P$18)*(Application!$AC$714:$AC$738 = 'CalHFA Addendum'!$B23),Application!$G$714:$G$738)</f>
        <v>0</v>
      </c>
      <c r="Q23" s="1927"/>
      <c r="R23" s="1927"/>
      <c r="S23" s="1927"/>
      <c r="T23" s="1927"/>
      <c r="U23" s="1928"/>
      <c r="V23" s="1926" cm="1">
        <f t="array" ref="V23">SUMPRODUCT((Application!$B$714:$B$738 = 'CalHFA Addendum'!V$18)*(Application!$AC$714:$AC$738 = 'CalHFA Addendum'!$B23),Application!$G$714:$G$738)</f>
        <v>0</v>
      </c>
      <c r="W23" s="1927"/>
      <c r="X23" s="1927"/>
      <c r="Y23" s="1927"/>
      <c r="Z23" s="1927"/>
      <c r="AA23" s="1928"/>
      <c r="AB23" s="1926" cm="1">
        <f t="array" ref="AB23">SUMPRODUCT((Application!$B$714:$B$738 = 'CalHFA Addendum'!AB$18)*(Application!$AC$714:$AC$738 = 'CalHFA Addendum'!$B23),Application!$G$714:$G$738)</f>
        <v>0</v>
      </c>
      <c r="AC23" s="1927"/>
      <c r="AD23" s="1927"/>
      <c r="AE23" s="1927"/>
      <c r="AF23" s="1927"/>
      <c r="AG23" s="1928"/>
      <c r="AH23" s="1926" cm="1">
        <f t="array" ref="AH23">SUMPRODUCT((Application!$B$714:$B$738 = 'CalHFA Addendum'!AH$18)*(Application!$AC$714:$AC$738 = 'CalHFA Addendum'!$B23),Application!$G$714:$G$738)</f>
        <v>0</v>
      </c>
      <c r="AI23" s="1927"/>
      <c r="AJ23" s="1927"/>
      <c r="AK23" s="1927"/>
      <c r="AL23" s="1927"/>
      <c r="AM23" s="1928"/>
      <c r="AN23" s="1926" cm="1">
        <f t="array" ref="AN23">SUMPRODUCT((Application!$B$714:$B$738 = 'CalHFA Addendum'!AN$18)*(Application!$AC$714:$AC$738 = 'CalHFA Addendum'!$B23),Application!$G$714:$G$738)</f>
        <v>0</v>
      </c>
      <c r="AO23" s="1927"/>
      <c r="AP23" s="1927"/>
      <c r="AQ23" s="1927"/>
      <c r="AR23" s="1927"/>
      <c r="AS23" s="1928"/>
      <c r="AT23" s="1929">
        <f t="shared" si="1"/>
        <v>0</v>
      </c>
      <c r="AU23" s="1930"/>
      <c r="AV23" s="1930"/>
      <c r="AW23" s="1930"/>
      <c r="AX23" s="1930"/>
      <c r="AY23" s="1931"/>
      <c r="AZ23" s="1190"/>
      <c r="BA23" s="1190"/>
      <c r="BB23" s="1190"/>
      <c r="BC23" s="1190"/>
      <c r="BD23" s="1190"/>
      <c r="BE23" s="1194"/>
    </row>
    <row r="24" spans="1:58" ht="15">
      <c r="A24" s="1190"/>
      <c r="B24" s="1923">
        <v>0.8</v>
      </c>
      <c r="C24" s="1924"/>
      <c r="D24" s="1924"/>
      <c r="E24" s="1924"/>
      <c r="F24" s="1924"/>
      <c r="G24" s="1924"/>
      <c r="H24" s="1924"/>
      <c r="I24" s="1925"/>
      <c r="J24" s="1926">
        <f t="shared" si="0"/>
        <v>0</v>
      </c>
      <c r="K24" s="1927"/>
      <c r="L24" s="1927"/>
      <c r="M24" s="1927"/>
      <c r="N24" s="1927"/>
      <c r="O24" s="1928"/>
      <c r="P24" s="1926" cm="1">
        <f t="array" ref="P24">SUMPRODUCT((Application!$B$714:$B$738 = 'CalHFA Addendum'!P$18)*(Application!$AC$714:$AC$738 = 'CalHFA Addendum'!$B24),Application!$G$714:$G$738)</f>
        <v>0</v>
      </c>
      <c r="Q24" s="1927"/>
      <c r="R24" s="1927"/>
      <c r="S24" s="1927"/>
      <c r="T24" s="1927"/>
      <c r="U24" s="1928"/>
      <c r="V24" s="1926" cm="1">
        <f t="array" ref="V24">SUMPRODUCT((Application!$B$714:$B$738 = 'CalHFA Addendum'!V$18)*(Application!$AC$714:$AC$738 = 'CalHFA Addendum'!$B24),Application!$G$714:$G$738)</f>
        <v>0</v>
      </c>
      <c r="W24" s="1927"/>
      <c r="X24" s="1927"/>
      <c r="Y24" s="1927"/>
      <c r="Z24" s="1927"/>
      <c r="AA24" s="1928"/>
      <c r="AB24" s="1926" cm="1">
        <f t="array" ref="AB24">SUMPRODUCT((Application!$B$714:$B$738 = 'CalHFA Addendum'!AB$18)*(Application!$AC$714:$AC$738 = 'CalHFA Addendum'!$B24),Application!$G$714:$G$738)</f>
        <v>0</v>
      </c>
      <c r="AC24" s="1927"/>
      <c r="AD24" s="1927"/>
      <c r="AE24" s="1927"/>
      <c r="AF24" s="1927"/>
      <c r="AG24" s="1928"/>
      <c r="AH24" s="1926" cm="1">
        <f t="array" ref="AH24">SUMPRODUCT((Application!$B$714:$B$738 = 'CalHFA Addendum'!AH$18)*(Application!$AC$714:$AC$738 = 'CalHFA Addendum'!$B24),Application!$G$714:$G$738)</f>
        <v>0</v>
      </c>
      <c r="AI24" s="1927"/>
      <c r="AJ24" s="1927"/>
      <c r="AK24" s="1927"/>
      <c r="AL24" s="1927"/>
      <c r="AM24" s="1928"/>
      <c r="AN24" s="1926" cm="1">
        <f t="array" ref="AN24">SUMPRODUCT((Application!$B$714:$B$738 = 'CalHFA Addendum'!AN$18)*(Application!$AC$714:$AC$738 = 'CalHFA Addendum'!$B24),Application!$G$714:$G$738)</f>
        <v>0</v>
      </c>
      <c r="AO24" s="1927"/>
      <c r="AP24" s="1927"/>
      <c r="AQ24" s="1927"/>
      <c r="AR24" s="1927"/>
      <c r="AS24" s="1928"/>
      <c r="AT24" s="1929">
        <f t="shared" si="1"/>
        <v>0</v>
      </c>
      <c r="AU24" s="1930"/>
      <c r="AV24" s="1930"/>
      <c r="AW24" s="1930"/>
      <c r="AX24" s="1930"/>
      <c r="AY24" s="1931"/>
      <c r="AZ24" s="1190"/>
      <c r="BA24" s="1190"/>
      <c r="BB24" s="1190"/>
      <c r="BC24" s="1190"/>
      <c r="BD24" s="1190"/>
      <c r="BE24" s="1194"/>
    </row>
    <row r="25" spans="1:58" ht="15">
      <c r="A25" s="1190"/>
      <c r="B25" s="1923">
        <v>0.9</v>
      </c>
      <c r="C25" s="1924"/>
      <c r="D25" s="1924"/>
      <c r="E25" s="1924"/>
      <c r="F25" s="1924"/>
      <c r="G25" s="1924"/>
      <c r="H25" s="1924"/>
      <c r="I25" s="1925"/>
      <c r="J25" s="1932"/>
      <c r="K25" s="1933"/>
      <c r="L25" s="1933"/>
      <c r="M25" s="1933"/>
      <c r="N25" s="1933"/>
      <c r="O25" s="1934"/>
      <c r="P25" s="1932"/>
      <c r="Q25" s="1933"/>
      <c r="R25" s="1933"/>
      <c r="S25" s="1933"/>
      <c r="T25" s="1933"/>
      <c r="U25" s="1934"/>
      <c r="V25" s="1932"/>
      <c r="W25" s="1933"/>
      <c r="X25" s="1933"/>
      <c r="Y25" s="1933"/>
      <c r="Z25" s="1933"/>
      <c r="AA25" s="1934"/>
      <c r="AB25" s="1932"/>
      <c r="AC25" s="1933"/>
      <c r="AD25" s="1933"/>
      <c r="AE25" s="1933"/>
      <c r="AF25" s="1933"/>
      <c r="AG25" s="1934"/>
      <c r="AH25" s="1932"/>
      <c r="AI25" s="1933"/>
      <c r="AJ25" s="1933"/>
      <c r="AK25" s="1933"/>
      <c r="AL25" s="1933"/>
      <c r="AM25" s="1934"/>
      <c r="AN25" s="1932"/>
      <c r="AO25" s="1933"/>
      <c r="AP25" s="1933"/>
      <c r="AQ25" s="1933"/>
      <c r="AR25" s="1933"/>
      <c r="AS25" s="1934"/>
      <c r="AT25" s="1929">
        <f t="shared" si="1"/>
        <v>0</v>
      </c>
      <c r="AU25" s="1930"/>
      <c r="AV25" s="1930"/>
      <c r="AW25" s="1930"/>
      <c r="AX25" s="1930"/>
      <c r="AY25" s="1931"/>
      <c r="AZ25" s="1190"/>
      <c r="BA25" s="1190"/>
      <c r="BB25" s="1190"/>
      <c r="BC25" s="1190"/>
      <c r="BD25" s="1190"/>
      <c r="BE25" s="1194"/>
    </row>
    <row r="26" spans="1:58" ht="15">
      <c r="A26" s="1190"/>
      <c r="B26" s="1923">
        <v>1</v>
      </c>
      <c r="C26" s="1924"/>
      <c r="D26" s="1924"/>
      <c r="E26" s="1924"/>
      <c r="F26" s="1924"/>
      <c r="G26" s="1924"/>
      <c r="H26" s="1924"/>
      <c r="I26" s="1925"/>
      <c r="J26" s="1932"/>
      <c r="K26" s="1933"/>
      <c r="L26" s="1933"/>
      <c r="M26" s="1933"/>
      <c r="N26" s="1933"/>
      <c r="O26" s="1934"/>
      <c r="P26" s="1932"/>
      <c r="Q26" s="1933"/>
      <c r="R26" s="1933"/>
      <c r="S26" s="1933"/>
      <c r="T26" s="1933"/>
      <c r="U26" s="1934"/>
      <c r="V26" s="1932"/>
      <c r="W26" s="1933"/>
      <c r="X26" s="1933"/>
      <c r="Y26" s="1933"/>
      <c r="Z26" s="1933"/>
      <c r="AA26" s="1934"/>
      <c r="AB26" s="1932"/>
      <c r="AC26" s="1933"/>
      <c r="AD26" s="1933"/>
      <c r="AE26" s="1933"/>
      <c r="AF26" s="1933"/>
      <c r="AG26" s="1934"/>
      <c r="AH26" s="1932"/>
      <c r="AI26" s="1933"/>
      <c r="AJ26" s="1933"/>
      <c r="AK26" s="1933"/>
      <c r="AL26" s="1933"/>
      <c r="AM26" s="1934"/>
      <c r="AN26" s="1932"/>
      <c r="AO26" s="1933"/>
      <c r="AP26" s="1933"/>
      <c r="AQ26" s="1933"/>
      <c r="AR26" s="1933"/>
      <c r="AS26" s="1934"/>
      <c r="AT26" s="1929">
        <f t="shared" si="1"/>
        <v>0</v>
      </c>
      <c r="AU26" s="1930"/>
      <c r="AV26" s="1930"/>
      <c r="AW26" s="1930"/>
      <c r="AX26" s="1930"/>
      <c r="AY26" s="1931"/>
      <c r="AZ26" s="1190"/>
      <c r="BA26" s="1190"/>
      <c r="BB26" s="1190"/>
      <c r="BC26" s="1190"/>
      <c r="BD26" s="1190"/>
      <c r="BE26" s="1194"/>
    </row>
    <row r="27" spans="1:58" ht="15">
      <c r="A27" s="1190"/>
      <c r="B27" s="1923">
        <v>1.2</v>
      </c>
      <c r="C27" s="1924"/>
      <c r="D27" s="1924"/>
      <c r="E27" s="1924"/>
      <c r="F27" s="1924"/>
      <c r="G27" s="1924"/>
      <c r="H27" s="1924"/>
      <c r="I27" s="1925"/>
      <c r="J27" s="1932"/>
      <c r="K27" s="1933"/>
      <c r="L27" s="1933"/>
      <c r="M27" s="1933"/>
      <c r="N27" s="1933"/>
      <c r="O27" s="1934"/>
      <c r="P27" s="1932"/>
      <c r="Q27" s="1933"/>
      <c r="R27" s="1933"/>
      <c r="S27" s="1933"/>
      <c r="T27" s="1933"/>
      <c r="U27" s="1934"/>
      <c r="V27" s="1932"/>
      <c r="W27" s="1933"/>
      <c r="X27" s="1933"/>
      <c r="Y27" s="1933"/>
      <c r="Z27" s="1933"/>
      <c r="AA27" s="1934"/>
      <c r="AB27" s="1932"/>
      <c r="AC27" s="1933"/>
      <c r="AD27" s="1933"/>
      <c r="AE27" s="1933"/>
      <c r="AF27" s="1933"/>
      <c r="AG27" s="1934"/>
      <c r="AH27" s="1932"/>
      <c r="AI27" s="1933"/>
      <c r="AJ27" s="1933"/>
      <c r="AK27" s="1933"/>
      <c r="AL27" s="1933"/>
      <c r="AM27" s="1934"/>
      <c r="AN27" s="1932"/>
      <c r="AO27" s="1933"/>
      <c r="AP27" s="1933"/>
      <c r="AQ27" s="1933"/>
      <c r="AR27" s="1933"/>
      <c r="AS27" s="1934"/>
      <c r="AT27" s="1929">
        <f t="shared" si="1"/>
        <v>0</v>
      </c>
      <c r="AU27" s="1930"/>
      <c r="AV27" s="1930"/>
      <c r="AW27" s="1930"/>
      <c r="AX27" s="1930"/>
      <c r="AY27" s="1931"/>
      <c r="AZ27" s="1190"/>
      <c r="BA27" s="1190"/>
      <c r="BB27" s="1190"/>
      <c r="BC27" s="1190"/>
      <c r="BD27" s="1190"/>
      <c r="BE27" s="1194"/>
    </row>
    <row r="28" spans="1:58" thickBot="1">
      <c r="A28" s="1190"/>
      <c r="B28" s="1935" t="s">
        <v>2430</v>
      </c>
      <c r="C28" s="1936"/>
      <c r="D28" s="1936"/>
      <c r="E28" s="1936"/>
      <c r="F28" s="1936"/>
      <c r="G28" s="1936"/>
      <c r="H28" s="1936"/>
      <c r="I28" s="1937"/>
      <c r="J28" s="1938">
        <f>SUM(P28:AS28)</f>
        <v>1</v>
      </c>
      <c r="K28" s="1939"/>
      <c r="L28" s="1939"/>
      <c r="M28" s="1939"/>
      <c r="N28" s="1939"/>
      <c r="O28" s="1940"/>
      <c r="P28" s="1938">
        <f>_xlfn.IFNA(VLOOKUP(P$18,Application!$J$773:$S$776,6,FALSE), 0)</f>
        <v>0</v>
      </c>
      <c r="Q28" s="1939"/>
      <c r="R28" s="1939"/>
      <c r="S28" s="1939"/>
      <c r="T28" s="1939"/>
      <c r="U28" s="1940"/>
      <c r="V28" s="1938">
        <f>_xlfn.IFNA(VLOOKUP(V$18,Application!$J$773:$S$776,6,FALSE), 0)</f>
        <v>0</v>
      </c>
      <c r="W28" s="1939"/>
      <c r="X28" s="1939"/>
      <c r="Y28" s="1939"/>
      <c r="Z28" s="1939"/>
      <c r="AA28" s="1940"/>
      <c r="AB28" s="1938">
        <f>_xlfn.IFNA(VLOOKUP(AB$18,Application!$J$773:$S$776,6,FALSE), 0)</f>
        <v>0</v>
      </c>
      <c r="AC28" s="1939"/>
      <c r="AD28" s="1939"/>
      <c r="AE28" s="1939"/>
      <c r="AF28" s="1939"/>
      <c r="AG28" s="1940"/>
      <c r="AH28" s="1938">
        <f>_xlfn.IFNA(VLOOKUP(AH$18,Application!$J$773:$S$776,6,FALSE), 0)</f>
        <v>1</v>
      </c>
      <c r="AI28" s="1939"/>
      <c r="AJ28" s="1939"/>
      <c r="AK28" s="1939"/>
      <c r="AL28" s="1939"/>
      <c r="AM28" s="1940"/>
      <c r="AN28" s="1938">
        <f>_xlfn.IFNA(VLOOKUP(AN$18,Application!$J$773:$S$776,6,FALSE), 0)</f>
        <v>0</v>
      </c>
      <c r="AO28" s="1939"/>
      <c r="AP28" s="1939"/>
      <c r="AQ28" s="1939"/>
      <c r="AR28" s="1939"/>
      <c r="AS28" s="1940"/>
      <c r="AT28" s="1941">
        <f t="shared" si="1"/>
        <v>7.0422535211267607E-3</v>
      </c>
      <c r="AU28" s="1942"/>
      <c r="AV28" s="1942"/>
      <c r="AW28" s="1942"/>
      <c r="AX28" s="1942"/>
      <c r="AY28" s="1943"/>
      <c r="AZ28" s="1190"/>
      <c r="BA28" s="1190"/>
      <c r="BB28" s="1190"/>
      <c r="BC28" s="1190"/>
      <c r="BD28" s="1190"/>
      <c r="BE28" s="1194"/>
    </row>
    <row r="29" spans="1:58" thickBot="1">
      <c r="A29" s="1190"/>
      <c r="B29" s="1972" t="s">
        <v>1587</v>
      </c>
      <c r="C29" s="1945"/>
      <c r="D29" s="1945"/>
      <c r="E29" s="1945"/>
      <c r="F29" s="1945"/>
      <c r="G29" s="1945"/>
      <c r="H29" s="1945"/>
      <c r="I29" s="1946"/>
      <c r="J29" s="1944">
        <f>SUM(J19:O28)</f>
        <v>142</v>
      </c>
      <c r="K29" s="1945"/>
      <c r="L29" s="1945"/>
      <c r="M29" s="1945"/>
      <c r="N29" s="1945"/>
      <c r="O29" s="1946"/>
      <c r="P29" s="1944">
        <f>SUM(P19:U28)</f>
        <v>0</v>
      </c>
      <c r="Q29" s="1945"/>
      <c r="R29" s="1945"/>
      <c r="S29" s="1945"/>
      <c r="T29" s="1945"/>
      <c r="U29" s="1946"/>
      <c r="V29" s="1944">
        <f>SUM(V19:AA28)</f>
        <v>40</v>
      </c>
      <c r="W29" s="1945"/>
      <c r="X29" s="1945"/>
      <c r="Y29" s="1945"/>
      <c r="Z29" s="1945"/>
      <c r="AA29" s="1946"/>
      <c r="AB29" s="1944">
        <f>SUM(AB19:AG28)</f>
        <v>54</v>
      </c>
      <c r="AC29" s="1945"/>
      <c r="AD29" s="1945"/>
      <c r="AE29" s="1945"/>
      <c r="AF29" s="1945"/>
      <c r="AG29" s="1946"/>
      <c r="AH29" s="1944">
        <f>SUM(AH19:AM28)</f>
        <v>36</v>
      </c>
      <c r="AI29" s="1945"/>
      <c r="AJ29" s="1945"/>
      <c r="AK29" s="1945"/>
      <c r="AL29" s="1945"/>
      <c r="AM29" s="1946"/>
      <c r="AN29" s="1944">
        <f>SUM(AN19:AS28)</f>
        <v>12</v>
      </c>
      <c r="AO29" s="1945"/>
      <c r="AP29" s="1945"/>
      <c r="AQ29" s="1945"/>
      <c r="AR29" s="1945"/>
      <c r="AS29" s="1946"/>
      <c r="AT29" s="1947">
        <f t="shared" si="1"/>
        <v>1</v>
      </c>
      <c r="AU29" s="1948"/>
      <c r="AV29" s="1948"/>
      <c r="AW29" s="1948"/>
      <c r="AX29" s="1948"/>
      <c r="AY29" s="1949"/>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50" t="s">
        <v>2429</v>
      </c>
      <c r="C31" s="1951"/>
      <c r="D31" s="1951"/>
      <c r="E31" s="1951"/>
      <c r="F31" s="1951"/>
      <c r="G31" s="1951"/>
      <c r="H31" s="1951"/>
      <c r="I31" s="1951"/>
      <c r="J31" s="1951"/>
      <c r="K31" s="1951"/>
      <c r="L31" s="1951"/>
      <c r="M31" s="1951"/>
      <c r="N31" s="1951"/>
      <c r="O31" s="1951"/>
      <c r="P31" s="1951"/>
      <c r="Q31" s="1951"/>
      <c r="R31" s="1951"/>
      <c r="S31" s="1951"/>
      <c r="T31" s="1951"/>
      <c r="U31" s="1951"/>
      <c r="V31" s="1951"/>
      <c r="W31" s="1951"/>
      <c r="X31" s="1951"/>
      <c r="Y31" s="1951"/>
      <c r="Z31" s="1951"/>
      <c r="AA31" s="1951"/>
      <c r="AB31" s="1951"/>
      <c r="AC31" s="1951"/>
      <c r="AD31" s="1951"/>
      <c r="AE31" s="1951"/>
      <c r="AF31" s="1951"/>
      <c r="AG31" s="1951"/>
      <c r="AH31" s="1951"/>
      <c r="AI31" s="1951"/>
      <c r="AJ31" s="1951"/>
      <c r="AK31" s="1951"/>
      <c r="AL31" s="1951"/>
      <c r="AM31" s="1951"/>
      <c r="AN31" s="1951"/>
      <c r="AO31" s="1951"/>
      <c r="AP31" s="1951"/>
      <c r="AQ31" s="1951"/>
      <c r="AR31" s="1951"/>
      <c r="AS31" s="1951"/>
      <c r="AT31" s="1951"/>
      <c r="AU31" s="1951"/>
      <c r="AV31" s="1951"/>
      <c r="AW31" s="1951"/>
      <c r="AX31" s="1951"/>
      <c r="AY31" s="1951"/>
      <c r="AZ31" s="1951"/>
      <c r="BA31" s="1951"/>
      <c r="BB31" s="1951"/>
      <c r="BC31" s="1951"/>
      <c r="BD31" s="1952"/>
      <c r="BE31" s="1194"/>
    </row>
    <row r="32" spans="1:58" thickBot="1">
      <c r="A32" s="1190"/>
      <c r="B32" s="1953" t="s">
        <v>2428</v>
      </c>
      <c r="C32" s="1954"/>
      <c r="D32" s="1954"/>
      <c r="E32" s="1954"/>
      <c r="F32" s="1954"/>
      <c r="G32" s="1954"/>
      <c r="H32" s="1954"/>
      <c r="I32" s="1954"/>
      <c r="J32" s="1957" t="s">
        <v>2427</v>
      </c>
      <c r="K32" s="1958"/>
      <c r="L32" s="1958"/>
      <c r="M32" s="1958"/>
      <c r="N32" s="1957" t="s">
        <v>2426</v>
      </c>
      <c r="O32" s="1958"/>
      <c r="P32" s="1958"/>
      <c r="Q32" s="1960"/>
      <c r="R32" s="1962" t="s">
        <v>2425</v>
      </c>
      <c r="S32" s="1963"/>
      <c r="T32" s="1963"/>
      <c r="U32" s="1963"/>
      <c r="V32" s="1963"/>
      <c r="W32" s="1963"/>
      <c r="X32" s="1963"/>
      <c r="Y32" s="1963"/>
      <c r="Z32" s="1963"/>
      <c r="AA32" s="1963"/>
      <c r="AB32" s="1963"/>
      <c r="AC32" s="1963"/>
      <c r="AD32" s="1963"/>
      <c r="AE32" s="1963"/>
      <c r="AF32" s="1963"/>
      <c r="AG32" s="1963"/>
      <c r="AH32" s="1963"/>
      <c r="AI32" s="1963"/>
      <c r="AJ32" s="1963"/>
      <c r="AK32" s="1963"/>
      <c r="AL32" s="1963"/>
      <c r="AM32" s="1963"/>
      <c r="AN32" s="1963"/>
      <c r="AO32" s="1963"/>
      <c r="AP32" s="1963"/>
      <c r="AQ32" s="1963"/>
      <c r="AR32" s="1963"/>
      <c r="AS32" s="1963"/>
      <c r="AT32" s="1963"/>
      <c r="AU32" s="1963"/>
      <c r="AV32" s="1963"/>
      <c r="AW32" s="1963"/>
      <c r="AX32" s="1963"/>
      <c r="AY32" s="1963"/>
      <c r="AZ32" s="1963"/>
      <c r="BA32" s="1963"/>
      <c r="BB32" s="1963"/>
      <c r="BC32" s="1963"/>
      <c r="BD32" s="1964"/>
      <c r="BE32" s="1194"/>
    </row>
    <row r="33" spans="1:58" ht="15" customHeight="1">
      <c r="A33" s="1190"/>
      <c r="B33" s="1955"/>
      <c r="C33" s="1956"/>
      <c r="D33" s="1956"/>
      <c r="E33" s="1956"/>
      <c r="F33" s="1956"/>
      <c r="G33" s="1956"/>
      <c r="H33" s="1956"/>
      <c r="I33" s="1956"/>
      <c r="J33" s="1959"/>
      <c r="K33" s="1959"/>
      <c r="L33" s="1959"/>
      <c r="M33" s="1959"/>
      <c r="N33" s="1959"/>
      <c r="O33" s="1959"/>
      <c r="P33" s="1959"/>
      <c r="Q33" s="1961"/>
      <c r="R33" s="1965" t="s">
        <v>2424</v>
      </c>
      <c r="S33" s="1966"/>
      <c r="T33" s="1966"/>
      <c r="U33" s="1966"/>
      <c r="V33" s="1966"/>
      <c r="W33" s="1966"/>
      <c r="X33" s="1966"/>
      <c r="Y33" s="1966"/>
      <c r="Z33" s="1966"/>
      <c r="AA33" s="1966"/>
      <c r="AB33" s="1966"/>
      <c r="AC33" s="1966"/>
      <c r="AD33" s="1966"/>
      <c r="AE33" s="1966"/>
      <c r="AF33" s="1966"/>
      <c r="AG33" s="1966"/>
      <c r="AH33" s="1966"/>
      <c r="AI33" s="1966"/>
      <c r="AJ33" s="1966"/>
      <c r="AK33" s="1966"/>
      <c r="AL33" s="1966"/>
      <c r="AM33" s="1966"/>
      <c r="AN33" s="1966"/>
      <c r="AO33" s="1966"/>
      <c r="AP33" s="1966"/>
      <c r="AQ33" s="1966"/>
      <c r="AR33" s="1966"/>
      <c r="AS33" s="1966"/>
      <c r="AT33" s="1966"/>
      <c r="AU33" s="1966"/>
      <c r="AV33" s="1966"/>
      <c r="AW33" s="1966"/>
      <c r="AX33" s="1966"/>
      <c r="AY33" s="1966"/>
      <c r="AZ33" s="1966"/>
      <c r="BA33" s="1966"/>
      <c r="BB33" s="1966"/>
      <c r="BC33" s="1966"/>
      <c r="BD33" s="1967"/>
      <c r="BE33" s="1194"/>
    </row>
    <row r="34" spans="1:58" ht="15.75" customHeight="1" thickBot="1">
      <c r="A34" s="1190"/>
      <c r="B34" s="1955"/>
      <c r="C34" s="1956"/>
      <c r="D34" s="1956"/>
      <c r="E34" s="1956"/>
      <c r="F34" s="1956"/>
      <c r="G34" s="1956"/>
      <c r="H34" s="1956"/>
      <c r="I34" s="1956"/>
      <c r="J34" s="1959"/>
      <c r="K34" s="1959"/>
      <c r="L34" s="1959"/>
      <c r="M34" s="1959"/>
      <c r="N34" s="1959"/>
      <c r="O34" s="1959"/>
      <c r="P34" s="1959"/>
      <c r="Q34" s="1961"/>
      <c r="R34" s="1968"/>
      <c r="S34" s="1969"/>
      <c r="T34" s="1969"/>
      <c r="U34" s="1969"/>
      <c r="V34" s="1969"/>
      <c r="W34" s="1969"/>
      <c r="X34" s="1969"/>
      <c r="Y34" s="1969"/>
      <c r="Z34" s="1969"/>
      <c r="AA34" s="1969"/>
      <c r="AB34" s="1969"/>
      <c r="AC34" s="1969"/>
      <c r="AD34" s="1969"/>
      <c r="AE34" s="1969"/>
      <c r="AF34" s="1969"/>
      <c r="AG34" s="1969"/>
      <c r="AH34" s="1969"/>
      <c r="AI34" s="1969"/>
      <c r="AJ34" s="1969"/>
      <c r="AK34" s="1969"/>
      <c r="AL34" s="1969"/>
      <c r="AM34" s="1969"/>
      <c r="AN34" s="1969"/>
      <c r="AO34" s="1969"/>
      <c r="AP34" s="1969"/>
      <c r="AQ34" s="1969"/>
      <c r="AR34" s="1969"/>
      <c r="AS34" s="1969"/>
      <c r="AT34" s="1969"/>
      <c r="AU34" s="1969"/>
      <c r="AV34" s="1969"/>
      <c r="AW34" s="1969"/>
      <c r="AX34" s="1969"/>
      <c r="AY34" s="1969"/>
      <c r="AZ34" s="1969"/>
      <c r="BA34" s="1969"/>
      <c r="BB34" s="1969"/>
      <c r="BC34" s="1969"/>
      <c r="BD34" s="1970"/>
      <c r="BE34" s="1194"/>
    </row>
    <row r="35" spans="1:58" ht="15.75" customHeight="1">
      <c r="A35" s="1190"/>
      <c r="B35" s="1955"/>
      <c r="C35" s="1956"/>
      <c r="D35" s="1956"/>
      <c r="E35" s="1956"/>
      <c r="F35" s="1956"/>
      <c r="G35" s="1956"/>
      <c r="H35" s="1956"/>
      <c r="I35" s="1956"/>
      <c r="J35" s="1959"/>
      <c r="K35" s="1959"/>
      <c r="L35" s="1959"/>
      <c r="M35" s="1959"/>
      <c r="N35" s="1959"/>
      <c r="O35" s="1959"/>
      <c r="P35" s="1959"/>
      <c r="Q35" s="1959"/>
      <c r="R35" s="1971">
        <v>0.3</v>
      </c>
      <c r="S35" s="1971"/>
      <c r="T35" s="1971"/>
      <c r="U35" s="1971"/>
      <c r="V35" s="1971">
        <v>0.4</v>
      </c>
      <c r="W35" s="1971"/>
      <c r="X35" s="1971"/>
      <c r="Y35" s="1971"/>
      <c r="Z35" s="1971">
        <v>0.5</v>
      </c>
      <c r="AA35" s="1971"/>
      <c r="AB35" s="1971"/>
      <c r="AC35" s="1971"/>
      <c r="AD35" s="1971">
        <v>0.6</v>
      </c>
      <c r="AE35" s="1971"/>
      <c r="AF35" s="1971"/>
      <c r="AG35" s="1971"/>
      <c r="AH35" s="1971">
        <v>0.7</v>
      </c>
      <c r="AI35" s="1971"/>
      <c r="AJ35" s="1971"/>
      <c r="AK35" s="1971"/>
      <c r="AL35" s="1976">
        <v>0.8</v>
      </c>
      <c r="AM35" s="1977"/>
      <c r="AN35" s="1977"/>
      <c r="AO35" s="1978"/>
      <c r="AP35" s="1979">
        <v>1.2</v>
      </c>
      <c r="AQ35" s="1980"/>
      <c r="AR35" s="1981"/>
      <c r="AS35" s="1973" t="s">
        <v>2423</v>
      </c>
      <c r="AT35" s="1974"/>
      <c r="AU35" s="1974"/>
      <c r="AV35" s="1974"/>
      <c r="AW35" s="1974"/>
      <c r="AX35" s="1982"/>
      <c r="AY35" s="1973" t="s">
        <v>2422</v>
      </c>
      <c r="AZ35" s="1974"/>
      <c r="BA35" s="1974"/>
      <c r="BB35" s="1974"/>
      <c r="BC35" s="1974"/>
      <c r="BD35" s="1975"/>
      <c r="BE35" s="1194"/>
    </row>
    <row r="36" spans="1:58" ht="15.75" customHeight="1">
      <c r="A36" s="1190"/>
      <c r="B36" s="1992" t="s">
        <v>2421</v>
      </c>
      <c r="C36" s="1993"/>
      <c r="D36" s="1993"/>
      <c r="E36" s="1993"/>
      <c r="F36" s="1993"/>
      <c r="G36" s="1993"/>
      <c r="H36" s="1993"/>
      <c r="I36" s="1993"/>
      <c r="J36" s="1994" t="s">
        <v>2420</v>
      </c>
      <c r="K36" s="1994"/>
      <c r="L36" s="1994"/>
      <c r="M36" s="1994"/>
      <c r="N36" s="1994">
        <v>55</v>
      </c>
      <c r="O36" s="1994"/>
      <c r="P36" s="1994"/>
      <c r="Q36" s="1994"/>
      <c r="R36" s="1995"/>
      <c r="S36" s="1995"/>
      <c r="T36" s="1995"/>
      <c r="U36" s="1995"/>
      <c r="V36" s="1995"/>
      <c r="W36" s="1995"/>
      <c r="X36" s="1995"/>
      <c r="Y36" s="1995"/>
      <c r="Z36" s="1995"/>
      <c r="AA36" s="1995"/>
      <c r="AB36" s="1995"/>
      <c r="AC36" s="1995"/>
      <c r="AD36" s="1995"/>
      <c r="AE36" s="1995"/>
      <c r="AF36" s="1995"/>
      <c r="AG36" s="1995"/>
      <c r="AH36" s="1995"/>
      <c r="AI36" s="1995"/>
      <c r="AJ36" s="1995"/>
      <c r="AK36" s="1995"/>
      <c r="AL36" s="1983"/>
      <c r="AM36" s="1984"/>
      <c r="AN36" s="1984"/>
      <c r="AO36" s="1985"/>
      <c r="AP36" s="1983"/>
      <c r="AQ36" s="1984"/>
      <c r="AR36" s="1985"/>
      <c r="AS36" s="1986">
        <f t="shared" ref="AS36:AS47" si="2">SUM(R36:AR36)</f>
        <v>0</v>
      </c>
      <c r="AT36" s="1987"/>
      <c r="AU36" s="1987"/>
      <c r="AV36" s="1987"/>
      <c r="AW36" s="1987"/>
      <c r="AX36" s="1988"/>
      <c r="AY36" s="1989">
        <f t="shared" ref="AY36:AY47" si="3">AS36/$J$29</f>
        <v>0</v>
      </c>
      <c r="AZ36" s="1990"/>
      <c r="BA36" s="1990"/>
      <c r="BB36" s="1990"/>
      <c r="BC36" s="1990"/>
      <c r="BD36" s="1991"/>
      <c r="BE36" s="1194"/>
    </row>
    <row r="37" spans="1:58" ht="15.75" customHeight="1">
      <c r="A37" s="1190"/>
      <c r="B37" s="1992" t="s">
        <v>2419</v>
      </c>
      <c r="C37" s="1993"/>
      <c r="D37" s="1993"/>
      <c r="E37" s="1993"/>
      <c r="F37" s="1993"/>
      <c r="G37" s="1993"/>
      <c r="H37" s="1993"/>
      <c r="I37" s="1993"/>
      <c r="J37" s="1994" t="s">
        <v>2418</v>
      </c>
      <c r="K37" s="1994"/>
      <c r="L37" s="1994"/>
      <c r="M37" s="1994"/>
      <c r="N37" s="1994">
        <v>55</v>
      </c>
      <c r="O37" s="1994"/>
      <c r="P37" s="1994"/>
      <c r="Q37" s="1994"/>
      <c r="R37" s="1995"/>
      <c r="S37" s="1995"/>
      <c r="T37" s="1995"/>
      <c r="U37" s="1995"/>
      <c r="V37" s="1995"/>
      <c r="W37" s="1995"/>
      <c r="X37" s="1995"/>
      <c r="Y37" s="1995"/>
      <c r="Z37" s="1995"/>
      <c r="AA37" s="1995"/>
      <c r="AB37" s="1995"/>
      <c r="AC37" s="1995"/>
      <c r="AD37" s="1995"/>
      <c r="AE37" s="1995"/>
      <c r="AF37" s="1995"/>
      <c r="AG37" s="1995"/>
      <c r="AH37" s="1995"/>
      <c r="AI37" s="1995"/>
      <c r="AJ37" s="1995"/>
      <c r="AK37" s="1995"/>
      <c r="AL37" s="1983"/>
      <c r="AM37" s="1984"/>
      <c r="AN37" s="1984"/>
      <c r="AO37" s="1985"/>
      <c r="AP37" s="1983"/>
      <c r="AQ37" s="1984"/>
      <c r="AR37" s="1985"/>
      <c r="AS37" s="1986">
        <f t="shared" si="2"/>
        <v>0</v>
      </c>
      <c r="AT37" s="1987"/>
      <c r="AU37" s="1987"/>
      <c r="AV37" s="1987"/>
      <c r="AW37" s="1987"/>
      <c r="AX37" s="1988"/>
      <c r="AY37" s="1989">
        <f t="shared" si="3"/>
        <v>0</v>
      </c>
      <c r="AZ37" s="1990"/>
      <c r="BA37" s="1990"/>
      <c r="BB37" s="1990"/>
      <c r="BC37" s="1990"/>
      <c r="BD37" s="1991"/>
      <c r="BE37" s="1194"/>
    </row>
    <row r="38" spans="1:58" ht="15.75" customHeight="1">
      <c r="A38" s="1190"/>
      <c r="B38" s="1992" t="s">
        <v>2417</v>
      </c>
      <c r="C38" s="1993"/>
      <c r="D38" s="1993"/>
      <c r="E38" s="1993"/>
      <c r="F38" s="1993"/>
      <c r="G38" s="1993"/>
      <c r="H38" s="1993"/>
      <c r="I38" s="1993"/>
      <c r="J38" s="1994" t="s">
        <v>2416</v>
      </c>
      <c r="K38" s="1994"/>
      <c r="L38" s="1994"/>
      <c r="M38" s="1994"/>
      <c r="N38" s="1994">
        <v>55</v>
      </c>
      <c r="O38" s="1994"/>
      <c r="P38" s="1994"/>
      <c r="Q38" s="1994"/>
      <c r="R38" s="1995"/>
      <c r="S38" s="1995"/>
      <c r="T38" s="1995"/>
      <c r="U38" s="1995"/>
      <c r="V38" s="1995"/>
      <c r="W38" s="1995"/>
      <c r="X38" s="1995"/>
      <c r="Y38" s="1995"/>
      <c r="Z38" s="1995"/>
      <c r="AA38" s="1995"/>
      <c r="AB38" s="1995"/>
      <c r="AC38" s="1995"/>
      <c r="AD38" s="1995"/>
      <c r="AE38" s="1995"/>
      <c r="AF38" s="1995"/>
      <c r="AG38" s="1995"/>
      <c r="AH38" s="1995"/>
      <c r="AI38" s="1995"/>
      <c r="AJ38" s="1995"/>
      <c r="AK38" s="1995"/>
      <c r="AL38" s="1983"/>
      <c r="AM38" s="1984"/>
      <c r="AN38" s="1984"/>
      <c r="AO38" s="1985"/>
      <c r="AP38" s="1983"/>
      <c r="AQ38" s="1984"/>
      <c r="AR38" s="1985"/>
      <c r="AS38" s="1986">
        <f t="shared" si="2"/>
        <v>0</v>
      </c>
      <c r="AT38" s="1987"/>
      <c r="AU38" s="1987"/>
      <c r="AV38" s="1987"/>
      <c r="AW38" s="1987"/>
      <c r="AX38" s="1988"/>
      <c r="AY38" s="1989">
        <f t="shared" si="3"/>
        <v>0</v>
      </c>
      <c r="AZ38" s="1990"/>
      <c r="BA38" s="1990"/>
      <c r="BB38" s="1990"/>
      <c r="BC38" s="1990"/>
      <c r="BD38" s="1991"/>
      <c r="BE38" s="1194"/>
    </row>
    <row r="39" spans="1:58" ht="15.75" customHeight="1">
      <c r="A39" s="1190"/>
      <c r="B39" s="1992" t="s">
        <v>2415</v>
      </c>
      <c r="C39" s="1993"/>
      <c r="D39" s="1993"/>
      <c r="E39" s="1993"/>
      <c r="F39" s="1993"/>
      <c r="G39" s="1993"/>
      <c r="H39" s="1993"/>
      <c r="I39" s="1993"/>
      <c r="J39" s="1994"/>
      <c r="K39" s="1994"/>
      <c r="L39" s="1994"/>
      <c r="M39" s="1994"/>
      <c r="N39" s="1994"/>
      <c r="O39" s="1994"/>
      <c r="P39" s="1994"/>
      <c r="Q39" s="1994"/>
      <c r="R39" s="1995"/>
      <c r="S39" s="1995"/>
      <c r="T39" s="1995"/>
      <c r="U39" s="1995"/>
      <c r="V39" s="1995"/>
      <c r="W39" s="1995"/>
      <c r="X39" s="1995"/>
      <c r="Y39" s="1995"/>
      <c r="Z39" s="1995"/>
      <c r="AA39" s="1995"/>
      <c r="AB39" s="1995"/>
      <c r="AC39" s="1995"/>
      <c r="AD39" s="1995"/>
      <c r="AE39" s="1995"/>
      <c r="AF39" s="1995"/>
      <c r="AG39" s="1995"/>
      <c r="AH39" s="1995"/>
      <c r="AI39" s="1995"/>
      <c r="AJ39" s="1995"/>
      <c r="AK39" s="1995"/>
      <c r="AL39" s="1983"/>
      <c r="AM39" s="1984"/>
      <c r="AN39" s="1984"/>
      <c r="AO39" s="1985"/>
      <c r="AP39" s="1983"/>
      <c r="AQ39" s="1984"/>
      <c r="AR39" s="1985"/>
      <c r="AS39" s="1986">
        <f t="shared" si="2"/>
        <v>0</v>
      </c>
      <c r="AT39" s="1987"/>
      <c r="AU39" s="1987"/>
      <c r="AV39" s="1987"/>
      <c r="AW39" s="1987"/>
      <c r="AX39" s="1988"/>
      <c r="AY39" s="1989">
        <f t="shared" si="3"/>
        <v>0</v>
      </c>
      <c r="AZ39" s="1990"/>
      <c r="BA39" s="1990"/>
      <c r="BB39" s="1990"/>
      <c r="BC39" s="1990"/>
      <c r="BD39" s="1991"/>
      <c r="BE39" s="1194"/>
    </row>
    <row r="40" spans="1:58" ht="15.75" customHeight="1">
      <c r="A40" s="1190"/>
      <c r="B40" s="1992" t="s">
        <v>2415</v>
      </c>
      <c r="C40" s="1993"/>
      <c r="D40" s="1993"/>
      <c r="E40" s="1993"/>
      <c r="F40" s="1993"/>
      <c r="G40" s="1993"/>
      <c r="H40" s="1993"/>
      <c r="I40" s="1993"/>
      <c r="J40" s="1994"/>
      <c r="K40" s="1994"/>
      <c r="L40" s="1994"/>
      <c r="M40" s="1994"/>
      <c r="N40" s="1994"/>
      <c r="O40" s="1994"/>
      <c r="P40" s="1994"/>
      <c r="Q40" s="1994"/>
      <c r="R40" s="1995"/>
      <c r="S40" s="1995"/>
      <c r="T40" s="1995"/>
      <c r="U40" s="1995"/>
      <c r="V40" s="1995"/>
      <c r="W40" s="1995"/>
      <c r="X40" s="1995"/>
      <c r="Y40" s="1995"/>
      <c r="Z40" s="1995"/>
      <c r="AA40" s="1995"/>
      <c r="AB40" s="1995"/>
      <c r="AC40" s="1995"/>
      <c r="AD40" s="1995"/>
      <c r="AE40" s="1995"/>
      <c r="AF40" s="1995"/>
      <c r="AG40" s="1995"/>
      <c r="AH40" s="1995"/>
      <c r="AI40" s="1995"/>
      <c r="AJ40" s="1995"/>
      <c r="AK40" s="1995"/>
      <c r="AL40" s="1983"/>
      <c r="AM40" s="1984"/>
      <c r="AN40" s="1984"/>
      <c r="AO40" s="1985"/>
      <c r="AP40" s="1983"/>
      <c r="AQ40" s="1984"/>
      <c r="AR40" s="1985"/>
      <c r="AS40" s="1986">
        <f t="shared" si="2"/>
        <v>0</v>
      </c>
      <c r="AT40" s="1987"/>
      <c r="AU40" s="1987"/>
      <c r="AV40" s="1987"/>
      <c r="AW40" s="1987"/>
      <c r="AX40" s="1988"/>
      <c r="AY40" s="1989">
        <f t="shared" si="3"/>
        <v>0</v>
      </c>
      <c r="AZ40" s="1990"/>
      <c r="BA40" s="1990"/>
      <c r="BB40" s="1990"/>
      <c r="BC40" s="1990"/>
      <c r="BD40" s="1991"/>
      <c r="BE40" s="1194"/>
    </row>
    <row r="41" spans="1:58" ht="15.75" customHeight="1">
      <c r="A41" s="1190"/>
      <c r="B41" s="1992" t="s">
        <v>2414</v>
      </c>
      <c r="C41" s="1993"/>
      <c r="D41" s="1993"/>
      <c r="E41" s="1993"/>
      <c r="F41" s="1993"/>
      <c r="G41" s="1993"/>
      <c r="H41" s="1993"/>
      <c r="I41" s="1993"/>
      <c r="J41" s="1994"/>
      <c r="K41" s="1994"/>
      <c r="L41" s="1994"/>
      <c r="M41" s="1994"/>
      <c r="N41" s="1994"/>
      <c r="O41" s="1994"/>
      <c r="P41" s="1994"/>
      <c r="Q41" s="1994"/>
      <c r="R41" s="1995"/>
      <c r="S41" s="1995"/>
      <c r="T41" s="1995"/>
      <c r="U41" s="1995"/>
      <c r="V41" s="1995"/>
      <c r="W41" s="1995"/>
      <c r="X41" s="1995"/>
      <c r="Y41" s="1995"/>
      <c r="Z41" s="1995"/>
      <c r="AA41" s="1995"/>
      <c r="AB41" s="1995"/>
      <c r="AC41" s="1995"/>
      <c r="AD41" s="1995"/>
      <c r="AE41" s="1995"/>
      <c r="AF41" s="1995"/>
      <c r="AG41" s="1995"/>
      <c r="AH41" s="1995"/>
      <c r="AI41" s="1995"/>
      <c r="AJ41" s="1995"/>
      <c r="AK41" s="1995"/>
      <c r="AL41" s="1983"/>
      <c r="AM41" s="1984"/>
      <c r="AN41" s="1984"/>
      <c r="AO41" s="1985"/>
      <c r="AP41" s="1983"/>
      <c r="AQ41" s="1984"/>
      <c r="AR41" s="1985"/>
      <c r="AS41" s="1986">
        <f t="shared" si="2"/>
        <v>0</v>
      </c>
      <c r="AT41" s="1987"/>
      <c r="AU41" s="1987"/>
      <c r="AV41" s="1987"/>
      <c r="AW41" s="1987"/>
      <c r="AX41" s="1988"/>
      <c r="AY41" s="1989">
        <f t="shared" si="3"/>
        <v>0</v>
      </c>
      <c r="AZ41" s="1990"/>
      <c r="BA41" s="1990"/>
      <c r="BB41" s="1990"/>
      <c r="BC41" s="1990"/>
      <c r="BD41" s="1991"/>
      <c r="BE41" s="1194"/>
    </row>
    <row r="42" spans="1:58" ht="15.75" customHeight="1">
      <c r="A42" s="1190"/>
      <c r="B42" s="1992" t="s">
        <v>2414</v>
      </c>
      <c r="C42" s="1993"/>
      <c r="D42" s="1993"/>
      <c r="E42" s="1993"/>
      <c r="F42" s="1993"/>
      <c r="G42" s="1993"/>
      <c r="H42" s="1993"/>
      <c r="I42" s="1993"/>
      <c r="J42" s="1994"/>
      <c r="K42" s="1994"/>
      <c r="L42" s="1994"/>
      <c r="M42" s="1994"/>
      <c r="N42" s="1994"/>
      <c r="O42" s="1994"/>
      <c r="P42" s="1994"/>
      <c r="Q42" s="1994"/>
      <c r="R42" s="1995"/>
      <c r="S42" s="1995"/>
      <c r="T42" s="1995"/>
      <c r="U42" s="1995"/>
      <c r="V42" s="1995"/>
      <c r="W42" s="1995"/>
      <c r="X42" s="1995"/>
      <c r="Y42" s="1995"/>
      <c r="Z42" s="1995"/>
      <c r="AA42" s="1995"/>
      <c r="AB42" s="1995"/>
      <c r="AC42" s="1995"/>
      <c r="AD42" s="1995"/>
      <c r="AE42" s="1995"/>
      <c r="AF42" s="1995"/>
      <c r="AG42" s="1995"/>
      <c r="AH42" s="1995"/>
      <c r="AI42" s="1995"/>
      <c r="AJ42" s="1995"/>
      <c r="AK42" s="1995"/>
      <c r="AL42" s="1983"/>
      <c r="AM42" s="1984"/>
      <c r="AN42" s="1984"/>
      <c r="AO42" s="1985"/>
      <c r="AP42" s="1983"/>
      <c r="AQ42" s="1984"/>
      <c r="AR42" s="1985"/>
      <c r="AS42" s="1986">
        <f t="shared" si="2"/>
        <v>0</v>
      </c>
      <c r="AT42" s="1987"/>
      <c r="AU42" s="1987"/>
      <c r="AV42" s="1987"/>
      <c r="AW42" s="1987"/>
      <c r="AX42" s="1988"/>
      <c r="AY42" s="1989">
        <f t="shared" si="3"/>
        <v>0</v>
      </c>
      <c r="AZ42" s="1990"/>
      <c r="BA42" s="1990"/>
      <c r="BB42" s="1990"/>
      <c r="BC42" s="1990"/>
      <c r="BD42" s="1991"/>
      <c r="BE42" s="1194"/>
    </row>
    <row r="43" spans="1:58" ht="15.75" customHeight="1">
      <c r="A43" s="1190"/>
      <c r="B43" s="1996" t="s">
        <v>2413</v>
      </c>
      <c r="C43" s="1997"/>
      <c r="D43" s="1997"/>
      <c r="E43" s="1997"/>
      <c r="F43" s="1997"/>
      <c r="G43" s="1997"/>
      <c r="H43" s="1997"/>
      <c r="I43" s="1997"/>
      <c r="J43" s="1994"/>
      <c r="K43" s="1994"/>
      <c r="L43" s="1994"/>
      <c r="M43" s="1994"/>
      <c r="N43" s="1994"/>
      <c r="O43" s="1994"/>
      <c r="P43" s="1994"/>
      <c r="Q43" s="1994"/>
      <c r="R43" s="1995"/>
      <c r="S43" s="1995"/>
      <c r="T43" s="1995"/>
      <c r="U43" s="1995"/>
      <c r="V43" s="1995"/>
      <c r="W43" s="1995"/>
      <c r="X43" s="1995"/>
      <c r="Y43" s="1995"/>
      <c r="Z43" s="1995"/>
      <c r="AA43" s="1995"/>
      <c r="AB43" s="1995"/>
      <c r="AC43" s="1995"/>
      <c r="AD43" s="1995"/>
      <c r="AE43" s="1995"/>
      <c r="AF43" s="1995"/>
      <c r="AG43" s="1995"/>
      <c r="AH43" s="1995"/>
      <c r="AI43" s="1995"/>
      <c r="AJ43" s="1995"/>
      <c r="AK43" s="1995"/>
      <c r="AL43" s="1983"/>
      <c r="AM43" s="1984"/>
      <c r="AN43" s="1984"/>
      <c r="AO43" s="1985"/>
      <c r="AP43" s="1983"/>
      <c r="AQ43" s="1984"/>
      <c r="AR43" s="1985"/>
      <c r="AS43" s="1986">
        <f t="shared" si="2"/>
        <v>0</v>
      </c>
      <c r="AT43" s="1987"/>
      <c r="AU43" s="1987"/>
      <c r="AV43" s="1987"/>
      <c r="AW43" s="1987"/>
      <c r="AX43" s="1988"/>
      <c r="AY43" s="1989">
        <f t="shared" si="3"/>
        <v>0</v>
      </c>
      <c r="AZ43" s="1990"/>
      <c r="BA43" s="1990"/>
      <c r="BB43" s="1990"/>
      <c r="BC43" s="1990"/>
      <c r="BD43" s="1991"/>
      <c r="BE43" s="1194"/>
    </row>
    <row r="44" spans="1:58" ht="15.75" customHeight="1">
      <c r="A44" s="1190"/>
      <c r="B44" s="1996" t="s">
        <v>2412</v>
      </c>
      <c r="C44" s="1997"/>
      <c r="D44" s="1997"/>
      <c r="E44" s="1997"/>
      <c r="F44" s="1997"/>
      <c r="G44" s="1997"/>
      <c r="H44" s="1997"/>
      <c r="I44" s="1997"/>
      <c r="J44" s="1994"/>
      <c r="K44" s="1994"/>
      <c r="L44" s="1994"/>
      <c r="M44" s="1994"/>
      <c r="N44" s="1994"/>
      <c r="O44" s="1994"/>
      <c r="P44" s="1994"/>
      <c r="Q44" s="1994"/>
      <c r="R44" s="1995"/>
      <c r="S44" s="1995"/>
      <c r="T44" s="1995"/>
      <c r="U44" s="1995"/>
      <c r="V44" s="1995"/>
      <c r="W44" s="1995"/>
      <c r="X44" s="1995"/>
      <c r="Y44" s="1995"/>
      <c r="Z44" s="1995"/>
      <c r="AA44" s="1995"/>
      <c r="AB44" s="1995"/>
      <c r="AC44" s="1995"/>
      <c r="AD44" s="1995"/>
      <c r="AE44" s="1995"/>
      <c r="AF44" s="1995"/>
      <c r="AG44" s="1995"/>
      <c r="AH44" s="1995"/>
      <c r="AI44" s="1995"/>
      <c r="AJ44" s="1995"/>
      <c r="AK44" s="1995"/>
      <c r="AL44" s="1983"/>
      <c r="AM44" s="1984"/>
      <c r="AN44" s="1984"/>
      <c r="AO44" s="1985"/>
      <c r="AP44" s="1983"/>
      <c r="AQ44" s="1984"/>
      <c r="AR44" s="1985"/>
      <c r="AS44" s="1986">
        <f t="shared" si="2"/>
        <v>0</v>
      </c>
      <c r="AT44" s="1987"/>
      <c r="AU44" s="1987"/>
      <c r="AV44" s="1987"/>
      <c r="AW44" s="1987"/>
      <c r="AX44" s="1988"/>
      <c r="AY44" s="1989">
        <f t="shared" si="3"/>
        <v>0</v>
      </c>
      <c r="AZ44" s="1990"/>
      <c r="BA44" s="1990"/>
      <c r="BB44" s="1990"/>
      <c r="BC44" s="1990"/>
      <c r="BD44" s="1991"/>
      <c r="BE44" s="1194"/>
    </row>
    <row r="45" spans="1:58" ht="15.75" customHeight="1">
      <c r="A45" s="1190"/>
      <c r="B45" s="1996" t="s">
        <v>2411</v>
      </c>
      <c r="C45" s="1997"/>
      <c r="D45" s="1997"/>
      <c r="E45" s="1997"/>
      <c r="F45" s="1997"/>
      <c r="G45" s="1997"/>
      <c r="H45" s="1997"/>
      <c r="I45" s="1997"/>
      <c r="J45" s="1994"/>
      <c r="K45" s="1994"/>
      <c r="L45" s="1994"/>
      <c r="M45" s="1994"/>
      <c r="N45" s="1994"/>
      <c r="O45" s="1994"/>
      <c r="P45" s="1994"/>
      <c r="Q45" s="1994"/>
      <c r="R45" s="1995"/>
      <c r="S45" s="1995"/>
      <c r="T45" s="1995"/>
      <c r="U45" s="1995"/>
      <c r="V45" s="1995"/>
      <c r="W45" s="1995"/>
      <c r="X45" s="1995"/>
      <c r="Y45" s="1995"/>
      <c r="Z45" s="1995"/>
      <c r="AA45" s="1995"/>
      <c r="AB45" s="1995"/>
      <c r="AC45" s="1995"/>
      <c r="AD45" s="1995"/>
      <c r="AE45" s="1995"/>
      <c r="AF45" s="1995"/>
      <c r="AG45" s="1995"/>
      <c r="AH45" s="1995"/>
      <c r="AI45" s="1995"/>
      <c r="AJ45" s="1995"/>
      <c r="AK45" s="1995"/>
      <c r="AL45" s="1983"/>
      <c r="AM45" s="1984"/>
      <c r="AN45" s="1984"/>
      <c r="AO45" s="1985"/>
      <c r="AP45" s="1983"/>
      <c r="AQ45" s="1984"/>
      <c r="AR45" s="1985"/>
      <c r="AS45" s="1986">
        <f t="shared" si="2"/>
        <v>0</v>
      </c>
      <c r="AT45" s="1987"/>
      <c r="AU45" s="1987"/>
      <c r="AV45" s="1987"/>
      <c r="AW45" s="1987"/>
      <c r="AX45" s="1988"/>
      <c r="AY45" s="1989">
        <f t="shared" si="3"/>
        <v>0</v>
      </c>
      <c r="AZ45" s="1990"/>
      <c r="BA45" s="1990"/>
      <c r="BB45" s="1990"/>
      <c r="BC45" s="1990"/>
      <c r="BD45" s="1991"/>
      <c r="BE45" s="1194"/>
    </row>
    <row r="46" spans="1:58" ht="15.75" customHeight="1">
      <c r="A46" s="1190"/>
      <c r="B46" s="1996" t="s">
        <v>2335</v>
      </c>
      <c r="C46" s="1997"/>
      <c r="D46" s="1997"/>
      <c r="E46" s="1997"/>
      <c r="F46" s="1997"/>
      <c r="G46" s="1997"/>
      <c r="H46" s="1997"/>
      <c r="I46" s="1997"/>
      <c r="J46" s="1994"/>
      <c r="K46" s="1994"/>
      <c r="L46" s="1994"/>
      <c r="M46" s="1994"/>
      <c r="N46" s="1994">
        <v>99</v>
      </c>
      <c r="O46" s="1994"/>
      <c r="P46" s="1994"/>
      <c r="Q46" s="1994"/>
      <c r="R46" s="1995"/>
      <c r="S46" s="1995"/>
      <c r="T46" s="1995"/>
      <c r="U46" s="1995"/>
      <c r="V46" s="1995"/>
      <c r="W46" s="1995"/>
      <c r="X46" s="1995"/>
      <c r="Y46" s="1995"/>
      <c r="Z46" s="1995"/>
      <c r="AA46" s="1995"/>
      <c r="AB46" s="1995"/>
      <c r="AC46" s="1995"/>
      <c r="AD46" s="1995"/>
      <c r="AE46" s="1995"/>
      <c r="AF46" s="1995"/>
      <c r="AG46" s="1995"/>
      <c r="AH46" s="1995"/>
      <c r="AI46" s="1995"/>
      <c r="AJ46" s="1995"/>
      <c r="AK46" s="1995"/>
      <c r="AL46" s="1983"/>
      <c r="AM46" s="1984"/>
      <c r="AN46" s="1984"/>
      <c r="AO46" s="1985"/>
      <c r="AP46" s="1983"/>
      <c r="AQ46" s="1984"/>
      <c r="AR46" s="1985"/>
      <c r="AS46" s="1986">
        <f t="shared" si="2"/>
        <v>0</v>
      </c>
      <c r="AT46" s="1987"/>
      <c r="AU46" s="1987"/>
      <c r="AV46" s="1987"/>
      <c r="AW46" s="1987"/>
      <c r="AX46" s="1988"/>
      <c r="AY46" s="1989">
        <f t="shared" si="3"/>
        <v>0</v>
      </c>
      <c r="AZ46" s="1990"/>
      <c r="BA46" s="1990"/>
      <c r="BB46" s="1990"/>
      <c r="BC46" s="1990"/>
      <c r="BD46" s="1991"/>
      <c r="BE46" s="1194"/>
    </row>
    <row r="47" spans="1:58" ht="15.75" customHeight="1" thickBot="1">
      <c r="A47" s="1190"/>
      <c r="B47" s="1998" t="s">
        <v>300</v>
      </c>
      <c r="C47" s="1999"/>
      <c r="D47" s="1999"/>
      <c r="E47" s="1999"/>
      <c r="F47" s="1999"/>
      <c r="G47" s="1999"/>
      <c r="H47" s="1999"/>
      <c r="I47" s="1999"/>
      <c r="J47" s="2000"/>
      <c r="K47" s="2000"/>
      <c r="L47" s="2000"/>
      <c r="M47" s="2000"/>
      <c r="N47" s="2000"/>
      <c r="O47" s="2000"/>
      <c r="P47" s="2000"/>
      <c r="Q47" s="2000"/>
      <c r="R47" s="2001"/>
      <c r="S47" s="2001"/>
      <c r="T47" s="2001"/>
      <c r="U47" s="2001"/>
      <c r="V47" s="2001"/>
      <c r="W47" s="2001"/>
      <c r="X47" s="2001"/>
      <c r="Y47" s="2001"/>
      <c r="Z47" s="2001"/>
      <c r="AA47" s="2001"/>
      <c r="AB47" s="2001"/>
      <c r="AC47" s="2001"/>
      <c r="AD47" s="2001"/>
      <c r="AE47" s="2001"/>
      <c r="AF47" s="2001"/>
      <c r="AG47" s="2001"/>
      <c r="AH47" s="2001"/>
      <c r="AI47" s="2001"/>
      <c r="AJ47" s="2001"/>
      <c r="AK47" s="2001"/>
      <c r="AL47" s="2005"/>
      <c r="AM47" s="2006"/>
      <c r="AN47" s="2006"/>
      <c r="AO47" s="2007"/>
      <c r="AP47" s="2005"/>
      <c r="AQ47" s="2006"/>
      <c r="AR47" s="2007"/>
      <c r="AS47" s="1986">
        <f t="shared" si="2"/>
        <v>0</v>
      </c>
      <c r="AT47" s="1987"/>
      <c r="AU47" s="1987"/>
      <c r="AV47" s="1987"/>
      <c r="AW47" s="1987"/>
      <c r="AX47" s="1988"/>
      <c r="AY47" s="2002">
        <f t="shared" si="3"/>
        <v>0</v>
      </c>
      <c r="AZ47" s="2003"/>
      <c r="BA47" s="2003"/>
      <c r="BB47" s="2003"/>
      <c r="BC47" s="2003"/>
      <c r="BD47" s="2004"/>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8" t="s">
        <v>2408</v>
      </c>
      <c r="C50" s="2009"/>
      <c r="D50" s="2009"/>
      <c r="E50" s="2009"/>
      <c r="F50" s="2009"/>
      <c r="G50" s="2009"/>
      <c r="H50" s="2009"/>
      <c r="I50" s="2009"/>
      <c r="J50" s="2009"/>
      <c r="K50" s="2009"/>
      <c r="L50" s="2009"/>
      <c r="M50" s="2009"/>
      <c r="N50" s="2009"/>
      <c r="O50" s="2009"/>
      <c r="P50" s="2009"/>
      <c r="Q50" s="2009"/>
      <c r="R50" s="2009"/>
      <c r="S50" s="2009"/>
      <c r="T50" s="2009"/>
      <c r="U50" s="2009"/>
      <c r="V50" s="2009"/>
      <c r="W50" s="2009"/>
      <c r="X50" s="2009"/>
      <c r="Y50" s="2009"/>
      <c r="Z50" s="2009"/>
      <c r="AA50" s="2009"/>
      <c r="AB50" s="2009"/>
      <c r="AC50" s="2009"/>
      <c r="AD50" s="2009"/>
      <c r="AE50" s="2009"/>
      <c r="AF50" s="2009"/>
      <c r="AG50" s="2009"/>
      <c r="AH50" s="2009"/>
      <c r="AI50" s="2009"/>
      <c r="AJ50" s="2009"/>
      <c r="AK50" s="2009"/>
      <c r="AL50" s="2009"/>
      <c r="AM50" s="2009"/>
      <c r="AN50" s="2009"/>
      <c r="AO50" s="2010"/>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1" t="s">
        <v>2401</v>
      </c>
      <c r="C51" s="2012"/>
      <c r="D51" s="2012"/>
      <c r="E51" s="2012"/>
      <c r="F51" s="2012"/>
      <c r="G51" s="2012"/>
      <c r="H51" s="2012"/>
      <c r="I51" s="2012"/>
      <c r="J51" s="2012" t="s">
        <v>2407</v>
      </c>
      <c r="K51" s="2012"/>
      <c r="L51" s="2012"/>
      <c r="M51" s="2012"/>
      <c r="N51" s="2012"/>
      <c r="O51" s="2012"/>
      <c r="P51" s="2012"/>
      <c r="Q51" s="2012"/>
      <c r="R51" s="2013" t="s">
        <v>2406</v>
      </c>
      <c r="S51" s="2013"/>
      <c r="T51" s="2013"/>
      <c r="U51" s="2013"/>
      <c r="V51" s="2013"/>
      <c r="W51" s="2013"/>
      <c r="X51" s="2013"/>
      <c r="Y51" s="2013"/>
      <c r="Z51" s="2013" t="s">
        <v>2405</v>
      </c>
      <c r="AA51" s="2013"/>
      <c r="AB51" s="2013"/>
      <c r="AC51" s="2013"/>
      <c r="AD51" s="2013"/>
      <c r="AE51" s="2013"/>
      <c r="AF51" s="2013"/>
      <c r="AG51" s="2013"/>
      <c r="AH51" s="2013" t="s">
        <v>2404</v>
      </c>
      <c r="AI51" s="2013"/>
      <c r="AJ51" s="2013"/>
      <c r="AK51" s="2013"/>
      <c r="AL51" s="2013"/>
      <c r="AM51" s="2013"/>
      <c r="AN51" s="2013"/>
      <c r="AO51" s="2014"/>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6" t="s">
        <v>2403</v>
      </c>
      <c r="C52" s="1997"/>
      <c r="D52" s="1997"/>
      <c r="E52" s="1997"/>
      <c r="F52" s="1997"/>
      <c r="G52" s="1997"/>
      <c r="H52" s="1997"/>
      <c r="I52" s="1997"/>
      <c r="J52" s="2015">
        <v>0</v>
      </c>
      <c r="K52" s="2015"/>
      <c r="L52" s="2015"/>
      <c r="M52" s="2015"/>
      <c r="N52" s="2015"/>
      <c r="O52" s="2015"/>
      <c r="P52" s="2015"/>
      <c r="Q52" s="2015"/>
      <c r="R52" s="2016">
        <v>0</v>
      </c>
      <c r="S52" s="2016"/>
      <c r="T52" s="2016"/>
      <c r="U52" s="2016"/>
      <c r="V52" s="2016"/>
      <c r="W52" s="2016"/>
      <c r="X52" s="2016"/>
      <c r="Y52" s="2016"/>
      <c r="Z52" s="2017">
        <v>0</v>
      </c>
      <c r="AA52" s="2017"/>
      <c r="AB52" s="2017"/>
      <c r="AC52" s="2017"/>
      <c r="AD52" s="2017"/>
      <c r="AE52" s="2017"/>
      <c r="AF52" s="2017"/>
      <c r="AG52" s="2017"/>
      <c r="AH52" s="2018"/>
      <c r="AI52" s="2018"/>
      <c r="AJ52" s="2018"/>
      <c r="AK52" s="2018"/>
      <c r="AL52" s="2018"/>
      <c r="AM52" s="2018"/>
      <c r="AN52" s="2018"/>
      <c r="AO52" s="2019"/>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6" t="s">
        <v>2402</v>
      </c>
      <c r="C53" s="1997"/>
      <c r="D53" s="1997"/>
      <c r="E53" s="1997"/>
      <c r="F53" s="1997"/>
      <c r="G53" s="1997"/>
      <c r="H53" s="1997"/>
      <c r="I53" s="1997"/>
      <c r="J53" s="2015">
        <v>0</v>
      </c>
      <c r="K53" s="2015"/>
      <c r="L53" s="2015"/>
      <c r="M53" s="2015"/>
      <c r="N53" s="2015"/>
      <c r="O53" s="2015"/>
      <c r="P53" s="2015"/>
      <c r="Q53" s="2015"/>
      <c r="R53" s="2016">
        <v>0</v>
      </c>
      <c r="S53" s="2016"/>
      <c r="T53" s="2016"/>
      <c r="U53" s="2016"/>
      <c r="V53" s="2016"/>
      <c r="W53" s="2016"/>
      <c r="X53" s="2016"/>
      <c r="Y53" s="2016"/>
      <c r="Z53" s="2017">
        <v>0</v>
      </c>
      <c r="AA53" s="2017"/>
      <c r="AB53" s="2017"/>
      <c r="AC53" s="2017"/>
      <c r="AD53" s="2017"/>
      <c r="AE53" s="2017"/>
      <c r="AF53" s="2017"/>
      <c r="AG53" s="2017"/>
      <c r="AH53" s="2018"/>
      <c r="AI53" s="2018"/>
      <c r="AJ53" s="2018"/>
      <c r="AK53" s="2018"/>
      <c r="AL53" s="2018"/>
      <c r="AM53" s="2018"/>
      <c r="AN53" s="2018"/>
      <c r="AO53" s="2019"/>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6"/>
      <c r="C54" s="1997"/>
      <c r="D54" s="1997"/>
      <c r="E54" s="1997"/>
      <c r="F54" s="1997"/>
      <c r="G54" s="1997"/>
      <c r="H54" s="1997"/>
      <c r="I54" s="1997"/>
      <c r="J54" s="2015"/>
      <c r="K54" s="2015"/>
      <c r="L54" s="2015"/>
      <c r="M54" s="2015"/>
      <c r="N54" s="2015"/>
      <c r="O54" s="2015"/>
      <c r="P54" s="2015"/>
      <c r="Q54" s="2015"/>
      <c r="R54" s="2016"/>
      <c r="S54" s="2016"/>
      <c r="T54" s="2016"/>
      <c r="U54" s="2016"/>
      <c r="V54" s="2016"/>
      <c r="W54" s="2016"/>
      <c r="X54" s="2016"/>
      <c r="Y54" s="2016"/>
      <c r="Z54" s="2017"/>
      <c r="AA54" s="2017"/>
      <c r="AB54" s="2017"/>
      <c r="AC54" s="2017"/>
      <c r="AD54" s="2017"/>
      <c r="AE54" s="2017"/>
      <c r="AF54" s="2017"/>
      <c r="AG54" s="2017"/>
      <c r="AH54" s="2018"/>
      <c r="AI54" s="2018"/>
      <c r="AJ54" s="2018"/>
      <c r="AK54" s="2018"/>
      <c r="AL54" s="2018"/>
      <c r="AM54" s="2018"/>
      <c r="AN54" s="2018"/>
      <c r="AO54" s="2019"/>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6"/>
      <c r="C55" s="1997"/>
      <c r="D55" s="1997"/>
      <c r="E55" s="1997"/>
      <c r="F55" s="1997"/>
      <c r="G55" s="1997"/>
      <c r="H55" s="1997"/>
      <c r="I55" s="1997"/>
      <c r="J55" s="2015"/>
      <c r="K55" s="2015"/>
      <c r="L55" s="2015"/>
      <c r="M55" s="2015"/>
      <c r="N55" s="2015"/>
      <c r="O55" s="2015"/>
      <c r="P55" s="2015"/>
      <c r="Q55" s="2015"/>
      <c r="R55" s="2016"/>
      <c r="S55" s="2016"/>
      <c r="T55" s="2016"/>
      <c r="U55" s="2016"/>
      <c r="V55" s="2016"/>
      <c r="W55" s="2016"/>
      <c r="X55" s="2016"/>
      <c r="Y55" s="2016"/>
      <c r="Z55" s="2017"/>
      <c r="AA55" s="2017"/>
      <c r="AB55" s="2017"/>
      <c r="AC55" s="2017"/>
      <c r="AD55" s="2017"/>
      <c r="AE55" s="2017"/>
      <c r="AF55" s="2017"/>
      <c r="AG55" s="2017"/>
      <c r="AH55" s="2018"/>
      <c r="AI55" s="2018"/>
      <c r="AJ55" s="2018"/>
      <c r="AK55" s="2018"/>
      <c r="AL55" s="2018"/>
      <c r="AM55" s="2018"/>
      <c r="AN55" s="2018"/>
      <c r="AO55" s="2019"/>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6"/>
      <c r="C56" s="1997"/>
      <c r="D56" s="1997"/>
      <c r="E56" s="1997"/>
      <c r="F56" s="1997"/>
      <c r="G56" s="1997"/>
      <c r="H56" s="1997"/>
      <c r="I56" s="1997"/>
      <c r="J56" s="2015"/>
      <c r="K56" s="2015"/>
      <c r="L56" s="2015"/>
      <c r="M56" s="2015"/>
      <c r="N56" s="2015"/>
      <c r="O56" s="2015"/>
      <c r="P56" s="2015"/>
      <c r="Q56" s="2015"/>
      <c r="R56" s="2016"/>
      <c r="S56" s="2016"/>
      <c r="T56" s="2016"/>
      <c r="U56" s="2016"/>
      <c r="V56" s="2016"/>
      <c r="W56" s="2016"/>
      <c r="X56" s="2016"/>
      <c r="Y56" s="2016"/>
      <c r="Z56" s="2017"/>
      <c r="AA56" s="2017"/>
      <c r="AB56" s="2017"/>
      <c r="AC56" s="2017"/>
      <c r="AD56" s="2017"/>
      <c r="AE56" s="2017"/>
      <c r="AF56" s="2017"/>
      <c r="AG56" s="2017"/>
      <c r="AH56" s="2018"/>
      <c r="AI56" s="2018"/>
      <c r="AJ56" s="2018"/>
      <c r="AK56" s="2018"/>
      <c r="AL56" s="2018"/>
      <c r="AM56" s="2018"/>
      <c r="AN56" s="2018"/>
      <c r="AO56" s="2019"/>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9" t="s">
        <v>1587</v>
      </c>
      <c r="C57" s="2030"/>
      <c r="D57" s="2030"/>
      <c r="E57" s="2030"/>
      <c r="F57" s="2030"/>
      <c r="G57" s="2030"/>
      <c r="H57" s="2030"/>
      <c r="I57" s="2030"/>
      <c r="J57" s="2030"/>
      <c r="K57" s="2030"/>
      <c r="L57" s="2030"/>
      <c r="M57" s="2030"/>
      <c r="N57" s="2030"/>
      <c r="O57" s="2030"/>
      <c r="P57" s="2030"/>
      <c r="Q57" s="2030"/>
      <c r="R57" s="2031">
        <f>SUM(R52:Y56)</f>
        <v>0</v>
      </c>
      <c r="S57" s="2031"/>
      <c r="T57" s="2031"/>
      <c r="U57" s="2031"/>
      <c r="V57" s="2031"/>
      <c r="W57" s="2031"/>
      <c r="X57" s="2031"/>
      <c r="Y57" s="2031"/>
      <c r="Z57" s="2032">
        <f>SUM(Z52:AG56)</f>
        <v>0</v>
      </c>
      <c r="AA57" s="2032"/>
      <c r="AB57" s="2032"/>
      <c r="AC57" s="2032"/>
      <c r="AD57" s="2032"/>
      <c r="AE57" s="2032"/>
      <c r="AF57" s="2032"/>
      <c r="AG57" s="2032"/>
      <c r="AH57" s="2033"/>
      <c r="AI57" s="2033"/>
      <c r="AJ57" s="2033"/>
      <c r="AK57" s="2033"/>
      <c r="AL57" s="2033"/>
      <c r="AM57" s="2033"/>
      <c r="AN57" s="2033"/>
      <c r="AO57" s="2034"/>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0" t="s">
        <v>2401</v>
      </c>
      <c r="C59" s="2021"/>
      <c r="D59" s="2021"/>
      <c r="E59" s="2021"/>
      <c r="F59" s="2021"/>
      <c r="G59" s="2021"/>
      <c r="H59" s="2021"/>
      <c r="I59" s="2022"/>
      <c r="J59" s="1914" t="s">
        <v>2400</v>
      </c>
      <c r="K59" s="1914"/>
      <c r="L59" s="1914"/>
      <c r="M59" s="1914"/>
      <c r="N59" s="1914"/>
      <c r="O59" s="1914"/>
      <c r="P59" s="1914"/>
      <c r="Q59" s="1914"/>
      <c r="R59" s="1914"/>
      <c r="S59" s="1914"/>
      <c r="T59" s="1914"/>
      <c r="U59" s="1914"/>
      <c r="V59" s="1914"/>
      <c r="W59" s="1914"/>
      <c r="X59" s="1914"/>
      <c r="Y59" s="1914"/>
      <c r="Z59" s="1914"/>
      <c r="AA59" s="1914"/>
      <c r="AB59" s="1914"/>
      <c r="AC59" s="1914"/>
      <c r="AD59" s="1914"/>
      <c r="AE59" s="1914"/>
      <c r="AF59" s="1914"/>
      <c r="AG59" s="1914"/>
      <c r="AH59" s="1914"/>
      <c r="AI59" s="1914"/>
      <c r="AJ59" s="1914"/>
      <c r="AK59" s="1914"/>
      <c r="AL59" s="1914"/>
      <c r="AM59" s="1914"/>
      <c r="AN59" s="1914"/>
      <c r="AO59" s="1914"/>
      <c r="AP59" s="1914"/>
      <c r="AQ59" s="1914"/>
      <c r="AR59" s="1914"/>
      <c r="AS59" s="1914"/>
      <c r="AT59" s="1914"/>
      <c r="AU59" s="1914"/>
      <c r="AV59" s="1914"/>
      <c r="AW59" s="1915"/>
      <c r="AX59" s="1190"/>
      <c r="AY59" s="1190"/>
      <c r="AZ59" s="1190"/>
      <c r="BA59" s="1190"/>
      <c r="BB59" s="1190"/>
      <c r="BC59" s="1190"/>
      <c r="BD59" s="1190"/>
      <c r="BE59" s="1194"/>
    </row>
    <row r="60" spans="1:77" ht="15.75" customHeight="1">
      <c r="A60" s="1190"/>
      <c r="B60" s="2023" t="str">
        <f>IF(B52="", "", B52)</f>
        <v>Services Company 1</v>
      </c>
      <c r="C60" s="2024"/>
      <c r="D60" s="2024"/>
      <c r="E60" s="2024"/>
      <c r="F60" s="2024"/>
      <c r="G60" s="2024"/>
      <c r="H60" s="2024"/>
      <c r="I60" s="2025"/>
      <c r="J60" s="2026"/>
      <c r="K60" s="2027"/>
      <c r="L60" s="2027"/>
      <c r="M60" s="2027"/>
      <c r="N60" s="2027"/>
      <c r="O60" s="2027"/>
      <c r="P60" s="2027"/>
      <c r="Q60" s="2027"/>
      <c r="R60" s="2027"/>
      <c r="S60" s="2027"/>
      <c r="T60" s="2027"/>
      <c r="U60" s="2027"/>
      <c r="V60" s="2027"/>
      <c r="W60" s="2027"/>
      <c r="X60" s="2027"/>
      <c r="Y60" s="2027"/>
      <c r="Z60" s="2027"/>
      <c r="AA60" s="2027"/>
      <c r="AB60" s="2027"/>
      <c r="AC60" s="2027"/>
      <c r="AD60" s="2027"/>
      <c r="AE60" s="2027"/>
      <c r="AF60" s="2027"/>
      <c r="AG60" s="2027"/>
      <c r="AH60" s="2027"/>
      <c r="AI60" s="2027"/>
      <c r="AJ60" s="2027"/>
      <c r="AK60" s="2027"/>
      <c r="AL60" s="2027"/>
      <c r="AM60" s="2027"/>
      <c r="AN60" s="2027"/>
      <c r="AO60" s="2027"/>
      <c r="AP60" s="2027"/>
      <c r="AQ60" s="2027"/>
      <c r="AR60" s="2027"/>
      <c r="AS60" s="2027"/>
      <c r="AT60" s="2027"/>
      <c r="AU60" s="2027"/>
      <c r="AV60" s="2027"/>
      <c r="AW60" s="2028"/>
      <c r="AX60" s="1190"/>
      <c r="AY60" s="1190"/>
      <c r="AZ60" s="1190"/>
      <c r="BA60" s="1190"/>
      <c r="BB60" s="1190"/>
      <c r="BC60" s="1190"/>
      <c r="BD60" s="1190"/>
      <c r="BE60" s="1194"/>
    </row>
    <row r="61" spans="1:77" ht="15.75" customHeight="1">
      <c r="A61" s="1190"/>
      <c r="B61" s="2023" t="str">
        <f>IF(B53="", "", B53)</f>
        <v>Services Company 2</v>
      </c>
      <c r="C61" s="2024"/>
      <c r="D61" s="2024"/>
      <c r="E61" s="2024"/>
      <c r="F61" s="2024"/>
      <c r="G61" s="2024"/>
      <c r="H61" s="2024"/>
      <c r="I61" s="2025"/>
      <c r="J61" s="2026"/>
      <c r="K61" s="2027"/>
      <c r="L61" s="2027"/>
      <c r="M61" s="2027"/>
      <c r="N61" s="2027"/>
      <c r="O61" s="2027"/>
      <c r="P61" s="2027"/>
      <c r="Q61" s="2027"/>
      <c r="R61" s="2027"/>
      <c r="S61" s="2027"/>
      <c r="T61" s="2027"/>
      <c r="U61" s="2027"/>
      <c r="V61" s="2027"/>
      <c r="W61" s="2027"/>
      <c r="X61" s="2027"/>
      <c r="Y61" s="2027"/>
      <c r="Z61" s="2027"/>
      <c r="AA61" s="2027"/>
      <c r="AB61" s="2027"/>
      <c r="AC61" s="2027"/>
      <c r="AD61" s="2027"/>
      <c r="AE61" s="2027"/>
      <c r="AF61" s="2027"/>
      <c r="AG61" s="2027"/>
      <c r="AH61" s="2027"/>
      <c r="AI61" s="2027"/>
      <c r="AJ61" s="2027"/>
      <c r="AK61" s="2027"/>
      <c r="AL61" s="2027"/>
      <c r="AM61" s="2027"/>
      <c r="AN61" s="2027"/>
      <c r="AO61" s="2027"/>
      <c r="AP61" s="2027"/>
      <c r="AQ61" s="2027"/>
      <c r="AR61" s="2027"/>
      <c r="AS61" s="2027"/>
      <c r="AT61" s="2027"/>
      <c r="AU61" s="2027"/>
      <c r="AV61" s="2027"/>
      <c r="AW61" s="2028"/>
      <c r="AX61" s="1190"/>
      <c r="AY61" s="1190"/>
      <c r="AZ61" s="1190"/>
      <c r="BA61" s="1190"/>
      <c r="BB61" s="1190"/>
      <c r="BC61" s="1190"/>
      <c r="BD61" s="1190"/>
      <c r="BE61" s="1194"/>
    </row>
    <row r="62" spans="1:77" ht="15.75" customHeight="1">
      <c r="A62" s="1190"/>
      <c r="B62" s="2023" t="str">
        <f>IF(B54="", "", B54)</f>
        <v/>
      </c>
      <c r="C62" s="2024"/>
      <c r="D62" s="2024"/>
      <c r="E62" s="2024"/>
      <c r="F62" s="2024"/>
      <c r="G62" s="2024"/>
      <c r="H62" s="2024"/>
      <c r="I62" s="2025"/>
      <c r="J62" s="2026"/>
      <c r="K62" s="2027"/>
      <c r="L62" s="2027"/>
      <c r="M62" s="2027"/>
      <c r="N62" s="2027"/>
      <c r="O62" s="2027"/>
      <c r="P62" s="2027"/>
      <c r="Q62" s="2027"/>
      <c r="R62" s="2027"/>
      <c r="S62" s="2027"/>
      <c r="T62" s="2027"/>
      <c r="U62" s="2027"/>
      <c r="V62" s="2027"/>
      <c r="W62" s="2027"/>
      <c r="X62" s="2027"/>
      <c r="Y62" s="2027"/>
      <c r="Z62" s="2027"/>
      <c r="AA62" s="2027"/>
      <c r="AB62" s="2027"/>
      <c r="AC62" s="2027"/>
      <c r="AD62" s="2027"/>
      <c r="AE62" s="2027"/>
      <c r="AF62" s="2027"/>
      <c r="AG62" s="2027"/>
      <c r="AH62" s="2027"/>
      <c r="AI62" s="2027"/>
      <c r="AJ62" s="2027"/>
      <c r="AK62" s="2027"/>
      <c r="AL62" s="2027"/>
      <c r="AM62" s="2027"/>
      <c r="AN62" s="2027"/>
      <c r="AO62" s="2027"/>
      <c r="AP62" s="2027"/>
      <c r="AQ62" s="2027"/>
      <c r="AR62" s="2027"/>
      <c r="AS62" s="2027"/>
      <c r="AT62" s="2027"/>
      <c r="AU62" s="2027"/>
      <c r="AV62" s="2027"/>
      <c r="AW62" s="2028"/>
      <c r="AX62" s="1190"/>
      <c r="AY62" s="1190"/>
      <c r="AZ62" s="1190"/>
      <c r="BA62" s="1190"/>
      <c r="BB62" s="1190"/>
      <c r="BC62" s="1190"/>
      <c r="BD62" s="1190"/>
      <c r="BE62" s="1194"/>
    </row>
    <row r="63" spans="1:77" ht="15.75" customHeight="1">
      <c r="A63" s="1190"/>
      <c r="B63" s="2023" t="str">
        <f>IF(B55="", "", B55)</f>
        <v/>
      </c>
      <c r="C63" s="2024"/>
      <c r="D63" s="2024"/>
      <c r="E63" s="2024"/>
      <c r="F63" s="2024"/>
      <c r="G63" s="2024"/>
      <c r="H63" s="2024"/>
      <c r="I63" s="2025"/>
      <c r="J63" s="2026"/>
      <c r="K63" s="2027"/>
      <c r="L63" s="2027"/>
      <c r="M63" s="2027"/>
      <c r="N63" s="2027"/>
      <c r="O63" s="2027"/>
      <c r="P63" s="2027"/>
      <c r="Q63" s="2027"/>
      <c r="R63" s="2027"/>
      <c r="S63" s="2027"/>
      <c r="T63" s="2027"/>
      <c r="U63" s="2027"/>
      <c r="V63" s="2027"/>
      <c r="W63" s="2027"/>
      <c r="X63" s="2027"/>
      <c r="Y63" s="2027"/>
      <c r="Z63" s="2027"/>
      <c r="AA63" s="2027"/>
      <c r="AB63" s="2027"/>
      <c r="AC63" s="2027"/>
      <c r="AD63" s="2027"/>
      <c r="AE63" s="2027"/>
      <c r="AF63" s="2027"/>
      <c r="AG63" s="2027"/>
      <c r="AH63" s="2027"/>
      <c r="AI63" s="2027"/>
      <c r="AJ63" s="2027"/>
      <c r="AK63" s="2027"/>
      <c r="AL63" s="2027"/>
      <c r="AM63" s="2027"/>
      <c r="AN63" s="2027"/>
      <c r="AO63" s="2027"/>
      <c r="AP63" s="2027"/>
      <c r="AQ63" s="2027"/>
      <c r="AR63" s="2027"/>
      <c r="AS63" s="2027"/>
      <c r="AT63" s="2027"/>
      <c r="AU63" s="2027"/>
      <c r="AV63" s="2027"/>
      <c r="AW63" s="2028"/>
      <c r="AX63" s="1190"/>
      <c r="AY63" s="1190"/>
      <c r="AZ63" s="1190"/>
      <c r="BA63" s="1190"/>
      <c r="BB63" s="1190"/>
      <c r="BC63" s="1190"/>
      <c r="BD63" s="1190"/>
      <c r="BE63" s="1194"/>
    </row>
    <row r="64" spans="1:77" ht="15.75" customHeight="1" thickBot="1">
      <c r="A64" s="1190"/>
      <c r="B64" s="2045" t="str">
        <f>IF(B56="", "", B56)</f>
        <v/>
      </c>
      <c r="C64" s="2046"/>
      <c r="D64" s="2046"/>
      <c r="E64" s="2046"/>
      <c r="F64" s="2046"/>
      <c r="G64" s="2046"/>
      <c r="H64" s="2046"/>
      <c r="I64" s="2047"/>
      <c r="J64" s="2048"/>
      <c r="K64" s="2049"/>
      <c r="L64" s="2049"/>
      <c r="M64" s="2049"/>
      <c r="N64" s="2049"/>
      <c r="O64" s="2049"/>
      <c r="P64" s="2049"/>
      <c r="Q64" s="2049"/>
      <c r="R64" s="2049"/>
      <c r="S64" s="2049"/>
      <c r="T64" s="2049"/>
      <c r="U64" s="2049"/>
      <c r="V64" s="2049"/>
      <c r="W64" s="2049"/>
      <c r="X64" s="2049"/>
      <c r="Y64" s="2049"/>
      <c r="Z64" s="2049"/>
      <c r="AA64" s="2049"/>
      <c r="AB64" s="2049"/>
      <c r="AC64" s="2049"/>
      <c r="AD64" s="2049"/>
      <c r="AE64" s="2049"/>
      <c r="AF64" s="2049"/>
      <c r="AG64" s="2049"/>
      <c r="AH64" s="2049"/>
      <c r="AI64" s="2049"/>
      <c r="AJ64" s="2049"/>
      <c r="AK64" s="2049"/>
      <c r="AL64" s="2049"/>
      <c r="AM64" s="2049"/>
      <c r="AN64" s="2049"/>
      <c r="AO64" s="2049"/>
      <c r="AP64" s="2049"/>
      <c r="AQ64" s="2049"/>
      <c r="AR64" s="2049"/>
      <c r="AS64" s="2049"/>
      <c r="AT64" s="2049"/>
      <c r="AU64" s="2049"/>
      <c r="AV64" s="2049"/>
      <c r="AW64" s="2050"/>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3" t="s">
        <v>2398</v>
      </c>
      <c r="C68" s="1914"/>
      <c r="D68" s="1914"/>
      <c r="E68" s="1914"/>
      <c r="F68" s="1914"/>
      <c r="G68" s="1914"/>
      <c r="H68" s="1914"/>
      <c r="I68" s="1914"/>
      <c r="J68" s="1914"/>
      <c r="K68" s="1914"/>
      <c r="L68" s="1914"/>
      <c r="M68" s="1914"/>
      <c r="N68" s="1914"/>
      <c r="O68" s="1914"/>
      <c r="P68" s="1914"/>
      <c r="Q68" s="1914"/>
      <c r="R68" s="1914"/>
      <c r="S68" s="1914"/>
      <c r="T68" s="1914"/>
      <c r="U68" s="1914"/>
      <c r="V68" s="1914"/>
      <c r="W68" s="1914"/>
      <c r="X68" s="1914"/>
      <c r="Y68" s="1914"/>
      <c r="Z68" s="1914"/>
      <c r="AA68" s="1915"/>
      <c r="AB68" s="1190"/>
      <c r="AC68" s="2057" t="s">
        <v>2397</v>
      </c>
      <c r="AD68" s="2058"/>
      <c r="AE68" s="2058"/>
      <c r="AF68" s="2058"/>
      <c r="AG68" s="2058"/>
      <c r="AH68" s="2058"/>
      <c r="AI68" s="2058"/>
      <c r="AJ68" s="2058"/>
      <c r="AK68" s="2058"/>
      <c r="AL68" s="2058"/>
      <c r="AM68" s="2058"/>
      <c r="AN68" s="2058"/>
      <c r="AO68" s="2058"/>
      <c r="AP68" s="2058"/>
      <c r="AQ68" s="2058"/>
      <c r="AR68" s="2058"/>
      <c r="AS68" s="2058"/>
      <c r="AT68" s="2058"/>
      <c r="AU68" s="2058"/>
      <c r="AV68" s="2035" t="s">
        <v>670</v>
      </c>
      <c r="AW68" s="2036"/>
      <c r="AX68" s="2036"/>
      <c r="AY68" s="2036"/>
      <c r="AZ68" s="2036"/>
      <c r="BA68" s="2036"/>
      <c r="BB68" s="2036"/>
      <c r="BC68" s="2037"/>
      <c r="BD68" s="1190"/>
      <c r="BE68" s="1194"/>
      <c r="BM68" s="1199" t="s">
        <v>2396</v>
      </c>
    </row>
    <row r="69" spans="1:94" ht="15.75" customHeight="1" thickTop="1" thickBot="1">
      <c r="A69" s="1190"/>
      <c r="B69" s="2038" t="s">
        <v>2395</v>
      </c>
      <c r="C69" s="2039"/>
      <c r="D69" s="2039"/>
      <c r="E69" s="2039"/>
      <c r="F69" s="2039"/>
      <c r="G69" s="2039"/>
      <c r="H69" s="2039"/>
      <c r="I69" s="2039"/>
      <c r="J69" s="2039"/>
      <c r="K69" s="2039"/>
      <c r="L69" s="2039"/>
      <c r="M69" s="2039"/>
      <c r="N69" s="2039"/>
      <c r="O69" s="2040" t="s">
        <v>2394</v>
      </c>
      <c r="P69" s="2041"/>
      <c r="Q69" s="2041"/>
      <c r="R69" s="2041"/>
      <c r="S69" s="2041"/>
      <c r="T69" s="2041"/>
      <c r="U69" s="2041"/>
      <c r="V69" s="2041"/>
      <c r="W69" s="2041"/>
      <c r="X69" s="2041"/>
      <c r="Y69" s="2041"/>
      <c r="Z69" s="2041"/>
      <c r="AA69" s="2042"/>
      <c r="AB69" s="1190"/>
      <c r="AC69" s="2043" t="s">
        <v>2393</v>
      </c>
      <c r="AD69" s="2044"/>
      <c r="AE69" s="2044"/>
      <c r="AF69" s="2044"/>
      <c r="AG69" s="2044"/>
      <c r="AH69" s="2044"/>
      <c r="AI69" s="2044"/>
      <c r="AJ69" s="2044"/>
      <c r="AK69" s="2044"/>
      <c r="AL69" s="2044"/>
      <c r="AM69" s="2044"/>
      <c r="AN69" s="2044"/>
      <c r="AO69" s="2044"/>
      <c r="AP69" s="2044"/>
      <c r="AQ69" s="2044"/>
      <c r="AR69" s="2044"/>
      <c r="AS69" s="2044"/>
      <c r="AT69" s="2044"/>
      <c r="AU69" s="2044"/>
      <c r="AV69" s="2035" t="s">
        <v>670</v>
      </c>
      <c r="AW69" s="2036"/>
      <c r="AX69" s="2036"/>
      <c r="AY69" s="2036"/>
      <c r="AZ69" s="2036"/>
      <c r="BA69" s="2036"/>
      <c r="BB69" s="2036"/>
      <c r="BC69" s="2037"/>
      <c r="BD69" s="1190"/>
      <c r="BE69" s="1194"/>
      <c r="BM69" s="1200" t="s">
        <v>546</v>
      </c>
    </row>
    <row r="70" spans="1:94" ht="15.75" customHeight="1">
      <c r="A70" s="1190"/>
      <c r="B70" s="1992" t="s">
        <v>2392</v>
      </c>
      <c r="C70" s="1993"/>
      <c r="D70" s="1993"/>
      <c r="E70" s="1993"/>
      <c r="F70" s="1993"/>
      <c r="G70" s="1993"/>
      <c r="H70" s="1993"/>
      <c r="I70" s="1993"/>
      <c r="J70" s="1993"/>
      <c r="K70" s="1993"/>
      <c r="L70" s="1993"/>
      <c r="M70" s="1993"/>
      <c r="N70" s="1993"/>
      <c r="O70" s="2051">
        <v>0</v>
      </c>
      <c r="P70" s="2051"/>
      <c r="Q70" s="2051"/>
      <c r="R70" s="2051"/>
      <c r="S70" s="2051"/>
      <c r="T70" s="2051"/>
      <c r="U70" s="2051"/>
      <c r="V70" s="2051"/>
      <c r="W70" s="2051"/>
      <c r="X70" s="2051"/>
      <c r="Y70" s="2051"/>
      <c r="Z70" s="2051"/>
      <c r="AA70" s="2052"/>
      <c r="AB70" s="1190"/>
      <c r="AC70" s="2008" t="s">
        <v>2391</v>
      </c>
      <c r="AD70" s="2009"/>
      <c r="AE70" s="2009"/>
      <c r="AF70" s="2053"/>
      <c r="AG70" s="2053"/>
      <c r="AH70" s="2053"/>
      <c r="AI70" s="2053"/>
      <c r="AJ70" s="2053"/>
      <c r="AK70" s="2053"/>
      <c r="AL70" s="2053"/>
      <c r="AM70" s="2053"/>
      <c r="AN70" s="2053"/>
      <c r="AO70" s="2053"/>
      <c r="AP70" s="2053"/>
      <c r="AQ70" s="2053"/>
      <c r="AR70" s="2053"/>
      <c r="AS70" s="2053"/>
      <c r="AT70" s="2053"/>
      <c r="AU70" s="2054"/>
      <c r="AV70" s="1190"/>
      <c r="AW70" s="1190"/>
      <c r="AX70" s="1190"/>
      <c r="AY70" s="1190"/>
      <c r="AZ70" s="1190"/>
      <c r="BA70" s="1190"/>
      <c r="BB70" s="1190"/>
      <c r="BC70" s="1190"/>
      <c r="BD70" s="1190"/>
      <c r="BE70" s="1194"/>
      <c r="BM70" s="1201" t="s">
        <v>670</v>
      </c>
    </row>
    <row r="71" spans="1:94" ht="15.75" customHeight="1" thickBot="1">
      <c r="A71" s="1190"/>
      <c r="B71" s="1992" t="s">
        <v>2390</v>
      </c>
      <c r="C71" s="1993"/>
      <c r="D71" s="1993"/>
      <c r="E71" s="1993"/>
      <c r="F71" s="1993"/>
      <c r="G71" s="1993"/>
      <c r="H71" s="1993"/>
      <c r="I71" s="1993"/>
      <c r="J71" s="1993"/>
      <c r="K71" s="1993"/>
      <c r="L71" s="1993"/>
      <c r="M71" s="1993"/>
      <c r="N71" s="1993"/>
      <c r="O71" s="2051">
        <v>0</v>
      </c>
      <c r="P71" s="2051"/>
      <c r="Q71" s="2051"/>
      <c r="R71" s="2051"/>
      <c r="S71" s="2051"/>
      <c r="T71" s="2051"/>
      <c r="U71" s="2051"/>
      <c r="V71" s="2051"/>
      <c r="W71" s="2051"/>
      <c r="X71" s="2051"/>
      <c r="Y71" s="2051"/>
      <c r="Z71" s="2051"/>
      <c r="AA71" s="2052"/>
      <c r="AB71" s="1190"/>
      <c r="AC71" s="2055" t="s">
        <v>2389</v>
      </c>
      <c r="AD71" s="2056"/>
      <c r="AE71" s="2056"/>
      <c r="AF71" s="2049"/>
      <c r="AG71" s="2049"/>
      <c r="AH71" s="2049"/>
      <c r="AI71" s="2049"/>
      <c r="AJ71" s="2049"/>
      <c r="AK71" s="2049"/>
      <c r="AL71" s="2049"/>
      <c r="AM71" s="2049"/>
      <c r="AN71" s="2049"/>
      <c r="AO71" s="2049"/>
      <c r="AP71" s="2049"/>
      <c r="AQ71" s="2049"/>
      <c r="AR71" s="2049"/>
      <c r="AS71" s="2049"/>
      <c r="AT71" s="2049"/>
      <c r="AU71" s="2050"/>
      <c r="AV71" s="1190"/>
      <c r="AW71" s="1190"/>
      <c r="AX71" s="1190"/>
      <c r="AY71" s="1190"/>
      <c r="AZ71" s="1190"/>
      <c r="BA71" s="1190"/>
      <c r="BB71" s="1190"/>
      <c r="BC71" s="1190"/>
      <c r="BD71" s="1190"/>
      <c r="BE71" s="1194"/>
      <c r="BM71" s="1187" t="s">
        <v>2388</v>
      </c>
    </row>
    <row r="72" spans="1:94" ht="15.75" customHeight="1">
      <c r="A72" s="1190"/>
      <c r="B72" s="1992" t="s">
        <v>2387</v>
      </c>
      <c r="C72" s="1993"/>
      <c r="D72" s="1993"/>
      <c r="E72" s="1993"/>
      <c r="F72" s="1993"/>
      <c r="G72" s="1993"/>
      <c r="H72" s="1993"/>
      <c r="I72" s="1993"/>
      <c r="J72" s="1993"/>
      <c r="K72" s="1993"/>
      <c r="L72" s="1993"/>
      <c r="M72" s="1993"/>
      <c r="N72" s="1993"/>
      <c r="O72" s="2051">
        <v>0</v>
      </c>
      <c r="P72" s="2051"/>
      <c r="Q72" s="2051"/>
      <c r="R72" s="2051"/>
      <c r="S72" s="2051"/>
      <c r="T72" s="2051"/>
      <c r="U72" s="2051"/>
      <c r="V72" s="2051"/>
      <c r="W72" s="2051"/>
      <c r="X72" s="2051"/>
      <c r="Y72" s="2051"/>
      <c r="Z72" s="2051"/>
      <c r="AA72" s="2052"/>
      <c r="AB72" s="1190"/>
      <c r="AC72" s="2075" t="s">
        <v>2386</v>
      </c>
      <c r="AD72" s="2076"/>
      <c r="AE72" s="2076"/>
      <c r="AF72" s="2076"/>
      <c r="AG72" s="2076"/>
      <c r="AH72" s="2076"/>
      <c r="AI72" s="2076"/>
      <c r="AJ72" s="2076"/>
      <c r="AK72" s="2076"/>
      <c r="AL72" s="2076"/>
      <c r="AM72" s="2076"/>
      <c r="AN72" s="2076"/>
      <c r="AO72" s="2076"/>
      <c r="AP72" s="2076"/>
      <c r="AQ72" s="2076"/>
      <c r="AR72" s="2076"/>
      <c r="AS72" s="2076"/>
      <c r="AT72" s="2076"/>
      <c r="AU72" s="2076"/>
      <c r="AV72" s="2009"/>
      <c r="AW72" s="2009"/>
      <c r="AX72" s="2009"/>
      <c r="AY72" s="2009"/>
      <c r="AZ72" s="2009"/>
      <c r="BA72" s="2009"/>
      <c r="BB72" s="2009"/>
      <c r="BC72" s="2010"/>
      <c r="BD72" s="1190"/>
      <c r="BE72" s="1194"/>
    </row>
    <row r="73" spans="1:94" ht="15.75" customHeight="1">
      <c r="A73" s="1190"/>
      <c r="B73" s="1996" t="s">
        <v>2385</v>
      </c>
      <c r="C73" s="1997"/>
      <c r="D73" s="1997"/>
      <c r="E73" s="1997"/>
      <c r="F73" s="1997"/>
      <c r="G73" s="1997"/>
      <c r="H73" s="1997"/>
      <c r="I73" s="1997"/>
      <c r="J73" s="1997"/>
      <c r="K73" s="1997"/>
      <c r="L73" s="1997"/>
      <c r="M73" s="1997"/>
      <c r="N73" s="1997"/>
      <c r="O73" s="2051">
        <v>0</v>
      </c>
      <c r="P73" s="2051"/>
      <c r="Q73" s="2051"/>
      <c r="R73" s="2051"/>
      <c r="S73" s="2051"/>
      <c r="T73" s="2051"/>
      <c r="U73" s="2051"/>
      <c r="V73" s="2051"/>
      <c r="W73" s="2051"/>
      <c r="X73" s="2051"/>
      <c r="Y73" s="2051"/>
      <c r="Z73" s="2051"/>
      <c r="AA73" s="2052"/>
      <c r="AB73" s="1190"/>
      <c r="AC73" s="2077" t="s">
        <v>2330</v>
      </c>
      <c r="AD73" s="2078"/>
      <c r="AE73" s="2078"/>
      <c r="AF73" s="2078"/>
      <c r="AG73" s="2078"/>
      <c r="AH73" s="2078"/>
      <c r="AI73" s="2078"/>
      <c r="AJ73" s="2078"/>
      <c r="AK73" s="2078"/>
      <c r="AL73" s="2078"/>
      <c r="AM73" s="2078"/>
      <c r="AN73" s="2078"/>
      <c r="AO73" s="2078"/>
      <c r="AP73" s="2078"/>
      <c r="AQ73" s="2078"/>
      <c r="AR73" s="2078"/>
      <c r="AS73" s="2078"/>
      <c r="AT73" s="2078"/>
      <c r="AU73" s="2078"/>
      <c r="AV73" s="2078"/>
      <c r="AW73" s="2078"/>
      <c r="AX73" s="2078"/>
      <c r="AY73" s="2078"/>
      <c r="AZ73" s="2078"/>
      <c r="BA73" s="2078"/>
      <c r="BB73" s="2078"/>
      <c r="BC73" s="2079"/>
      <c r="BD73" s="1190"/>
      <c r="BE73" s="1194"/>
      <c r="CK73" s="1188"/>
      <c r="CL73" s="1188"/>
      <c r="CM73" s="1188"/>
      <c r="CN73" s="1188"/>
      <c r="CO73" s="1188"/>
      <c r="CP73" s="1188"/>
    </row>
    <row r="74" spans="1:94" ht="15.75" customHeight="1">
      <c r="A74" s="1190"/>
      <c r="B74" s="2083"/>
      <c r="C74" s="2015"/>
      <c r="D74" s="2015"/>
      <c r="E74" s="2015"/>
      <c r="F74" s="2015"/>
      <c r="G74" s="2015"/>
      <c r="H74" s="2015"/>
      <c r="I74" s="2015"/>
      <c r="J74" s="2015"/>
      <c r="K74" s="2015"/>
      <c r="L74" s="2015"/>
      <c r="M74" s="2015"/>
      <c r="N74" s="2015"/>
      <c r="O74" s="2051"/>
      <c r="P74" s="2051"/>
      <c r="Q74" s="2051"/>
      <c r="R74" s="2051"/>
      <c r="S74" s="2051"/>
      <c r="T74" s="2051"/>
      <c r="U74" s="2051"/>
      <c r="V74" s="2051"/>
      <c r="W74" s="2051"/>
      <c r="X74" s="2051"/>
      <c r="Y74" s="2051"/>
      <c r="Z74" s="2051"/>
      <c r="AA74" s="2052"/>
      <c r="AB74" s="1190"/>
      <c r="AC74" s="2077"/>
      <c r="AD74" s="2078"/>
      <c r="AE74" s="2078"/>
      <c r="AF74" s="2078"/>
      <c r="AG74" s="2078"/>
      <c r="AH74" s="2078"/>
      <c r="AI74" s="2078"/>
      <c r="AJ74" s="2078"/>
      <c r="AK74" s="2078"/>
      <c r="AL74" s="2078"/>
      <c r="AM74" s="2078"/>
      <c r="AN74" s="2078"/>
      <c r="AO74" s="2078"/>
      <c r="AP74" s="2078"/>
      <c r="AQ74" s="2078"/>
      <c r="AR74" s="2078"/>
      <c r="AS74" s="2078"/>
      <c r="AT74" s="2078"/>
      <c r="AU74" s="2078"/>
      <c r="AV74" s="2078"/>
      <c r="AW74" s="2078"/>
      <c r="AX74" s="2078"/>
      <c r="AY74" s="2078"/>
      <c r="AZ74" s="2078"/>
      <c r="BA74" s="2078"/>
      <c r="BB74" s="2078"/>
      <c r="BC74" s="2079"/>
      <c r="BD74" s="1190"/>
      <c r="BE74" s="1194"/>
      <c r="CK74" s="1188"/>
      <c r="CL74" s="1188"/>
      <c r="CM74" s="1188"/>
      <c r="CN74" s="1188"/>
      <c r="CO74" s="1188"/>
      <c r="CP74" s="1188"/>
    </row>
    <row r="75" spans="1:94" ht="15.75" customHeight="1" thickBot="1">
      <c r="A75" s="1190"/>
      <c r="B75" s="2084" t="s">
        <v>124</v>
      </c>
      <c r="C75" s="2085"/>
      <c r="D75" s="2085"/>
      <c r="E75" s="2085"/>
      <c r="F75" s="2085"/>
      <c r="G75" s="2085"/>
      <c r="H75" s="2085"/>
      <c r="I75" s="2085"/>
      <c r="J75" s="2085"/>
      <c r="K75" s="2085"/>
      <c r="L75" s="2085"/>
      <c r="M75" s="2085"/>
      <c r="N75" s="2085"/>
      <c r="O75" s="2086">
        <f>SUM(O70:AA74)</f>
        <v>0</v>
      </c>
      <c r="P75" s="2086"/>
      <c r="Q75" s="2086"/>
      <c r="R75" s="2086"/>
      <c r="S75" s="2086"/>
      <c r="T75" s="2086"/>
      <c r="U75" s="2086"/>
      <c r="V75" s="2086"/>
      <c r="W75" s="2086"/>
      <c r="X75" s="2086"/>
      <c r="Y75" s="2086"/>
      <c r="Z75" s="2086"/>
      <c r="AA75" s="2087"/>
      <c r="AB75" s="1190"/>
      <c r="AC75" s="2077"/>
      <c r="AD75" s="2078"/>
      <c r="AE75" s="2078"/>
      <c r="AF75" s="2078"/>
      <c r="AG75" s="2078"/>
      <c r="AH75" s="2078"/>
      <c r="AI75" s="2078"/>
      <c r="AJ75" s="2078"/>
      <c r="AK75" s="2078"/>
      <c r="AL75" s="2078"/>
      <c r="AM75" s="2078"/>
      <c r="AN75" s="2078"/>
      <c r="AO75" s="2078"/>
      <c r="AP75" s="2078"/>
      <c r="AQ75" s="2078"/>
      <c r="AR75" s="2078"/>
      <c r="AS75" s="2078"/>
      <c r="AT75" s="2078"/>
      <c r="AU75" s="2078"/>
      <c r="AV75" s="2078"/>
      <c r="AW75" s="2078"/>
      <c r="AX75" s="2078"/>
      <c r="AY75" s="2078"/>
      <c r="AZ75" s="2078"/>
      <c r="BA75" s="2078"/>
      <c r="BB75" s="2078"/>
      <c r="BC75" s="2079"/>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7"/>
      <c r="AD76" s="2078"/>
      <c r="AE76" s="2078"/>
      <c r="AF76" s="2078"/>
      <c r="AG76" s="2078"/>
      <c r="AH76" s="2078"/>
      <c r="AI76" s="2078"/>
      <c r="AJ76" s="2078"/>
      <c r="AK76" s="2078"/>
      <c r="AL76" s="2078"/>
      <c r="AM76" s="2078"/>
      <c r="AN76" s="2078"/>
      <c r="AO76" s="2078"/>
      <c r="AP76" s="2078"/>
      <c r="AQ76" s="2078"/>
      <c r="AR76" s="2078"/>
      <c r="AS76" s="2078"/>
      <c r="AT76" s="2078"/>
      <c r="AU76" s="2078"/>
      <c r="AV76" s="2078"/>
      <c r="AW76" s="2078"/>
      <c r="AX76" s="2078"/>
      <c r="AY76" s="2078"/>
      <c r="AZ76" s="2078"/>
      <c r="BA76" s="2078"/>
      <c r="BB76" s="2078"/>
      <c r="BC76" s="2079"/>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0"/>
      <c r="AD77" s="2081"/>
      <c r="AE77" s="2081"/>
      <c r="AF77" s="2081"/>
      <c r="AG77" s="2081"/>
      <c r="AH77" s="2081"/>
      <c r="AI77" s="2081"/>
      <c r="AJ77" s="2081"/>
      <c r="AK77" s="2081"/>
      <c r="AL77" s="2081"/>
      <c r="AM77" s="2081"/>
      <c r="AN77" s="2081"/>
      <c r="AO77" s="2081"/>
      <c r="AP77" s="2081"/>
      <c r="AQ77" s="2081"/>
      <c r="AR77" s="2081"/>
      <c r="AS77" s="2081"/>
      <c r="AT77" s="2081"/>
      <c r="AU77" s="2081"/>
      <c r="AV77" s="2081"/>
      <c r="AW77" s="2081"/>
      <c r="AX77" s="2081"/>
      <c r="AY77" s="2081"/>
      <c r="AZ77" s="2081"/>
      <c r="BA77" s="2081"/>
      <c r="BB77" s="2081"/>
      <c r="BC77" s="2082"/>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059"/>
      <c r="G79" s="2060"/>
      <c r="H79" s="2060"/>
      <c r="I79" s="2060"/>
      <c r="J79" s="2060"/>
      <c r="K79" s="2060"/>
      <c r="L79" s="2060"/>
      <c r="M79" s="2060"/>
      <c r="N79" s="2060"/>
      <c r="O79" s="2060"/>
      <c r="P79" s="2060"/>
      <c r="Q79" s="2060"/>
      <c r="R79" s="2060"/>
      <c r="S79" s="2060"/>
      <c r="T79" s="2061"/>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2" t="s">
        <v>2383</v>
      </c>
      <c r="C80" s="2063"/>
      <c r="D80" s="2063"/>
      <c r="E80" s="2063"/>
      <c r="F80" s="2063"/>
      <c r="G80" s="2063"/>
      <c r="H80" s="2063"/>
      <c r="I80" s="2063"/>
      <c r="J80" s="2063"/>
      <c r="K80" s="2063"/>
      <c r="L80" s="2063"/>
      <c r="M80" s="2063"/>
      <c r="N80" s="2063"/>
      <c r="O80" s="2063"/>
      <c r="P80" s="2063"/>
      <c r="Q80" s="2063"/>
      <c r="R80" s="2064" t="str">
        <f>IFERROR(INDEX(BR96:BR98,MATCH(F79,$BQ$96:$BQ$98,0))/SUM($BR$96:$BR$98),"")</f>
        <v/>
      </c>
      <c r="S80" s="2065"/>
      <c r="T80" s="2066"/>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7" t="s">
        <v>2382</v>
      </c>
      <c r="C81" s="2068"/>
      <c r="D81" s="2068"/>
      <c r="E81" s="2068"/>
      <c r="F81" s="2068"/>
      <c r="G81" s="2068"/>
      <c r="H81" s="2068"/>
      <c r="I81" s="2068"/>
      <c r="J81" s="2068"/>
      <c r="K81" s="2068"/>
      <c r="L81" s="2068"/>
      <c r="M81" s="2068"/>
      <c r="N81" s="2068"/>
      <c r="O81" s="2068"/>
      <c r="P81" s="2068"/>
      <c r="Q81" s="2068"/>
      <c r="R81" s="2069" t="s">
        <v>2189</v>
      </c>
      <c r="S81" s="2070"/>
      <c r="T81" s="2071"/>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2" t="s">
        <v>2381</v>
      </c>
      <c r="C83" s="2073"/>
      <c r="D83" s="2073"/>
      <c r="E83" s="2073"/>
      <c r="F83" s="2073"/>
      <c r="G83" s="2073"/>
      <c r="H83" s="2073"/>
      <c r="I83" s="2073"/>
      <c r="J83" s="2073"/>
      <c r="K83" s="2073"/>
      <c r="L83" s="2073"/>
      <c r="M83" s="2073"/>
      <c r="N83" s="2073"/>
      <c r="O83" s="2073"/>
      <c r="P83" s="2073"/>
      <c r="Q83" s="2073"/>
      <c r="R83" s="2073"/>
      <c r="S83" s="2073"/>
      <c r="T83" s="2073"/>
      <c r="U83" s="2073"/>
      <c r="V83" s="2073"/>
      <c r="W83" s="2073"/>
      <c r="X83" s="2073"/>
      <c r="Y83" s="2073"/>
      <c r="Z83" s="2073"/>
      <c r="AA83" s="2073"/>
      <c r="AB83" s="2073"/>
      <c r="AC83" s="2073"/>
      <c r="AD83" s="2073"/>
      <c r="AE83" s="2073"/>
      <c r="AF83" s="2073"/>
      <c r="AG83" s="2073"/>
      <c r="AH83" s="2074"/>
      <c r="AI83" s="1190"/>
      <c r="AJ83" s="2090" t="s">
        <v>2380</v>
      </c>
      <c r="AK83" s="2091"/>
      <c r="AL83" s="2091"/>
      <c r="AM83" s="2091"/>
      <c r="AN83" s="2091"/>
      <c r="AO83" s="2091"/>
      <c r="AP83" s="2091"/>
      <c r="AQ83" s="2091"/>
      <c r="AR83" s="2091"/>
      <c r="AS83" s="2091"/>
      <c r="AT83" s="2091"/>
      <c r="AU83" s="2091"/>
      <c r="AV83" s="2091"/>
      <c r="AW83" s="2091"/>
      <c r="AX83" s="2091"/>
      <c r="AY83" s="2094" t="s">
        <v>546</v>
      </c>
      <c r="AZ83" s="2094"/>
      <c r="BA83" s="2094"/>
      <c r="BB83" s="2095"/>
      <c r="BC83" s="1190"/>
      <c r="BD83" s="1190"/>
      <c r="BE83" s="1194"/>
      <c r="CK83" s="1188"/>
      <c r="CL83" s="1188"/>
      <c r="CM83" s="1188"/>
      <c r="CN83" s="1188"/>
      <c r="CO83" s="1188"/>
      <c r="CP83" s="1188"/>
    </row>
    <row r="84" spans="1:94" ht="15.75" customHeight="1">
      <c r="A84" s="1190"/>
      <c r="B84" s="2011"/>
      <c r="C84" s="2012"/>
      <c r="D84" s="2012"/>
      <c r="E84" s="2012"/>
      <c r="F84" s="2012"/>
      <c r="G84" s="2012"/>
      <c r="H84" s="2012"/>
      <c r="I84" s="2012" t="s">
        <v>2370</v>
      </c>
      <c r="J84" s="2012"/>
      <c r="K84" s="2012"/>
      <c r="L84" s="2012"/>
      <c r="M84" s="2012"/>
      <c r="N84" s="2012"/>
      <c r="O84" s="2012" t="s">
        <v>2346</v>
      </c>
      <c r="P84" s="2012"/>
      <c r="Q84" s="2012"/>
      <c r="R84" s="2012"/>
      <c r="S84" s="2012"/>
      <c r="T84" s="2012"/>
      <c r="U84" s="2012"/>
      <c r="V84" s="2098" t="s">
        <v>2345</v>
      </c>
      <c r="W84" s="2098"/>
      <c r="X84" s="2098"/>
      <c r="Y84" s="2098"/>
      <c r="Z84" s="2098"/>
      <c r="AA84" s="2098"/>
      <c r="AB84" s="2099" t="s">
        <v>2369</v>
      </c>
      <c r="AC84" s="2099"/>
      <c r="AD84" s="2099"/>
      <c r="AE84" s="2099"/>
      <c r="AF84" s="2099"/>
      <c r="AG84" s="2099"/>
      <c r="AH84" s="2100"/>
      <c r="AI84" s="1190"/>
      <c r="AJ84" s="2092"/>
      <c r="AK84" s="2093"/>
      <c r="AL84" s="2093"/>
      <c r="AM84" s="2093"/>
      <c r="AN84" s="2093"/>
      <c r="AO84" s="2093"/>
      <c r="AP84" s="2093"/>
      <c r="AQ84" s="2093"/>
      <c r="AR84" s="2093"/>
      <c r="AS84" s="2093"/>
      <c r="AT84" s="2093"/>
      <c r="AU84" s="2093"/>
      <c r="AV84" s="2093"/>
      <c r="AW84" s="2093"/>
      <c r="AX84" s="2093"/>
      <c r="AY84" s="2096"/>
      <c r="AZ84" s="2096"/>
      <c r="BA84" s="2096"/>
      <c r="BB84" s="2097"/>
      <c r="BC84" s="1190"/>
      <c r="BD84" s="1190"/>
      <c r="BE84" s="1194"/>
      <c r="CK84" s="1188"/>
      <c r="CL84" s="1188"/>
      <c r="CM84" s="1188"/>
      <c r="CN84" s="1188"/>
      <c r="CO84" s="1188"/>
      <c r="CP84" s="1188"/>
    </row>
    <row r="85" spans="1:94" ht="15.75" customHeight="1">
      <c r="A85" s="1190"/>
      <c r="B85" s="2011"/>
      <c r="C85" s="2012"/>
      <c r="D85" s="2012"/>
      <c r="E85" s="2012"/>
      <c r="F85" s="2012"/>
      <c r="G85" s="2012"/>
      <c r="H85" s="2012"/>
      <c r="I85" s="2012"/>
      <c r="J85" s="2012"/>
      <c r="K85" s="2012"/>
      <c r="L85" s="2012"/>
      <c r="M85" s="2012"/>
      <c r="N85" s="2012"/>
      <c r="O85" s="2012"/>
      <c r="P85" s="2012"/>
      <c r="Q85" s="2012"/>
      <c r="R85" s="2012"/>
      <c r="S85" s="2012"/>
      <c r="T85" s="2012"/>
      <c r="U85" s="2012"/>
      <c r="V85" s="2098"/>
      <c r="W85" s="2098"/>
      <c r="X85" s="2098"/>
      <c r="Y85" s="2098"/>
      <c r="Z85" s="2098"/>
      <c r="AA85" s="2098"/>
      <c r="AB85" s="2099"/>
      <c r="AC85" s="2099"/>
      <c r="AD85" s="2099"/>
      <c r="AE85" s="2099"/>
      <c r="AF85" s="2099"/>
      <c r="AG85" s="2099"/>
      <c r="AH85" s="2100"/>
      <c r="AI85" s="1190"/>
      <c r="AJ85" s="2092"/>
      <c r="AK85" s="2093"/>
      <c r="AL85" s="2093"/>
      <c r="AM85" s="2093"/>
      <c r="AN85" s="2093"/>
      <c r="AO85" s="2093"/>
      <c r="AP85" s="2093"/>
      <c r="AQ85" s="2093"/>
      <c r="AR85" s="2093"/>
      <c r="AS85" s="2093"/>
      <c r="AT85" s="2093"/>
      <c r="AU85" s="2093"/>
      <c r="AV85" s="2093"/>
      <c r="AW85" s="2093"/>
      <c r="AX85" s="2093"/>
      <c r="AY85" s="2096"/>
      <c r="AZ85" s="2096"/>
      <c r="BA85" s="2096"/>
      <c r="BB85" s="2097"/>
      <c r="BC85" s="1190"/>
      <c r="BD85" s="1190"/>
      <c r="BE85" s="1194"/>
      <c r="CK85" s="1188"/>
      <c r="CL85" s="1188"/>
      <c r="CM85" s="1188"/>
      <c r="CN85" s="1188"/>
      <c r="CO85" s="1188"/>
      <c r="CP85" s="1188"/>
    </row>
    <row r="86" spans="1:94" ht="15.75" customHeight="1">
      <c r="A86" s="1190"/>
      <c r="B86" s="2011" t="s">
        <v>2368</v>
      </c>
      <c r="C86" s="2012"/>
      <c r="D86" s="2012"/>
      <c r="E86" s="2012"/>
      <c r="F86" s="2012"/>
      <c r="G86" s="2012"/>
      <c r="H86" s="2012"/>
      <c r="I86" s="2088">
        <v>0</v>
      </c>
      <c r="J86" s="2088"/>
      <c r="K86" s="2088"/>
      <c r="L86" s="2088"/>
      <c r="M86" s="2088"/>
      <c r="N86" s="2088"/>
      <c r="O86" s="2088">
        <v>0</v>
      </c>
      <c r="P86" s="2088"/>
      <c r="Q86" s="2088"/>
      <c r="R86" s="2088"/>
      <c r="S86" s="2088"/>
      <c r="T86" s="2088"/>
      <c r="U86" s="2088"/>
      <c r="V86" s="2088">
        <v>0</v>
      </c>
      <c r="W86" s="2088"/>
      <c r="X86" s="2088"/>
      <c r="Y86" s="2088"/>
      <c r="Z86" s="2088"/>
      <c r="AA86" s="2088"/>
      <c r="AB86" s="2088">
        <v>0</v>
      </c>
      <c r="AC86" s="2088"/>
      <c r="AD86" s="2088"/>
      <c r="AE86" s="2088"/>
      <c r="AF86" s="2088"/>
      <c r="AG86" s="2088"/>
      <c r="AH86" s="2089"/>
      <c r="AI86" s="1190"/>
      <c r="AJ86" s="2092"/>
      <c r="AK86" s="2093"/>
      <c r="AL86" s="2093"/>
      <c r="AM86" s="2093"/>
      <c r="AN86" s="2093"/>
      <c r="AO86" s="2093"/>
      <c r="AP86" s="2093"/>
      <c r="AQ86" s="2093"/>
      <c r="AR86" s="2093"/>
      <c r="AS86" s="2093"/>
      <c r="AT86" s="2093"/>
      <c r="AU86" s="2093"/>
      <c r="AV86" s="2093"/>
      <c r="AW86" s="2093"/>
      <c r="AX86" s="2093"/>
      <c r="AY86" s="2096"/>
      <c r="AZ86" s="2096"/>
      <c r="BA86" s="2096"/>
      <c r="BB86" s="2097"/>
      <c r="BC86" s="1190"/>
      <c r="BD86" s="1190"/>
      <c r="BE86" s="1194"/>
      <c r="CK86" s="1188"/>
      <c r="CL86" s="1188"/>
      <c r="CM86" s="1188"/>
      <c r="CN86" s="1188"/>
      <c r="CO86" s="1188"/>
      <c r="CP86" s="1188"/>
    </row>
    <row r="87" spans="1:94" ht="15.75" customHeight="1">
      <c r="A87" s="1190"/>
      <c r="B87" s="2011" t="s">
        <v>2367</v>
      </c>
      <c r="C87" s="2012"/>
      <c r="D87" s="2012"/>
      <c r="E87" s="2012"/>
      <c r="F87" s="2012"/>
      <c r="G87" s="2012"/>
      <c r="H87" s="2012"/>
      <c r="I87" s="2088">
        <v>0</v>
      </c>
      <c r="J87" s="2088"/>
      <c r="K87" s="2088"/>
      <c r="L87" s="2088"/>
      <c r="M87" s="2088"/>
      <c r="N87" s="2088"/>
      <c r="O87" s="2088">
        <v>0</v>
      </c>
      <c r="P87" s="2088"/>
      <c r="Q87" s="2088"/>
      <c r="R87" s="2088"/>
      <c r="S87" s="2088"/>
      <c r="T87" s="2088"/>
      <c r="U87" s="2088"/>
      <c r="V87" s="2088">
        <v>0</v>
      </c>
      <c r="W87" s="2088"/>
      <c r="X87" s="2088"/>
      <c r="Y87" s="2088"/>
      <c r="Z87" s="2088"/>
      <c r="AA87" s="2088"/>
      <c r="AB87" s="2088">
        <v>0</v>
      </c>
      <c r="AC87" s="2088"/>
      <c r="AD87" s="2088"/>
      <c r="AE87" s="2088"/>
      <c r="AF87" s="2088"/>
      <c r="AG87" s="2088"/>
      <c r="AH87" s="2089"/>
      <c r="AI87" s="1190"/>
      <c r="AJ87" s="2077" t="s">
        <v>2374</v>
      </c>
      <c r="AK87" s="2078"/>
      <c r="AL87" s="2078"/>
      <c r="AM87" s="2078"/>
      <c r="AN87" s="2078"/>
      <c r="AO87" s="2078"/>
      <c r="AP87" s="2078"/>
      <c r="AQ87" s="2078"/>
      <c r="AR87" s="2078"/>
      <c r="AS87" s="2078"/>
      <c r="AT87" s="2078"/>
      <c r="AU87" s="2078"/>
      <c r="AV87" s="2078"/>
      <c r="AW87" s="2078"/>
      <c r="AX87" s="2078"/>
      <c r="AY87" s="2078"/>
      <c r="AZ87" s="2078"/>
      <c r="BA87" s="2078"/>
      <c r="BB87" s="2079"/>
      <c r="BC87" s="1190"/>
      <c r="BD87" s="1190"/>
      <c r="BE87" s="1194"/>
      <c r="CK87" s="1188"/>
      <c r="CL87" s="1188"/>
      <c r="CM87" s="1188"/>
      <c r="CN87" s="1188"/>
      <c r="CO87" s="1188"/>
      <c r="CP87" s="1188"/>
    </row>
    <row r="88" spans="1:94" ht="15.75" customHeight="1" thickBot="1">
      <c r="A88" s="1190"/>
      <c r="B88" s="2029" t="s">
        <v>2366</v>
      </c>
      <c r="C88" s="2030"/>
      <c r="D88" s="2030"/>
      <c r="E88" s="2030"/>
      <c r="F88" s="2030"/>
      <c r="G88" s="2030"/>
      <c r="H88" s="2030"/>
      <c r="I88" s="2103">
        <v>0</v>
      </c>
      <c r="J88" s="2103"/>
      <c r="K88" s="2103"/>
      <c r="L88" s="2103"/>
      <c r="M88" s="2103"/>
      <c r="N88" s="2103"/>
      <c r="O88" s="2103">
        <v>0</v>
      </c>
      <c r="P88" s="2103"/>
      <c r="Q88" s="2103"/>
      <c r="R88" s="2103"/>
      <c r="S88" s="2103"/>
      <c r="T88" s="2103"/>
      <c r="U88" s="2103"/>
      <c r="V88" s="2103">
        <v>0</v>
      </c>
      <c r="W88" s="2103"/>
      <c r="X88" s="2103"/>
      <c r="Y88" s="2103"/>
      <c r="Z88" s="2103"/>
      <c r="AA88" s="2103"/>
      <c r="AB88" s="2103">
        <v>0</v>
      </c>
      <c r="AC88" s="2103"/>
      <c r="AD88" s="2103"/>
      <c r="AE88" s="2103"/>
      <c r="AF88" s="2103"/>
      <c r="AG88" s="2103"/>
      <c r="AH88" s="2104"/>
      <c r="AI88" s="1190"/>
      <c r="AJ88" s="2080"/>
      <c r="AK88" s="2081"/>
      <c r="AL88" s="2081"/>
      <c r="AM88" s="2081"/>
      <c r="AN88" s="2081"/>
      <c r="AO88" s="2081"/>
      <c r="AP88" s="2081"/>
      <c r="AQ88" s="2081"/>
      <c r="AR88" s="2081"/>
      <c r="AS88" s="2081"/>
      <c r="AT88" s="2081"/>
      <c r="AU88" s="2081"/>
      <c r="AV88" s="2081"/>
      <c r="AW88" s="2081"/>
      <c r="AX88" s="2081"/>
      <c r="AY88" s="2081"/>
      <c r="AZ88" s="2081"/>
      <c r="BA88" s="2081"/>
      <c r="BB88" s="2082"/>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059"/>
      <c r="G92" s="2060"/>
      <c r="H92" s="2060"/>
      <c r="I92" s="2060"/>
      <c r="J92" s="2060"/>
      <c r="K92" s="2060"/>
      <c r="L92" s="2060"/>
      <c r="M92" s="2060"/>
      <c r="N92" s="2060"/>
      <c r="O92" s="2060"/>
      <c r="P92" s="2060"/>
      <c r="Q92" s="2060"/>
      <c r="R92" s="2060"/>
      <c r="S92" s="2060"/>
      <c r="T92" s="2061"/>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2" t="s">
        <v>2378</v>
      </c>
      <c r="C93" s="2063"/>
      <c r="D93" s="2063"/>
      <c r="E93" s="2063"/>
      <c r="F93" s="2063"/>
      <c r="G93" s="2063"/>
      <c r="H93" s="2063"/>
      <c r="I93" s="2063"/>
      <c r="J93" s="2063"/>
      <c r="K93" s="2063"/>
      <c r="L93" s="2063"/>
      <c r="M93" s="2063"/>
      <c r="N93" s="2063"/>
      <c r="O93" s="2063"/>
      <c r="P93" s="2063"/>
      <c r="Q93" s="2101"/>
      <c r="R93" s="2064" t="str">
        <f>IFERROR(INDEX(BR96:BR98,MATCH(F92,$BQ$96:$BQ$98,0))/SUM($BR$96:$BR$98),"")</f>
        <v/>
      </c>
      <c r="S93" s="2065"/>
      <c r="T93" s="2066"/>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7" t="s">
        <v>2377</v>
      </c>
      <c r="C94" s="2068"/>
      <c r="D94" s="2068"/>
      <c r="E94" s="2068"/>
      <c r="F94" s="2068"/>
      <c r="G94" s="2068"/>
      <c r="H94" s="2068"/>
      <c r="I94" s="2068"/>
      <c r="J94" s="2068"/>
      <c r="K94" s="2068"/>
      <c r="L94" s="2068"/>
      <c r="M94" s="2068"/>
      <c r="N94" s="2068"/>
      <c r="O94" s="2068"/>
      <c r="P94" s="2068"/>
      <c r="Q94" s="2102"/>
      <c r="R94" s="2069" t="s">
        <v>2189</v>
      </c>
      <c r="S94" s="2070"/>
      <c r="T94" s="2071"/>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2" t="s">
        <v>2376</v>
      </c>
      <c r="C96" s="2073"/>
      <c r="D96" s="2073"/>
      <c r="E96" s="2073"/>
      <c r="F96" s="2073"/>
      <c r="G96" s="2073"/>
      <c r="H96" s="2073"/>
      <c r="I96" s="2073"/>
      <c r="J96" s="2073"/>
      <c r="K96" s="2073"/>
      <c r="L96" s="2073"/>
      <c r="M96" s="2073"/>
      <c r="N96" s="2073"/>
      <c r="O96" s="2073"/>
      <c r="P96" s="2073"/>
      <c r="Q96" s="2073"/>
      <c r="R96" s="2073"/>
      <c r="S96" s="2073"/>
      <c r="T96" s="2073"/>
      <c r="U96" s="2073"/>
      <c r="V96" s="2073"/>
      <c r="W96" s="2073"/>
      <c r="X96" s="2073"/>
      <c r="Y96" s="2073"/>
      <c r="Z96" s="2073"/>
      <c r="AA96" s="2073"/>
      <c r="AB96" s="2073"/>
      <c r="AC96" s="2073"/>
      <c r="AD96" s="2073"/>
      <c r="AE96" s="2073"/>
      <c r="AF96" s="2073"/>
      <c r="AG96" s="2073"/>
      <c r="AH96" s="2074"/>
      <c r="AI96" s="1190"/>
      <c r="AJ96" s="2090" t="s">
        <v>2375</v>
      </c>
      <c r="AK96" s="2091"/>
      <c r="AL96" s="2091"/>
      <c r="AM96" s="2091"/>
      <c r="AN96" s="2091"/>
      <c r="AO96" s="2091"/>
      <c r="AP96" s="2091"/>
      <c r="AQ96" s="2091"/>
      <c r="AR96" s="2091"/>
      <c r="AS96" s="2091"/>
      <c r="AT96" s="2091"/>
      <c r="AU96" s="2091"/>
      <c r="AV96" s="2091"/>
      <c r="AW96" s="2091"/>
      <c r="AX96" s="2091"/>
      <c r="AY96" s="2094" t="s">
        <v>546</v>
      </c>
      <c r="AZ96" s="2094"/>
      <c r="BA96" s="2094"/>
      <c r="BB96" s="2095"/>
      <c r="BC96" s="1190"/>
      <c r="BD96" s="1190"/>
      <c r="BE96" s="1194"/>
      <c r="BQ96" s="1256" t="str">
        <f>Application!M243&amp;IF(TRIM(Application!AA249)&lt;&gt;""," ("&amp;Application!AA249&amp;")","")</f>
        <v>Hiler I MGP LLC (Eureka Housing Development Corporation)</v>
      </c>
      <c r="BR96" s="1259">
        <f>Application!AH246</f>
        <v>0.03</v>
      </c>
      <c r="CM96" s="1188"/>
      <c r="CN96" s="1188"/>
      <c r="CO96" s="1188"/>
      <c r="CP96" s="1188"/>
    </row>
    <row r="97" spans="1:94" ht="15.75" customHeight="1">
      <c r="A97" s="1190"/>
      <c r="B97" s="2011"/>
      <c r="C97" s="2012"/>
      <c r="D97" s="2012"/>
      <c r="E97" s="2012"/>
      <c r="F97" s="2012"/>
      <c r="G97" s="2012"/>
      <c r="H97" s="2012"/>
      <c r="I97" s="2012" t="s">
        <v>2370</v>
      </c>
      <c r="J97" s="2012"/>
      <c r="K97" s="2012"/>
      <c r="L97" s="2012"/>
      <c r="M97" s="2012"/>
      <c r="N97" s="2012"/>
      <c r="O97" s="2012" t="s">
        <v>2346</v>
      </c>
      <c r="P97" s="2012"/>
      <c r="Q97" s="2012"/>
      <c r="R97" s="2012"/>
      <c r="S97" s="2012"/>
      <c r="T97" s="2012"/>
      <c r="U97" s="2012"/>
      <c r="V97" s="2098" t="s">
        <v>2345</v>
      </c>
      <c r="W97" s="2098"/>
      <c r="X97" s="2098"/>
      <c r="Y97" s="2098"/>
      <c r="Z97" s="2098"/>
      <c r="AA97" s="2098"/>
      <c r="AB97" s="2099" t="s">
        <v>2369</v>
      </c>
      <c r="AC97" s="2099"/>
      <c r="AD97" s="2099"/>
      <c r="AE97" s="2099"/>
      <c r="AF97" s="2099"/>
      <c r="AG97" s="2099"/>
      <c r="AH97" s="2100"/>
      <c r="AI97" s="1190"/>
      <c r="AJ97" s="2092"/>
      <c r="AK97" s="2093"/>
      <c r="AL97" s="2093"/>
      <c r="AM97" s="2093"/>
      <c r="AN97" s="2093"/>
      <c r="AO97" s="2093"/>
      <c r="AP97" s="2093"/>
      <c r="AQ97" s="2093"/>
      <c r="AR97" s="2093"/>
      <c r="AS97" s="2093"/>
      <c r="AT97" s="2093"/>
      <c r="AU97" s="2093"/>
      <c r="AV97" s="2093"/>
      <c r="AW97" s="2093"/>
      <c r="AX97" s="2093"/>
      <c r="AY97" s="2096"/>
      <c r="AZ97" s="2096"/>
      <c r="BA97" s="2096"/>
      <c r="BB97" s="2097"/>
      <c r="BC97" s="1190"/>
      <c r="BD97" s="1190"/>
      <c r="BE97" s="1194"/>
      <c r="BQ97" s="1256" t="str">
        <f>Application!M251&amp;IF(TRIM(Application!AA257)&lt;&gt;""," ("&amp;Application!AA257&amp;")","")</f>
        <v>Hiler I AGP LLC (Brinshore Development, L.L.C.)</v>
      </c>
      <c r="BR97" s="1259">
        <f>Application!AH254</f>
        <v>7.0000000000000007E-2</v>
      </c>
      <c r="CM97" s="1188"/>
      <c r="CN97" s="1188"/>
      <c r="CO97" s="1188"/>
      <c r="CP97" s="1188"/>
    </row>
    <row r="98" spans="1:94" ht="15.75" customHeight="1">
      <c r="A98" s="1190"/>
      <c r="B98" s="2011"/>
      <c r="C98" s="2012"/>
      <c r="D98" s="2012"/>
      <c r="E98" s="2012"/>
      <c r="F98" s="2012"/>
      <c r="G98" s="2012"/>
      <c r="H98" s="2012"/>
      <c r="I98" s="2012"/>
      <c r="J98" s="2012"/>
      <c r="K98" s="2012"/>
      <c r="L98" s="2012"/>
      <c r="M98" s="2012"/>
      <c r="N98" s="2012"/>
      <c r="O98" s="2012"/>
      <c r="P98" s="2012"/>
      <c r="Q98" s="2012"/>
      <c r="R98" s="2012"/>
      <c r="S98" s="2012"/>
      <c r="T98" s="2012"/>
      <c r="U98" s="2012"/>
      <c r="V98" s="2098"/>
      <c r="W98" s="2098"/>
      <c r="X98" s="2098"/>
      <c r="Y98" s="2098"/>
      <c r="Z98" s="2098"/>
      <c r="AA98" s="2098"/>
      <c r="AB98" s="2099"/>
      <c r="AC98" s="2099"/>
      <c r="AD98" s="2099"/>
      <c r="AE98" s="2099"/>
      <c r="AF98" s="2099"/>
      <c r="AG98" s="2099"/>
      <c r="AH98" s="2100"/>
      <c r="AI98" s="1190"/>
      <c r="AJ98" s="2092"/>
      <c r="AK98" s="2093"/>
      <c r="AL98" s="2093"/>
      <c r="AM98" s="2093"/>
      <c r="AN98" s="2093"/>
      <c r="AO98" s="2093"/>
      <c r="AP98" s="2093"/>
      <c r="AQ98" s="2093"/>
      <c r="AR98" s="2093"/>
      <c r="AS98" s="2093"/>
      <c r="AT98" s="2093"/>
      <c r="AU98" s="2093"/>
      <c r="AV98" s="2093"/>
      <c r="AW98" s="2093"/>
      <c r="AX98" s="2093"/>
      <c r="AY98" s="2096"/>
      <c r="AZ98" s="2096"/>
      <c r="BA98" s="2096"/>
      <c r="BB98" s="2097"/>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1" t="s">
        <v>2368</v>
      </c>
      <c r="C99" s="2012"/>
      <c r="D99" s="2012"/>
      <c r="E99" s="2012"/>
      <c r="F99" s="2012"/>
      <c r="G99" s="2012"/>
      <c r="H99" s="2012"/>
      <c r="I99" s="2088">
        <v>0</v>
      </c>
      <c r="J99" s="2088"/>
      <c r="K99" s="2088"/>
      <c r="L99" s="2088"/>
      <c r="M99" s="2088"/>
      <c r="N99" s="2088"/>
      <c r="O99" s="2088">
        <v>0</v>
      </c>
      <c r="P99" s="2088"/>
      <c r="Q99" s="2088"/>
      <c r="R99" s="2088"/>
      <c r="S99" s="2088"/>
      <c r="T99" s="2088"/>
      <c r="U99" s="2088"/>
      <c r="V99" s="2088">
        <v>0</v>
      </c>
      <c r="W99" s="2088"/>
      <c r="X99" s="2088"/>
      <c r="Y99" s="2088"/>
      <c r="Z99" s="2088"/>
      <c r="AA99" s="2088"/>
      <c r="AB99" s="2088">
        <v>0</v>
      </c>
      <c r="AC99" s="2088"/>
      <c r="AD99" s="2088"/>
      <c r="AE99" s="2088"/>
      <c r="AF99" s="2088"/>
      <c r="AG99" s="2088"/>
      <c r="AH99" s="2089"/>
      <c r="AI99" s="1190"/>
      <c r="AJ99" s="2092"/>
      <c r="AK99" s="2093"/>
      <c r="AL99" s="2093"/>
      <c r="AM99" s="2093"/>
      <c r="AN99" s="2093"/>
      <c r="AO99" s="2093"/>
      <c r="AP99" s="2093"/>
      <c r="AQ99" s="2093"/>
      <c r="AR99" s="2093"/>
      <c r="AS99" s="2093"/>
      <c r="AT99" s="2093"/>
      <c r="AU99" s="2093"/>
      <c r="AV99" s="2093"/>
      <c r="AW99" s="2093"/>
      <c r="AX99" s="2093"/>
      <c r="AY99" s="2096"/>
      <c r="AZ99" s="2096"/>
      <c r="BA99" s="2096"/>
      <c r="BB99" s="2097"/>
      <c r="BC99" s="1190"/>
      <c r="BD99" s="1190"/>
      <c r="BE99" s="1194"/>
      <c r="CM99" s="1188"/>
      <c r="CN99" s="1188"/>
      <c r="CO99" s="1188"/>
      <c r="CP99" s="1188"/>
    </row>
    <row r="100" spans="1:94" ht="15.75" customHeight="1">
      <c r="A100" s="1190"/>
      <c r="B100" s="2011" t="s">
        <v>2367</v>
      </c>
      <c r="C100" s="2012"/>
      <c r="D100" s="2012"/>
      <c r="E100" s="2012"/>
      <c r="F100" s="2012"/>
      <c r="G100" s="2012"/>
      <c r="H100" s="2012"/>
      <c r="I100" s="2088">
        <v>0</v>
      </c>
      <c r="J100" s="2088"/>
      <c r="K100" s="2088"/>
      <c r="L100" s="2088"/>
      <c r="M100" s="2088"/>
      <c r="N100" s="2088"/>
      <c r="O100" s="2088">
        <v>0</v>
      </c>
      <c r="P100" s="2088"/>
      <c r="Q100" s="2088"/>
      <c r="R100" s="2088"/>
      <c r="S100" s="2088"/>
      <c r="T100" s="2088"/>
      <c r="U100" s="2088"/>
      <c r="V100" s="2088">
        <v>0</v>
      </c>
      <c r="W100" s="2088"/>
      <c r="X100" s="2088"/>
      <c r="Y100" s="2088"/>
      <c r="Z100" s="2088"/>
      <c r="AA100" s="2088"/>
      <c r="AB100" s="2088">
        <v>0</v>
      </c>
      <c r="AC100" s="2088"/>
      <c r="AD100" s="2088"/>
      <c r="AE100" s="2088"/>
      <c r="AF100" s="2088"/>
      <c r="AG100" s="2088"/>
      <c r="AH100" s="2089"/>
      <c r="AI100" s="1190"/>
      <c r="AJ100" s="2077" t="s">
        <v>2374</v>
      </c>
      <c r="AK100" s="2078"/>
      <c r="AL100" s="2078"/>
      <c r="AM100" s="2078"/>
      <c r="AN100" s="2078"/>
      <c r="AO100" s="2078"/>
      <c r="AP100" s="2078"/>
      <c r="AQ100" s="2078"/>
      <c r="AR100" s="2078"/>
      <c r="AS100" s="2078"/>
      <c r="AT100" s="2078"/>
      <c r="AU100" s="2078"/>
      <c r="AV100" s="2078"/>
      <c r="AW100" s="2078"/>
      <c r="AX100" s="2078"/>
      <c r="AY100" s="2078"/>
      <c r="AZ100" s="2078"/>
      <c r="BA100" s="2078"/>
      <c r="BB100" s="2079"/>
      <c r="BC100" s="1190"/>
      <c r="BD100" s="1190"/>
      <c r="BE100" s="1194"/>
      <c r="CM100" s="1188"/>
      <c r="CN100" s="1188"/>
      <c r="CO100" s="1188"/>
      <c r="CP100" s="1188"/>
    </row>
    <row r="101" spans="1:94" ht="15.75" customHeight="1" thickBot="1">
      <c r="A101" s="1190"/>
      <c r="B101" s="2029" t="s">
        <v>2366</v>
      </c>
      <c r="C101" s="2030"/>
      <c r="D101" s="2030"/>
      <c r="E101" s="2030"/>
      <c r="F101" s="2030"/>
      <c r="G101" s="2030"/>
      <c r="H101" s="2030"/>
      <c r="I101" s="2103">
        <v>0</v>
      </c>
      <c r="J101" s="2103"/>
      <c r="K101" s="2103"/>
      <c r="L101" s="2103"/>
      <c r="M101" s="2103"/>
      <c r="N101" s="2103"/>
      <c r="O101" s="2103">
        <v>0</v>
      </c>
      <c r="P101" s="2103"/>
      <c r="Q101" s="2103"/>
      <c r="R101" s="2103"/>
      <c r="S101" s="2103"/>
      <c r="T101" s="2103"/>
      <c r="U101" s="2103"/>
      <c r="V101" s="2103">
        <v>0</v>
      </c>
      <c r="W101" s="2103"/>
      <c r="X101" s="2103"/>
      <c r="Y101" s="2103"/>
      <c r="Z101" s="2103"/>
      <c r="AA101" s="2103"/>
      <c r="AB101" s="2103">
        <v>0</v>
      </c>
      <c r="AC101" s="2103"/>
      <c r="AD101" s="2103"/>
      <c r="AE101" s="2103"/>
      <c r="AF101" s="2103"/>
      <c r="AG101" s="2103"/>
      <c r="AH101" s="2104"/>
      <c r="AI101" s="1190"/>
      <c r="AJ101" s="2080"/>
      <c r="AK101" s="2081"/>
      <c r="AL101" s="2081"/>
      <c r="AM101" s="2081"/>
      <c r="AN101" s="2081"/>
      <c r="AO101" s="2081"/>
      <c r="AP101" s="2081"/>
      <c r="AQ101" s="2081"/>
      <c r="AR101" s="2081"/>
      <c r="AS101" s="2081"/>
      <c r="AT101" s="2081"/>
      <c r="AU101" s="2081"/>
      <c r="AV101" s="2081"/>
      <c r="AW101" s="2081"/>
      <c r="AX101" s="2081"/>
      <c r="AY101" s="2081"/>
      <c r="AZ101" s="2081"/>
      <c r="BA101" s="2081"/>
      <c r="BB101" s="2082"/>
      <c r="BC101" s="1190"/>
      <c r="BD101" s="1190"/>
      <c r="BE101" s="1194"/>
      <c r="BQ101" s="1256" t="str">
        <f>Application!AA335</f>
        <v>Housing Authority of the City of Eureka</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105"/>
      <c r="G104" s="2106"/>
      <c r="H104" s="2106"/>
      <c r="I104" s="2106"/>
      <c r="J104" s="2106"/>
      <c r="K104" s="2106"/>
      <c r="L104" s="2106"/>
      <c r="M104" s="2106"/>
      <c r="N104" s="2106"/>
      <c r="O104" s="2106"/>
      <c r="P104" s="2106"/>
      <c r="Q104" s="2106"/>
      <c r="R104" s="2107"/>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069" t="str">
        <f>IFERROR(INDEX(BR96:BR98,MATCH(F104,$BQ$96:$BQ$98,0))/SUM($BR$96:$BR$98),"")</f>
        <v/>
      </c>
      <c r="P105" s="2070"/>
      <c r="Q105" s="2070"/>
      <c r="R105" s="2071"/>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7" t="s">
        <v>2371</v>
      </c>
      <c r="C107" s="2058"/>
      <c r="D107" s="2058"/>
      <c r="E107" s="2058"/>
      <c r="F107" s="2058"/>
      <c r="G107" s="2058"/>
      <c r="H107" s="2058"/>
      <c r="I107" s="2058"/>
      <c r="J107" s="2058"/>
      <c r="K107" s="2058"/>
      <c r="L107" s="2058"/>
      <c r="M107" s="2058"/>
      <c r="N107" s="2058"/>
      <c r="O107" s="2058"/>
      <c r="P107" s="2058"/>
      <c r="Q107" s="2058"/>
      <c r="R107" s="2058"/>
      <c r="S107" s="2058"/>
      <c r="T107" s="2058"/>
      <c r="U107" s="2058"/>
      <c r="V107" s="2058"/>
      <c r="W107" s="2058"/>
      <c r="X107" s="2058"/>
      <c r="Y107" s="2058"/>
      <c r="Z107" s="2058"/>
      <c r="AA107" s="2058"/>
      <c r="AB107" s="2058"/>
      <c r="AC107" s="2058"/>
      <c r="AD107" s="2058"/>
      <c r="AE107" s="2058"/>
      <c r="AF107" s="2058"/>
      <c r="AG107" s="2058"/>
      <c r="AH107" s="2108"/>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1"/>
      <c r="C108" s="2012"/>
      <c r="D108" s="2012"/>
      <c r="E108" s="2012"/>
      <c r="F108" s="2012"/>
      <c r="G108" s="2012"/>
      <c r="H108" s="2012"/>
      <c r="I108" s="2012" t="s">
        <v>2370</v>
      </c>
      <c r="J108" s="2012"/>
      <c r="K108" s="2012"/>
      <c r="L108" s="2012"/>
      <c r="M108" s="2012"/>
      <c r="N108" s="2012"/>
      <c r="O108" s="2012" t="s">
        <v>2346</v>
      </c>
      <c r="P108" s="2012"/>
      <c r="Q108" s="2012"/>
      <c r="R108" s="2012"/>
      <c r="S108" s="2012"/>
      <c r="T108" s="2012"/>
      <c r="U108" s="2012"/>
      <c r="V108" s="2098" t="s">
        <v>2345</v>
      </c>
      <c r="W108" s="2098"/>
      <c r="X108" s="2098"/>
      <c r="Y108" s="2098"/>
      <c r="Z108" s="2098"/>
      <c r="AA108" s="2098"/>
      <c r="AB108" s="2099" t="s">
        <v>2369</v>
      </c>
      <c r="AC108" s="2099"/>
      <c r="AD108" s="2099"/>
      <c r="AE108" s="2099"/>
      <c r="AF108" s="2099"/>
      <c r="AG108" s="2099"/>
      <c r="AH108" s="2100"/>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1"/>
      <c r="C109" s="2012"/>
      <c r="D109" s="2012"/>
      <c r="E109" s="2012"/>
      <c r="F109" s="2012"/>
      <c r="G109" s="2012"/>
      <c r="H109" s="2012"/>
      <c r="I109" s="2012"/>
      <c r="J109" s="2012"/>
      <c r="K109" s="2012"/>
      <c r="L109" s="2012"/>
      <c r="M109" s="2012"/>
      <c r="N109" s="2012"/>
      <c r="O109" s="2012"/>
      <c r="P109" s="2012"/>
      <c r="Q109" s="2012"/>
      <c r="R109" s="2012"/>
      <c r="S109" s="2012"/>
      <c r="T109" s="2012"/>
      <c r="U109" s="2012"/>
      <c r="V109" s="2098"/>
      <c r="W109" s="2098"/>
      <c r="X109" s="2098"/>
      <c r="Y109" s="2098"/>
      <c r="Z109" s="2098"/>
      <c r="AA109" s="2098"/>
      <c r="AB109" s="2099"/>
      <c r="AC109" s="2099"/>
      <c r="AD109" s="2099"/>
      <c r="AE109" s="2099"/>
      <c r="AF109" s="2099"/>
      <c r="AG109" s="2099"/>
      <c r="AH109" s="2100"/>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1" t="s">
        <v>2368</v>
      </c>
      <c r="C110" s="2012"/>
      <c r="D110" s="2012"/>
      <c r="E110" s="2012"/>
      <c r="F110" s="2012"/>
      <c r="G110" s="2012"/>
      <c r="H110" s="2012"/>
      <c r="I110" s="2088">
        <v>0</v>
      </c>
      <c r="J110" s="2088"/>
      <c r="K110" s="2088"/>
      <c r="L110" s="2088"/>
      <c r="M110" s="2088"/>
      <c r="N110" s="2088"/>
      <c r="O110" s="2088">
        <v>0</v>
      </c>
      <c r="P110" s="2088"/>
      <c r="Q110" s="2088"/>
      <c r="R110" s="2088"/>
      <c r="S110" s="2088"/>
      <c r="T110" s="2088"/>
      <c r="U110" s="2088"/>
      <c r="V110" s="2088">
        <v>0</v>
      </c>
      <c r="W110" s="2088"/>
      <c r="X110" s="2088"/>
      <c r="Y110" s="2088"/>
      <c r="Z110" s="2088"/>
      <c r="AA110" s="2088"/>
      <c r="AB110" s="2088">
        <v>0</v>
      </c>
      <c r="AC110" s="2088"/>
      <c r="AD110" s="2088"/>
      <c r="AE110" s="2088"/>
      <c r="AF110" s="2088"/>
      <c r="AG110" s="2088"/>
      <c r="AH110" s="2089"/>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1" t="s">
        <v>2367</v>
      </c>
      <c r="C111" s="2012"/>
      <c r="D111" s="2012"/>
      <c r="E111" s="2012"/>
      <c r="F111" s="2012"/>
      <c r="G111" s="2012"/>
      <c r="H111" s="2012"/>
      <c r="I111" s="2088">
        <v>0</v>
      </c>
      <c r="J111" s="2088"/>
      <c r="K111" s="2088"/>
      <c r="L111" s="2088"/>
      <c r="M111" s="2088"/>
      <c r="N111" s="2088"/>
      <c r="O111" s="2088">
        <v>0</v>
      </c>
      <c r="P111" s="2088"/>
      <c r="Q111" s="2088"/>
      <c r="R111" s="2088"/>
      <c r="S111" s="2088"/>
      <c r="T111" s="2088"/>
      <c r="U111" s="2088"/>
      <c r="V111" s="2088">
        <v>0</v>
      </c>
      <c r="W111" s="2088"/>
      <c r="X111" s="2088"/>
      <c r="Y111" s="2088"/>
      <c r="Z111" s="2088"/>
      <c r="AA111" s="2088"/>
      <c r="AB111" s="2088">
        <v>0</v>
      </c>
      <c r="AC111" s="2088"/>
      <c r="AD111" s="2088"/>
      <c r="AE111" s="2088"/>
      <c r="AF111" s="2088"/>
      <c r="AG111" s="2088"/>
      <c r="AH111" s="2089"/>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9" t="s">
        <v>2366</v>
      </c>
      <c r="C112" s="2030"/>
      <c r="D112" s="2030"/>
      <c r="E112" s="2030"/>
      <c r="F112" s="2030"/>
      <c r="G112" s="2030"/>
      <c r="H112" s="2030"/>
      <c r="I112" s="2103">
        <v>0</v>
      </c>
      <c r="J112" s="2103"/>
      <c r="K112" s="2103"/>
      <c r="L112" s="2103"/>
      <c r="M112" s="2103"/>
      <c r="N112" s="2103"/>
      <c r="O112" s="2103">
        <v>0</v>
      </c>
      <c r="P112" s="2103"/>
      <c r="Q112" s="2103"/>
      <c r="R112" s="2103"/>
      <c r="S112" s="2103"/>
      <c r="T112" s="2103"/>
      <c r="U112" s="2103"/>
      <c r="V112" s="2103">
        <v>0</v>
      </c>
      <c r="W112" s="2103"/>
      <c r="X112" s="2103"/>
      <c r="Y112" s="2103"/>
      <c r="Z112" s="2103"/>
      <c r="AA112" s="2103"/>
      <c r="AB112" s="2103">
        <v>0</v>
      </c>
      <c r="AC112" s="2103"/>
      <c r="AD112" s="2103"/>
      <c r="AE112" s="2103"/>
      <c r="AF112" s="2103"/>
      <c r="AG112" s="2103"/>
      <c r="AH112" s="2104"/>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105"/>
      <c r="G115" s="2106"/>
      <c r="H115" s="2106"/>
      <c r="I115" s="2106"/>
      <c r="J115" s="2106"/>
      <c r="K115" s="2106"/>
      <c r="L115" s="2106"/>
      <c r="M115" s="2106"/>
      <c r="N115" s="2106"/>
      <c r="O115" s="2106"/>
      <c r="P115" s="2106"/>
      <c r="Q115" s="2106"/>
      <c r="R115" s="2107"/>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7" t="s">
        <v>2364</v>
      </c>
      <c r="C117" s="2118"/>
      <c r="D117" s="2118"/>
      <c r="E117" s="2118"/>
      <c r="F117" s="2118"/>
      <c r="G117" s="2118"/>
      <c r="H117" s="2118"/>
      <c r="I117" s="2118"/>
      <c r="J117" s="2118"/>
      <c r="K117" s="2118"/>
      <c r="L117" s="2118"/>
      <c r="M117" s="2118"/>
      <c r="N117" s="2118"/>
      <c r="O117" s="2118"/>
      <c r="P117" s="2118"/>
      <c r="Q117" s="2118"/>
      <c r="R117" s="2118"/>
      <c r="S117" s="2118"/>
      <c r="T117" s="2118"/>
      <c r="U117" s="2121" t="s">
        <v>546</v>
      </c>
      <c r="V117" s="2121"/>
      <c r="W117" s="2121"/>
      <c r="X117" s="2122"/>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9"/>
      <c r="C118" s="2120"/>
      <c r="D118" s="2120"/>
      <c r="E118" s="2120"/>
      <c r="F118" s="2120"/>
      <c r="G118" s="2120"/>
      <c r="H118" s="2120"/>
      <c r="I118" s="2120"/>
      <c r="J118" s="2120"/>
      <c r="K118" s="2120"/>
      <c r="L118" s="2120"/>
      <c r="M118" s="2120"/>
      <c r="N118" s="2120"/>
      <c r="O118" s="2120"/>
      <c r="P118" s="2120"/>
      <c r="Q118" s="2120"/>
      <c r="R118" s="2120"/>
      <c r="S118" s="2120"/>
      <c r="T118" s="2120"/>
      <c r="U118" s="2123"/>
      <c r="V118" s="2123"/>
      <c r="W118" s="2123"/>
      <c r="X118" s="2124"/>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9"/>
      <c r="C119" s="2120"/>
      <c r="D119" s="2120"/>
      <c r="E119" s="2120"/>
      <c r="F119" s="2120"/>
      <c r="G119" s="2120"/>
      <c r="H119" s="2120"/>
      <c r="I119" s="2120"/>
      <c r="J119" s="2120"/>
      <c r="K119" s="2120"/>
      <c r="L119" s="2120"/>
      <c r="M119" s="2120"/>
      <c r="N119" s="2120"/>
      <c r="O119" s="2120"/>
      <c r="P119" s="2120"/>
      <c r="Q119" s="2120"/>
      <c r="R119" s="2120"/>
      <c r="S119" s="2120"/>
      <c r="T119" s="2120"/>
      <c r="U119" s="2123"/>
      <c r="V119" s="2123"/>
      <c r="W119" s="2123"/>
      <c r="X119" s="2124"/>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9"/>
      <c r="C120" s="2120"/>
      <c r="D120" s="2120"/>
      <c r="E120" s="2120"/>
      <c r="F120" s="2120"/>
      <c r="G120" s="2120"/>
      <c r="H120" s="2120"/>
      <c r="I120" s="2120"/>
      <c r="J120" s="2120"/>
      <c r="K120" s="2120"/>
      <c r="L120" s="2120"/>
      <c r="M120" s="2120"/>
      <c r="N120" s="2120"/>
      <c r="O120" s="2120"/>
      <c r="P120" s="2120"/>
      <c r="Q120" s="2120"/>
      <c r="R120" s="2120"/>
      <c r="S120" s="2120"/>
      <c r="T120" s="2120"/>
      <c r="U120" s="2123"/>
      <c r="V120" s="2123"/>
      <c r="W120" s="2123"/>
      <c r="X120" s="2124"/>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5" t="s">
        <v>2364</v>
      </c>
      <c r="C121" s="2126"/>
      <c r="D121" s="2126"/>
      <c r="E121" s="2126"/>
      <c r="F121" s="2126"/>
      <c r="G121" s="2126"/>
      <c r="H121" s="2126"/>
      <c r="I121" s="2126"/>
      <c r="J121" s="2126"/>
      <c r="K121" s="2126"/>
      <c r="L121" s="2126"/>
      <c r="M121" s="2126"/>
      <c r="N121" s="2126"/>
      <c r="O121" s="2126"/>
      <c r="P121" s="2126"/>
      <c r="Q121" s="2126"/>
      <c r="R121" s="2126"/>
      <c r="S121" s="2126"/>
      <c r="T121" s="2126"/>
      <c r="U121" s="2129" t="s">
        <v>546</v>
      </c>
      <c r="V121" s="2129"/>
      <c r="W121" s="2129"/>
      <c r="X121" s="2130"/>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7"/>
      <c r="C122" s="2128"/>
      <c r="D122" s="2128"/>
      <c r="E122" s="2128"/>
      <c r="F122" s="2128"/>
      <c r="G122" s="2128"/>
      <c r="H122" s="2128"/>
      <c r="I122" s="2128"/>
      <c r="J122" s="2128"/>
      <c r="K122" s="2128"/>
      <c r="L122" s="2128"/>
      <c r="M122" s="2128"/>
      <c r="N122" s="2128"/>
      <c r="O122" s="2128"/>
      <c r="P122" s="2128"/>
      <c r="Q122" s="2128"/>
      <c r="R122" s="2128"/>
      <c r="S122" s="2128"/>
      <c r="T122" s="2128"/>
      <c r="U122" s="2131"/>
      <c r="V122" s="2131"/>
      <c r="W122" s="2131"/>
      <c r="X122" s="2132"/>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0" t="s">
        <v>2362</v>
      </c>
      <c r="Y125" s="2091"/>
      <c r="Z125" s="2091"/>
      <c r="AA125" s="2091"/>
      <c r="AB125" s="2091"/>
      <c r="AC125" s="2091"/>
      <c r="AD125" s="2091"/>
      <c r="AE125" s="2091"/>
      <c r="AF125" s="2091"/>
      <c r="AG125" s="2091"/>
      <c r="AH125" s="2091"/>
      <c r="AI125" s="2091"/>
      <c r="AJ125" s="2091"/>
      <c r="AK125" s="2091"/>
      <c r="AL125" s="2091"/>
      <c r="AM125" s="2091"/>
      <c r="AN125" s="2091"/>
      <c r="AO125" s="2091"/>
      <c r="AP125" s="2091"/>
      <c r="AQ125" s="2091"/>
      <c r="AR125" s="2091"/>
      <c r="AS125" s="2091"/>
      <c r="AT125" s="2091"/>
      <c r="AU125" s="2091"/>
      <c r="AV125" s="2091"/>
      <c r="AW125" s="2091"/>
      <c r="AX125" s="2091"/>
      <c r="AY125" s="2091"/>
      <c r="AZ125" s="2091"/>
      <c r="BA125" s="2091"/>
      <c r="BB125" s="2091"/>
      <c r="BC125" s="2091"/>
      <c r="BD125" s="2133"/>
      <c r="BE125" s="1194"/>
    </row>
    <row r="126" spans="1:57" ht="15.75" customHeight="1">
      <c r="A126" s="1190"/>
      <c r="B126" s="2135" t="s">
        <v>1577</v>
      </c>
      <c r="C126" s="2136"/>
      <c r="D126" s="2136"/>
      <c r="E126" s="2136"/>
      <c r="F126" s="2136"/>
      <c r="G126" s="2136"/>
      <c r="H126" s="2136"/>
      <c r="I126" s="2136"/>
      <c r="J126" s="2136"/>
      <c r="K126" s="2136"/>
      <c r="L126" s="2136"/>
      <c r="M126" s="2136"/>
      <c r="N126" s="2136"/>
      <c r="O126" s="2136"/>
      <c r="P126" s="2136"/>
      <c r="Q126" s="2136"/>
      <c r="R126" s="2136"/>
      <c r="S126" s="2136"/>
      <c r="T126" s="2136"/>
      <c r="U126" s="2137"/>
      <c r="V126" s="1190"/>
      <c r="W126" s="1190"/>
      <c r="X126" s="2092"/>
      <c r="Y126" s="2093"/>
      <c r="Z126" s="2093"/>
      <c r="AA126" s="2093"/>
      <c r="AB126" s="2093"/>
      <c r="AC126" s="2093"/>
      <c r="AD126" s="2093"/>
      <c r="AE126" s="2093"/>
      <c r="AF126" s="2093"/>
      <c r="AG126" s="2093"/>
      <c r="AH126" s="2093"/>
      <c r="AI126" s="2093"/>
      <c r="AJ126" s="2093"/>
      <c r="AK126" s="2093"/>
      <c r="AL126" s="2093"/>
      <c r="AM126" s="2093"/>
      <c r="AN126" s="2093"/>
      <c r="AO126" s="2093"/>
      <c r="AP126" s="2093"/>
      <c r="AQ126" s="2093"/>
      <c r="AR126" s="2093"/>
      <c r="AS126" s="2093"/>
      <c r="AT126" s="2093"/>
      <c r="AU126" s="2093"/>
      <c r="AV126" s="2093"/>
      <c r="AW126" s="2093"/>
      <c r="AX126" s="2093"/>
      <c r="AY126" s="2093"/>
      <c r="AZ126" s="2093"/>
      <c r="BA126" s="2093"/>
      <c r="BB126" s="2093"/>
      <c r="BC126" s="2093"/>
      <c r="BD126" s="2134"/>
      <c r="BE126" s="1194"/>
    </row>
    <row r="127" spans="1:57" ht="15.75" customHeight="1">
      <c r="A127" s="1190"/>
      <c r="B127" s="2153"/>
      <c r="C127" s="2154"/>
      <c r="D127" s="2154"/>
      <c r="E127" s="2154"/>
      <c r="F127" s="2154"/>
      <c r="G127" s="2154"/>
      <c r="H127" s="2154"/>
      <c r="I127" s="2012" t="s">
        <v>2361</v>
      </c>
      <c r="J127" s="2012"/>
      <c r="K127" s="2012"/>
      <c r="L127" s="2012"/>
      <c r="M127" s="2012"/>
      <c r="N127" s="2012"/>
      <c r="O127" s="2109" t="s">
        <v>2360</v>
      </c>
      <c r="P127" s="2109"/>
      <c r="Q127" s="2109"/>
      <c r="R127" s="2109"/>
      <c r="S127" s="2109"/>
      <c r="T127" s="2109"/>
      <c r="U127" s="2110"/>
      <c r="V127" s="1190"/>
      <c r="W127" s="1190"/>
      <c r="X127" s="2077" t="s">
        <v>2330</v>
      </c>
      <c r="Y127" s="2078"/>
      <c r="Z127" s="2078"/>
      <c r="AA127" s="2078"/>
      <c r="AB127" s="2078"/>
      <c r="AC127" s="2078"/>
      <c r="AD127" s="2078"/>
      <c r="AE127" s="2078"/>
      <c r="AF127" s="2078"/>
      <c r="AG127" s="2078"/>
      <c r="AH127" s="2078"/>
      <c r="AI127" s="2078"/>
      <c r="AJ127" s="2078"/>
      <c r="AK127" s="2078"/>
      <c r="AL127" s="2078"/>
      <c r="AM127" s="2078"/>
      <c r="AN127" s="2078"/>
      <c r="AO127" s="2078"/>
      <c r="AP127" s="2078"/>
      <c r="AQ127" s="2078"/>
      <c r="AR127" s="2078"/>
      <c r="AS127" s="2078"/>
      <c r="AT127" s="2078"/>
      <c r="AU127" s="2078"/>
      <c r="AV127" s="2078"/>
      <c r="AW127" s="2078"/>
      <c r="AX127" s="2078"/>
      <c r="AY127" s="2078"/>
      <c r="AZ127" s="2078"/>
      <c r="BA127" s="2078"/>
      <c r="BB127" s="2078"/>
      <c r="BC127" s="2078"/>
      <c r="BD127" s="2079"/>
      <c r="BE127" s="1194"/>
    </row>
    <row r="128" spans="1:57" ht="15.75" customHeight="1">
      <c r="A128" s="1190"/>
      <c r="B128" s="2111" t="s">
        <v>2344</v>
      </c>
      <c r="C128" s="2112"/>
      <c r="D128" s="2112"/>
      <c r="E128" s="2112"/>
      <c r="F128" s="2112"/>
      <c r="G128" s="2112"/>
      <c r="H128" s="2112"/>
      <c r="I128" s="2088">
        <v>0</v>
      </c>
      <c r="J128" s="2088"/>
      <c r="K128" s="2088"/>
      <c r="L128" s="2088"/>
      <c r="M128" s="2088"/>
      <c r="N128" s="2088"/>
      <c r="O128" s="2088">
        <v>0</v>
      </c>
      <c r="P128" s="2088"/>
      <c r="Q128" s="2088"/>
      <c r="R128" s="2088"/>
      <c r="S128" s="2088"/>
      <c r="T128" s="2088"/>
      <c r="U128" s="2089"/>
      <c r="V128" s="1190"/>
      <c r="W128" s="1190"/>
      <c r="X128" s="2077"/>
      <c r="Y128" s="2078"/>
      <c r="Z128" s="2078"/>
      <c r="AA128" s="2078"/>
      <c r="AB128" s="2078"/>
      <c r="AC128" s="2078"/>
      <c r="AD128" s="2078"/>
      <c r="AE128" s="2078"/>
      <c r="AF128" s="2078"/>
      <c r="AG128" s="2078"/>
      <c r="AH128" s="2078"/>
      <c r="AI128" s="2078"/>
      <c r="AJ128" s="2078"/>
      <c r="AK128" s="2078"/>
      <c r="AL128" s="2078"/>
      <c r="AM128" s="2078"/>
      <c r="AN128" s="2078"/>
      <c r="AO128" s="2078"/>
      <c r="AP128" s="2078"/>
      <c r="AQ128" s="2078"/>
      <c r="AR128" s="2078"/>
      <c r="AS128" s="2078"/>
      <c r="AT128" s="2078"/>
      <c r="AU128" s="2078"/>
      <c r="AV128" s="2078"/>
      <c r="AW128" s="2078"/>
      <c r="AX128" s="2078"/>
      <c r="AY128" s="2078"/>
      <c r="AZ128" s="2078"/>
      <c r="BA128" s="2078"/>
      <c r="BB128" s="2078"/>
      <c r="BC128" s="2078"/>
      <c r="BD128" s="2079"/>
      <c r="BE128" s="1194"/>
    </row>
    <row r="129" spans="1:57" ht="15.75" customHeight="1" thickBot="1">
      <c r="A129" s="1190"/>
      <c r="B129" s="2113" t="s">
        <v>2343</v>
      </c>
      <c r="C129" s="2114"/>
      <c r="D129" s="2114"/>
      <c r="E129" s="2114"/>
      <c r="F129" s="2114"/>
      <c r="G129" s="2114"/>
      <c r="H129" s="2114"/>
      <c r="I129" s="2103">
        <v>0</v>
      </c>
      <c r="J129" s="2103"/>
      <c r="K129" s="2103"/>
      <c r="L129" s="2103"/>
      <c r="M129" s="2103"/>
      <c r="N129" s="2103"/>
      <c r="O129" s="2115"/>
      <c r="P129" s="2115"/>
      <c r="Q129" s="2115"/>
      <c r="R129" s="2115"/>
      <c r="S129" s="2115"/>
      <c r="T129" s="2115"/>
      <c r="U129" s="2116"/>
      <c r="V129" s="1190"/>
      <c r="W129" s="1190"/>
      <c r="X129" s="2077"/>
      <c r="Y129" s="2078"/>
      <c r="Z129" s="2078"/>
      <c r="AA129" s="2078"/>
      <c r="AB129" s="2078"/>
      <c r="AC129" s="2078"/>
      <c r="AD129" s="2078"/>
      <c r="AE129" s="2078"/>
      <c r="AF129" s="2078"/>
      <c r="AG129" s="2078"/>
      <c r="AH129" s="2078"/>
      <c r="AI129" s="2078"/>
      <c r="AJ129" s="2078"/>
      <c r="AK129" s="2078"/>
      <c r="AL129" s="2078"/>
      <c r="AM129" s="2078"/>
      <c r="AN129" s="2078"/>
      <c r="AO129" s="2078"/>
      <c r="AP129" s="2078"/>
      <c r="AQ129" s="2078"/>
      <c r="AR129" s="2078"/>
      <c r="AS129" s="2078"/>
      <c r="AT129" s="2078"/>
      <c r="AU129" s="2078"/>
      <c r="AV129" s="2078"/>
      <c r="AW129" s="2078"/>
      <c r="AX129" s="2078"/>
      <c r="AY129" s="2078"/>
      <c r="AZ129" s="2078"/>
      <c r="BA129" s="2078"/>
      <c r="BB129" s="2078"/>
      <c r="BC129" s="2078"/>
      <c r="BD129" s="2079"/>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7"/>
      <c r="Y130" s="2078"/>
      <c r="Z130" s="2078"/>
      <c r="AA130" s="2078"/>
      <c r="AB130" s="2078"/>
      <c r="AC130" s="2078"/>
      <c r="AD130" s="2078"/>
      <c r="AE130" s="2078"/>
      <c r="AF130" s="2078"/>
      <c r="AG130" s="2078"/>
      <c r="AH130" s="2078"/>
      <c r="AI130" s="2078"/>
      <c r="AJ130" s="2078"/>
      <c r="AK130" s="2078"/>
      <c r="AL130" s="2078"/>
      <c r="AM130" s="2078"/>
      <c r="AN130" s="2078"/>
      <c r="AO130" s="2078"/>
      <c r="AP130" s="2078"/>
      <c r="AQ130" s="2078"/>
      <c r="AR130" s="2078"/>
      <c r="AS130" s="2078"/>
      <c r="AT130" s="2078"/>
      <c r="AU130" s="2078"/>
      <c r="AV130" s="2078"/>
      <c r="AW130" s="2078"/>
      <c r="AX130" s="2078"/>
      <c r="AY130" s="2078"/>
      <c r="AZ130" s="2078"/>
      <c r="BA130" s="2078"/>
      <c r="BB130" s="2078"/>
      <c r="BC130" s="2078"/>
      <c r="BD130" s="2079"/>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7"/>
      <c r="Y131" s="2078"/>
      <c r="Z131" s="2078"/>
      <c r="AA131" s="2078"/>
      <c r="AB131" s="2078"/>
      <c r="AC131" s="2078"/>
      <c r="AD131" s="2078"/>
      <c r="AE131" s="2078"/>
      <c r="AF131" s="2078"/>
      <c r="AG131" s="2078"/>
      <c r="AH131" s="2078"/>
      <c r="AI131" s="2078"/>
      <c r="AJ131" s="2078"/>
      <c r="AK131" s="2078"/>
      <c r="AL131" s="2078"/>
      <c r="AM131" s="2078"/>
      <c r="AN131" s="2078"/>
      <c r="AO131" s="2078"/>
      <c r="AP131" s="2078"/>
      <c r="AQ131" s="2078"/>
      <c r="AR131" s="2078"/>
      <c r="AS131" s="2078"/>
      <c r="AT131" s="2078"/>
      <c r="AU131" s="2078"/>
      <c r="AV131" s="2078"/>
      <c r="AW131" s="2078"/>
      <c r="AX131" s="2078"/>
      <c r="AY131" s="2078"/>
      <c r="AZ131" s="2078"/>
      <c r="BA131" s="2078"/>
      <c r="BB131" s="2078"/>
      <c r="BC131" s="2078"/>
      <c r="BD131" s="2079"/>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7"/>
      <c r="Y132" s="2078"/>
      <c r="Z132" s="2078"/>
      <c r="AA132" s="2078"/>
      <c r="AB132" s="2078"/>
      <c r="AC132" s="2078"/>
      <c r="AD132" s="2078"/>
      <c r="AE132" s="2078"/>
      <c r="AF132" s="2078"/>
      <c r="AG132" s="2078"/>
      <c r="AH132" s="2078"/>
      <c r="AI132" s="2078"/>
      <c r="AJ132" s="2078"/>
      <c r="AK132" s="2078"/>
      <c r="AL132" s="2078"/>
      <c r="AM132" s="2078"/>
      <c r="AN132" s="2078"/>
      <c r="AO132" s="2078"/>
      <c r="AP132" s="2078"/>
      <c r="AQ132" s="2078"/>
      <c r="AR132" s="2078"/>
      <c r="AS132" s="2078"/>
      <c r="AT132" s="2078"/>
      <c r="AU132" s="2078"/>
      <c r="AV132" s="2078"/>
      <c r="AW132" s="2078"/>
      <c r="AX132" s="2078"/>
      <c r="AY132" s="2078"/>
      <c r="AZ132" s="2078"/>
      <c r="BA132" s="2078"/>
      <c r="BB132" s="2078"/>
      <c r="BC132" s="2078"/>
      <c r="BD132" s="2079"/>
      <c r="BE132" s="1194"/>
    </row>
    <row r="133" spans="1:57" ht="15.75" customHeight="1">
      <c r="A133" s="1190"/>
      <c r="B133" s="1913" t="s">
        <v>2358</v>
      </c>
      <c r="C133" s="1914"/>
      <c r="D133" s="1914"/>
      <c r="E133" s="1914"/>
      <c r="F133" s="1914"/>
      <c r="G133" s="1914"/>
      <c r="H133" s="1914"/>
      <c r="I133" s="1914"/>
      <c r="J133" s="1914"/>
      <c r="K133" s="1914"/>
      <c r="L133" s="1914"/>
      <c r="M133" s="1914"/>
      <c r="N133" s="1914"/>
      <c r="O133" s="1914"/>
      <c r="P133" s="1914"/>
      <c r="Q133" s="1914"/>
      <c r="R133" s="1914"/>
      <c r="S133" s="1914"/>
      <c r="T133" s="1914"/>
      <c r="U133" s="1915"/>
      <c r="V133" s="1190"/>
      <c r="W133" s="1190"/>
      <c r="X133" s="2077"/>
      <c r="Y133" s="2078"/>
      <c r="Z133" s="2078"/>
      <c r="AA133" s="2078"/>
      <c r="AB133" s="2078"/>
      <c r="AC133" s="2078"/>
      <c r="AD133" s="2078"/>
      <c r="AE133" s="2078"/>
      <c r="AF133" s="2078"/>
      <c r="AG133" s="2078"/>
      <c r="AH133" s="2078"/>
      <c r="AI133" s="2078"/>
      <c r="AJ133" s="2078"/>
      <c r="AK133" s="2078"/>
      <c r="AL133" s="2078"/>
      <c r="AM133" s="2078"/>
      <c r="AN133" s="2078"/>
      <c r="AO133" s="2078"/>
      <c r="AP133" s="2078"/>
      <c r="AQ133" s="2078"/>
      <c r="AR133" s="2078"/>
      <c r="AS133" s="2078"/>
      <c r="AT133" s="2078"/>
      <c r="AU133" s="2078"/>
      <c r="AV133" s="2078"/>
      <c r="AW133" s="2078"/>
      <c r="AX133" s="2078"/>
      <c r="AY133" s="2078"/>
      <c r="AZ133" s="2078"/>
      <c r="BA133" s="2078"/>
      <c r="BB133" s="2078"/>
      <c r="BC133" s="2078"/>
      <c r="BD133" s="2079"/>
      <c r="BE133" s="1194"/>
    </row>
    <row r="134" spans="1:57" ht="15.75" customHeight="1">
      <c r="A134" s="1190"/>
      <c r="B134" s="2153"/>
      <c r="C134" s="2154"/>
      <c r="D134" s="2154"/>
      <c r="E134" s="2154"/>
      <c r="F134" s="2154"/>
      <c r="G134" s="2154"/>
      <c r="H134" s="2154"/>
      <c r="I134" s="2155" t="s">
        <v>2346</v>
      </c>
      <c r="J134" s="2155"/>
      <c r="K134" s="2155"/>
      <c r="L134" s="2155"/>
      <c r="M134" s="2155"/>
      <c r="N134" s="2155"/>
      <c r="O134" s="2155"/>
      <c r="P134" s="2155" t="s">
        <v>2345</v>
      </c>
      <c r="Q134" s="2155"/>
      <c r="R134" s="2155"/>
      <c r="S134" s="2155"/>
      <c r="T134" s="2155"/>
      <c r="U134" s="2156"/>
      <c r="V134" s="1190"/>
      <c r="W134" s="1190"/>
      <c r="X134" s="2077"/>
      <c r="Y134" s="2078"/>
      <c r="Z134" s="2078"/>
      <c r="AA134" s="2078"/>
      <c r="AB134" s="2078"/>
      <c r="AC134" s="2078"/>
      <c r="AD134" s="2078"/>
      <c r="AE134" s="2078"/>
      <c r="AF134" s="2078"/>
      <c r="AG134" s="2078"/>
      <c r="AH134" s="2078"/>
      <c r="AI134" s="2078"/>
      <c r="AJ134" s="2078"/>
      <c r="AK134" s="2078"/>
      <c r="AL134" s="2078"/>
      <c r="AM134" s="2078"/>
      <c r="AN134" s="2078"/>
      <c r="AO134" s="2078"/>
      <c r="AP134" s="2078"/>
      <c r="AQ134" s="2078"/>
      <c r="AR134" s="2078"/>
      <c r="AS134" s="2078"/>
      <c r="AT134" s="2078"/>
      <c r="AU134" s="2078"/>
      <c r="AV134" s="2078"/>
      <c r="AW134" s="2078"/>
      <c r="AX134" s="2078"/>
      <c r="AY134" s="2078"/>
      <c r="AZ134" s="2078"/>
      <c r="BA134" s="2078"/>
      <c r="BB134" s="2078"/>
      <c r="BC134" s="2078"/>
      <c r="BD134" s="2079"/>
      <c r="BE134" s="1194"/>
    </row>
    <row r="135" spans="1:57" ht="15.75" customHeight="1">
      <c r="A135" s="1190"/>
      <c r="B135" s="2153"/>
      <c r="C135" s="2154"/>
      <c r="D135" s="2154"/>
      <c r="E135" s="2154"/>
      <c r="F135" s="2154"/>
      <c r="G135" s="2154"/>
      <c r="H135" s="2154"/>
      <c r="I135" s="2155"/>
      <c r="J135" s="2155"/>
      <c r="K135" s="2155"/>
      <c r="L135" s="2155"/>
      <c r="M135" s="2155"/>
      <c r="N135" s="2155"/>
      <c r="O135" s="2155"/>
      <c r="P135" s="2155"/>
      <c r="Q135" s="2155"/>
      <c r="R135" s="2155"/>
      <c r="S135" s="2155"/>
      <c r="T135" s="2155"/>
      <c r="U135" s="2156"/>
      <c r="V135" s="1190"/>
      <c r="W135" s="1190"/>
      <c r="X135" s="2077"/>
      <c r="Y135" s="2078"/>
      <c r="Z135" s="2078"/>
      <c r="AA135" s="2078"/>
      <c r="AB135" s="2078"/>
      <c r="AC135" s="2078"/>
      <c r="AD135" s="2078"/>
      <c r="AE135" s="2078"/>
      <c r="AF135" s="2078"/>
      <c r="AG135" s="2078"/>
      <c r="AH135" s="2078"/>
      <c r="AI135" s="2078"/>
      <c r="AJ135" s="2078"/>
      <c r="AK135" s="2078"/>
      <c r="AL135" s="2078"/>
      <c r="AM135" s="2078"/>
      <c r="AN135" s="2078"/>
      <c r="AO135" s="2078"/>
      <c r="AP135" s="2078"/>
      <c r="AQ135" s="2078"/>
      <c r="AR135" s="2078"/>
      <c r="AS135" s="2078"/>
      <c r="AT135" s="2078"/>
      <c r="AU135" s="2078"/>
      <c r="AV135" s="2078"/>
      <c r="AW135" s="2078"/>
      <c r="AX135" s="2078"/>
      <c r="AY135" s="2078"/>
      <c r="AZ135" s="2078"/>
      <c r="BA135" s="2078"/>
      <c r="BB135" s="2078"/>
      <c r="BC135" s="2078"/>
      <c r="BD135" s="2079"/>
      <c r="BE135" s="1194"/>
    </row>
    <row r="136" spans="1:57" ht="15.75" customHeight="1">
      <c r="A136" s="1190"/>
      <c r="B136" s="2111" t="s">
        <v>2344</v>
      </c>
      <c r="C136" s="2112"/>
      <c r="D136" s="2112"/>
      <c r="E136" s="2112"/>
      <c r="F136" s="2112"/>
      <c r="G136" s="2112"/>
      <c r="H136" s="2112"/>
      <c r="I136" s="2088">
        <v>0</v>
      </c>
      <c r="J136" s="2088"/>
      <c r="K136" s="2088"/>
      <c r="L136" s="2088"/>
      <c r="M136" s="2088"/>
      <c r="N136" s="2088"/>
      <c r="O136" s="2088"/>
      <c r="P136" s="2088">
        <v>0</v>
      </c>
      <c r="Q136" s="2088"/>
      <c r="R136" s="2088"/>
      <c r="S136" s="2088"/>
      <c r="T136" s="2088"/>
      <c r="U136" s="2089"/>
      <c r="V136" s="1190"/>
      <c r="W136" s="1190"/>
      <c r="X136" s="2077"/>
      <c r="Y136" s="2078"/>
      <c r="Z136" s="2078"/>
      <c r="AA136" s="2078"/>
      <c r="AB136" s="2078"/>
      <c r="AC136" s="2078"/>
      <c r="AD136" s="2078"/>
      <c r="AE136" s="2078"/>
      <c r="AF136" s="2078"/>
      <c r="AG136" s="2078"/>
      <c r="AH136" s="2078"/>
      <c r="AI136" s="2078"/>
      <c r="AJ136" s="2078"/>
      <c r="AK136" s="2078"/>
      <c r="AL136" s="2078"/>
      <c r="AM136" s="2078"/>
      <c r="AN136" s="2078"/>
      <c r="AO136" s="2078"/>
      <c r="AP136" s="2078"/>
      <c r="AQ136" s="2078"/>
      <c r="AR136" s="2078"/>
      <c r="AS136" s="2078"/>
      <c r="AT136" s="2078"/>
      <c r="AU136" s="2078"/>
      <c r="AV136" s="2078"/>
      <c r="AW136" s="2078"/>
      <c r="AX136" s="2078"/>
      <c r="AY136" s="2078"/>
      <c r="AZ136" s="2078"/>
      <c r="BA136" s="2078"/>
      <c r="BB136" s="2078"/>
      <c r="BC136" s="2078"/>
      <c r="BD136" s="2079"/>
      <c r="BE136" s="1194"/>
    </row>
    <row r="137" spans="1:57" ht="15.75" customHeight="1" thickBot="1">
      <c r="A137" s="1190"/>
      <c r="B137" s="2113" t="s">
        <v>2343</v>
      </c>
      <c r="C137" s="2114"/>
      <c r="D137" s="2114"/>
      <c r="E137" s="2114"/>
      <c r="F137" s="2114"/>
      <c r="G137" s="2114"/>
      <c r="H137" s="2114"/>
      <c r="I137" s="2103">
        <v>0</v>
      </c>
      <c r="J137" s="2103"/>
      <c r="K137" s="2103"/>
      <c r="L137" s="2103"/>
      <c r="M137" s="2103"/>
      <c r="N137" s="2103"/>
      <c r="O137" s="2103"/>
      <c r="P137" s="2103">
        <v>0</v>
      </c>
      <c r="Q137" s="2103"/>
      <c r="R137" s="2103"/>
      <c r="S137" s="2103"/>
      <c r="T137" s="2103"/>
      <c r="U137" s="2104"/>
      <c r="V137" s="1190"/>
      <c r="W137" s="1190"/>
      <c r="X137" s="2080"/>
      <c r="Y137" s="2081"/>
      <c r="Z137" s="2081"/>
      <c r="AA137" s="2081"/>
      <c r="AB137" s="2081"/>
      <c r="AC137" s="2081"/>
      <c r="AD137" s="2081"/>
      <c r="AE137" s="2081"/>
      <c r="AF137" s="2081"/>
      <c r="AG137" s="2081"/>
      <c r="AH137" s="2081"/>
      <c r="AI137" s="2081"/>
      <c r="AJ137" s="2081"/>
      <c r="AK137" s="2081"/>
      <c r="AL137" s="2081"/>
      <c r="AM137" s="2081"/>
      <c r="AN137" s="2081"/>
      <c r="AO137" s="2081"/>
      <c r="AP137" s="2081"/>
      <c r="AQ137" s="2081"/>
      <c r="AR137" s="2081"/>
      <c r="AS137" s="2081"/>
      <c r="AT137" s="2081"/>
      <c r="AU137" s="2081"/>
      <c r="AV137" s="2081"/>
      <c r="AW137" s="2081"/>
      <c r="AX137" s="2081"/>
      <c r="AY137" s="2081"/>
      <c r="AZ137" s="2081"/>
      <c r="BA137" s="2081"/>
      <c r="BB137" s="2081"/>
      <c r="BC137" s="2081"/>
      <c r="BD137" s="2082"/>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1" t="s">
        <v>2357</v>
      </c>
      <c r="C139" s="2152"/>
      <c r="D139" s="2152"/>
      <c r="E139" s="2152"/>
      <c r="F139" s="2152"/>
      <c r="G139" s="2152"/>
      <c r="H139" s="2152"/>
      <c r="I139" s="2152"/>
      <c r="J139" s="2152"/>
      <c r="K139" s="2152"/>
      <c r="L139" s="2152"/>
      <c r="M139" s="2152"/>
      <c r="N139" s="2152"/>
      <c r="O139" s="2152"/>
      <c r="P139" s="2152"/>
      <c r="Q139" s="2152"/>
      <c r="R139" s="2152"/>
      <c r="S139" s="2152"/>
      <c r="T139" s="2152"/>
      <c r="U139" s="2152"/>
      <c r="V139" s="2152"/>
      <c r="W139" s="2152"/>
      <c r="X139" s="2152"/>
      <c r="Y139" s="2152"/>
      <c r="Z139" s="2152"/>
      <c r="AA139" s="2152"/>
      <c r="AB139" s="2152"/>
      <c r="AC139" s="2152"/>
      <c r="AD139" s="2152"/>
      <c r="AE139" s="2152"/>
      <c r="AF139" s="2152"/>
      <c r="AG139" s="2152"/>
      <c r="AH139" s="2036" t="s">
        <v>546</v>
      </c>
      <c r="AI139" s="2036"/>
      <c r="AJ139" s="2036"/>
      <c r="AK139" s="2036"/>
      <c r="AL139" s="2036"/>
      <c r="AM139" s="2036"/>
      <c r="AN139" s="2036"/>
      <c r="AO139" s="2036"/>
      <c r="AP139" s="2036"/>
      <c r="AQ139" s="2036"/>
      <c r="AR139" s="2036"/>
      <c r="AS139" s="2036"/>
      <c r="AT139" s="2036"/>
      <c r="AU139" s="2036"/>
      <c r="AV139" s="2036"/>
      <c r="AW139" s="2036"/>
      <c r="AX139" s="2037"/>
      <c r="AY139" s="1190"/>
      <c r="AZ139" s="1190"/>
      <c r="BA139" s="1190"/>
      <c r="BB139" s="1190"/>
      <c r="BC139" s="1190"/>
      <c r="BD139" s="1190"/>
      <c r="BE139" s="1194"/>
    </row>
    <row r="140" spans="1:57" ht="15.75" customHeight="1" thickBot="1">
      <c r="A140" s="1190"/>
      <c r="B140" s="2138" t="s">
        <v>2356</v>
      </c>
      <c r="C140" s="2139"/>
      <c r="D140" s="2139"/>
      <c r="E140" s="2139"/>
      <c r="F140" s="2139"/>
      <c r="G140" s="2139"/>
      <c r="H140" s="2139"/>
      <c r="I140" s="2139"/>
      <c r="J140" s="2139"/>
      <c r="K140" s="2139"/>
      <c r="L140" s="2139"/>
      <c r="M140" s="2139"/>
      <c r="N140" s="2139"/>
      <c r="O140" s="2139"/>
      <c r="P140" s="2139"/>
      <c r="Q140" s="2139"/>
      <c r="R140" s="2139"/>
      <c r="S140" s="2139"/>
      <c r="T140" s="2139"/>
      <c r="U140" s="2139"/>
      <c r="V140" s="2139"/>
      <c r="W140" s="2139"/>
      <c r="X140" s="2139"/>
      <c r="Y140" s="2139"/>
      <c r="Z140" s="2139"/>
      <c r="AA140" s="2139"/>
      <c r="AB140" s="2139"/>
      <c r="AC140" s="2139"/>
      <c r="AD140" s="2139"/>
      <c r="AE140" s="2139"/>
      <c r="AF140" s="2139"/>
      <c r="AG140" s="2140"/>
      <c r="AH140" s="2105"/>
      <c r="AI140" s="2106"/>
      <c r="AJ140" s="2106"/>
      <c r="AK140" s="2106"/>
      <c r="AL140" s="2106"/>
      <c r="AM140" s="2106"/>
      <c r="AN140" s="2106"/>
      <c r="AO140" s="2106"/>
      <c r="AP140" s="2106"/>
      <c r="AQ140" s="2106"/>
      <c r="AR140" s="2106"/>
      <c r="AS140" s="2106"/>
      <c r="AT140" s="2106"/>
      <c r="AU140" s="2106"/>
      <c r="AV140" s="2106"/>
      <c r="AW140" s="2106"/>
      <c r="AX140" s="2107"/>
      <c r="AY140" s="1190"/>
      <c r="AZ140" s="1190"/>
      <c r="BA140" s="1190"/>
      <c r="BB140" s="1190"/>
      <c r="BC140" s="1190"/>
      <c r="BD140" s="1190"/>
      <c r="BE140" s="1194"/>
    </row>
    <row r="141" spans="1:57" ht="15.75" customHeight="1">
      <c r="A141" s="1190"/>
      <c r="B141" s="2138" t="s">
        <v>2355</v>
      </c>
      <c r="C141" s="2139"/>
      <c r="D141" s="2139"/>
      <c r="E141" s="2139"/>
      <c r="F141" s="2139"/>
      <c r="G141" s="2139"/>
      <c r="H141" s="2139"/>
      <c r="I141" s="2139"/>
      <c r="J141" s="2139"/>
      <c r="K141" s="2139"/>
      <c r="L141" s="2139"/>
      <c r="M141" s="2139"/>
      <c r="N141" s="2139"/>
      <c r="O141" s="2139"/>
      <c r="P141" s="2139"/>
      <c r="Q141" s="2139"/>
      <c r="R141" s="2139"/>
      <c r="S141" s="2139"/>
      <c r="T141" s="2139"/>
      <c r="U141" s="2139"/>
      <c r="V141" s="2139"/>
      <c r="W141" s="2139"/>
      <c r="X141" s="2139"/>
      <c r="Y141" s="2139"/>
      <c r="Z141" s="2139"/>
      <c r="AA141" s="2139"/>
      <c r="AB141" s="2139"/>
      <c r="AC141" s="2139"/>
      <c r="AD141" s="2139"/>
      <c r="AE141" s="2139"/>
      <c r="AF141" s="2139"/>
      <c r="AG141" s="2140"/>
      <c r="AH141" s="2036" t="s">
        <v>546</v>
      </c>
      <c r="AI141" s="2036"/>
      <c r="AJ141" s="2036"/>
      <c r="AK141" s="2036"/>
      <c r="AL141" s="2036"/>
      <c r="AM141" s="2036"/>
      <c r="AN141" s="2036"/>
      <c r="AO141" s="2036"/>
      <c r="AP141" s="2036"/>
      <c r="AQ141" s="2036"/>
      <c r="AR141" s="2036"/>
      <c r="AS141" s="2036"/>
      <c r="AT141" s="2036"/>
      <c r="AU141" s="2036"/>
      <c r="AV141" s="2036"/>
      <c r="AW141" s="2036"/>
      <c r="AX141" s="2037"/>
      <c r="AY141" s="1190"/>
      <c r="AZ141" s="1190"/>
      <c r="BA141" s="1190"/>
      <c r="BB141" s="1190"/>
      <c r="BC141" s="1190"/>
      <c r="BD141" s="1190"/>
      <c r="BE141" s="1194"/>
    </row>
    <row r="142" spans="1:57" ht="15.75" customHeight="1">
      <c r="A142" s="1190"/>
      <c r="B142" s="2141" t="s">
        <v>2354</v>
      </c>
      <c r="C142" s="2142"/>
      <c r="D142" s="2142"/>
      <c r="E142" s="2142"/>
      <c r="F142" s="2142"/>
      <c r="G142" s="2142"/>
      <c r="H142" s="2142"/>
      <c r="I142" s="2142"/>
      <c r="J142" s="2142"/>
      <c r="K142" s="2142"/>
      <c r="L142" s="2142"/>
      <c r="M142" s="2142"/>
      <c r="N142" s="2142"/>
      <c r="O142" s="2142"/>
      <c r="P142" s="2142"/>
      <c r="Q142" s="2142"/>
      <c r="R142" s="2143" t="s">
        <v>2353</v>
      </c>
      <c r="S142" s="2143"/>
      <c r="T142" s="2143"/>
      <c r="U142" s="2143"/>
      <c r="V142" s="2143"/>
      <c r="W142" s="2143"/>
      <c r="X142" s="2143"/>
      <c r="Y142" s="2143"/>
      <c r="Z142" s="2143"/>
      <c r="AA142" s="2143"/>
      <c r="AB142" s="2143"/>
      <c r="AC142" s="2143"/>
      <c r="AD142" s="2143"/>
      <c r="AE142" s="2143"/>
      <c r="AF142" s="2143"/>
      <c r="AG142" s="2143"/>
      <c r="AH142" s="2143"/>
      <c r="AI142" s="2143"/>
      <c r="AJ142" s="2143"/>
      <c r="AK142" s="2143"/>
      <c r="AL142" s="2143"/>
      <c r="AM142" s="2143"/>
      <c r="AN142" s="2143"/>
      <c r="AO142" s="2143"/>
      <c r="AP142" s="2143"/>
      <c r="AQ142" s="2143"/>
      <c r="AR142" s="2143"/>
      <c r="AS142" s="2143"/>
      <c r="AT142" s="2143"/>
      <c r="AU142" s="2143"/>
      <c r="AV142" s="2143"/>
      <c r="AW142" s="2143"/>
      <c r="AX142" s="2144"/>
      <c r="AY142" s="1190"/>
      <c r="AZ142" s="1190"/>
      <c r="BA142" s="1190"/>
      <c r="BB142" s="1190"/>
      <c r="BC142" s="1190" t="s">
        <v>250</v>
      </c>
      <c r="BD142" s="1190"/>
      <c r="BE142" s="1194"/>
    </row>
    <row r="143" spans="1:57" ht="15.75" customHeight="1">
      <c r="A143" s="1190"/>
      <c r="B143" s="2145" t="s">
        <v>2352</v>
      </c>
      <c r="C143" s="2146"/>
      <c r="D143" s="2146"/>
      <c r="E143" s="2146"/>
      <c r="F143" s="2146"/>
      <c r="G143" s="2146"/>
      <c r="H143" s="2146"/>
      <c r="I143" s="2146"/>
      <c r="J143" s="2146"/>
      <c r="K143" s="2146"/>
      <c r="L143" s="2146"/>
      <c r="M143" s="2146"/>
      <c r="N143" s="2146"/>
      <c r="O143" s="2146"/>
      <c r="P143" s="2146"/>
      <c r="Q143" s="2146"/>
      <c r="R143" s="2146"/>
      <c r="S143" s="2146"/>
      <c r="T143" s="2146"/>
      <c r="U143" s="2146"/>
      <c r="V143" s="2146"/>
      <c r="W143" s="2146"/>
      <c r="X143" s="2146"/>
      <c r="Y143" s="2146"/>
      <c r="Z143" s="2146"/>
      <c r="AA143" s="2146"/>
      <c r="AB143" s="2146"/>
      <c r="AC143" s="2146"/>
      <c r="AD143" s="2146"/>
      <c r="AE143" s="2146"/>
      <c r="AF143" s="2146"/>
      <c r="AG143" s="2146"/>
      <c r="AH143" s="2146"/>
      <c r="AI143" s="2146"/>
      <c r="AJ143" s="2146"/>
      <c r="AK143" s="2146"/>
      <c r="AL143" s="2146"/>
      <c r="AM143" s="2146"/>
      <c r="AN143" s="2146"/>
      <c r="AO143" s="2146"/>
      <c r="AP143" s="2146"/>
      <c r="AQ143" s="2146"/>
      <c r="AR143" s="2146"/>
      <c r="AS143" s="2146"/>
      <c r="AT143" s="2146"/>
      <c r="AU143" s="2146"/>
      <c r="AV143" s="2146"/>
      <c r="AW143" s="2146"/>
      <c r="AX143" s="2147"/>
      <c r="AY143" s="1190"/>
      <c r="AZ143" s="1190"/>
      <c r="BA143" s="1190"/>
      <c r="BB143" s="1190"/>
      <c r="BC143" s="1190"/>
      <c r="BD143" s="1190"/>
      <c r="BE143" s="1194"/>
    </row>
    <row r="144" spans="1:57" ht="15.75" customHeight="1">
      <c r="A144" s="1190"/>
      <c r="B144" s="2145"/>
      <c r="C144" s="2146"/>
      <c r="D144" s="2146"/>
      <c r="E144" s="2146"/>
      <c r="F144" s="2146"/>
      <c r="G144" s="2146"/>
      <c r="H144" s="2146"/>
      <c r="I144" s="2146"/>
      <c r="J144" s="2146"/>
      <c r="K144" s="2146"/>
      <c r="L144" s="2146"/>
      <c r="M144" s="2146"/>
      <c r="N144" s="2146"/>
      <c r="O144" s="2146"/>
      <c r="P144" s="2146"/>
      <c r="Q144" s="2146"/>
      <c r="R144" s="2146"/>
      <c r="S144" s="2146"/>
      <c r="T144" s="2146"/>
      <c r="U144" s="2146"/>
      <c r="V144" s="2146"/>
      <c r="W144" s="2146"/>
      <c r="X144" s="2146"/>
      <c r="Y144" s="2146"/>
      <c r="Z144" s="2146"/>
      <c r="AA144" s="2146"/>
      <c r="AB144" s="2146"/>
      <c r="AC144" s="2146"/>
      <c r="AD144" s="2146"/>
      <c r="AE144" s="2146"/>
      <c r="AF144" s="2146"/>
      <c r="AG144" s="2146"/>
      <c r="AH144" s="2146"/>
      <c r="AI144" s="2146"/>
      <c r="AJ144" s="2146"/>
      <c r="AK144" s="2146"/>
      <c r="AL144" s="2146"/>
      <c r="AM144" s="2146"/>
      <c r="AN144" s="2146"/>
      <c r="AO144" s="2146"/>
      <c r="AP144" s="2146"/>
      <c r="AQ144" s="2146"/>
      <c r="AR144" s="2146"/>
      <c r="AS144" s="2146"/>
      <c r="AT144" s="2146"/>
      <c r="AU144" s="2146"/>
      <c r="AV144" s="2146"/>
      <c r="AW144" s="2146"/>
      <c r="AX144" s="2147"/>
      <c r="AY144" s="1190"/>
      <c r="AZ144" s="1190"/>
      <c r="BA144" s="1190"/>
      <c r="BB144" s="1190"/>
      <c r="BC144" s="1190"/>
      <c r="BD144" s="1190"/>
      <c r="BE144" s="1194"/>
    </row>
    <row r="145" spans="1:57" ht="15.75" customHeight="1">
      <c r="A145" s="1190"/>
      <c r="B145" s="2145"/>
      <c r="C145" s="2146"/>
      <c r="D145" s="2146"/>
      <c r="E145" s="2146"/>
      <c r="F145" s="2146"/>
      <c r="G145" s="2146"/>
      <c r="H145" s="2146"/>
      <c r="I145" s="2146"/>
      <c r="J145" s="2146"/>
      <c r="K145" s="2146"/>
      <c r="L145" s="2146"/>
      <c r="M145" s="2146"/>
      <c r="N145" s="2146"/>
      <c r="O145" s="2146"/>
      <c r="P145" s="2146"/>
      <c r="Q145" s="2146"/>
      <c r="R145" s="2146"/>
      <c r="S145" s="2146"/>
      <c r="T145" s="2146"/>
      <c r="U145" s="2146"/>
      <c r="V145" s="2146"/>
      <c r="W145" s="2146"/>
      <c r="X145" s="2146"/>
      <c r="Y145" s="2146"/>
      <c r="Z145" s="2146"/>
      <c r="AA145" s="2146"/>
      <c r="AB145" s="2146"/>
      <c r="AC145" s="2146"/>
      <c r="AD145" s="2146"/>
      <c r="AE145" s="2146"/>
      <c r="AF145" s="2146"/>
      <c r="AG145" s="2146"/>
      <c r="AH145" s="2146"/>
      <c r="AI145" s="2146"/>
      <c r="AJ145" s="2146"/>
      <c r="AK145" s="2146"/>
      <c r="AL145" s="2146"/>
      <c r="AM145" s="2146"/>
      <c r="AN145" s="2146"/>
      <c r="AO145" s="2146"/>
      <c r="AP145" s="2146"/>
      <c r="AQ145" s="2146"/>
      <c r="AR145" s="2146"/>
      <c r="AS145" s="2146"/>
      <c r="AT145" s="2146"/>
      <c r="AU145" s="2146"/>
      <c r="AV145" s="2146"/>
      <c r="AW145" s="2146"/>
      <c r="AX145" s="2147"/>
      <c r="AY145" s="1190"/>
      <c r="AZ145" s="1190"/>
      <c r="BA145" s="1190"/>
      <c r="BB145" s="1190"/>
      <c r="BC145" s="1190"/>
      <c r="BD145" s="1190"/>
      <c r="BE145" s="1194"/>
    </row>
    <row r="146" spans="1:57" ht="15.75" customHeight="1">
      <c r="A146" s="1190"/>
      <c r="B146" s="2145"/>
      <c r="C146" s="2146"/>
      <c r="D146" s="2146"/>
      <c r="E146" s="2146"/>
      <c r="F146" s="2146"/>
      <c r="G146" s="2146"/>
      <c r="H146" s="2146"/>
      <c r="I146" s="2146"/>
      <c r="J146" s="2146"/>
      <c r="K146" s="2146"/>
      <c r="L146" s="2146"/>
      <c r="M146" s="2146"/>
      <c r="N146" s="2146"/>
      <c r="O146" s="2146"/>
      <c r="P146" s="2146"/>
      <c r="Q146" s="2146"/>
      <c r="R146" s="2146"/>
      <c r="S146" s="2146"/>
      <c r="T146" s="2146"/>
      <c r="U146" s="2146"/>
      <c r="V146" s="2146"/>
      <c r="W146" s="2146"/>
      <c r="X146" s="2146"/>
      <c r="Y146" s="2146"/>
      <c r="Z146" s="2146"/>
      <c r="AA146" s="2146"/>
      <c r="AB146" s="2146"/>
      <c r="AC146" s="2146"/>
      <c r="AD146" s="2146"/>
      <c r="AE146" s="2146"/>
      <c r="AF146" s="2146"/>
      <c r="AG146" s="2146"/>
      <c r="AH146" s="2146"/>
      <c r="AI146" s="2146"/>
      <c r="AJ146" s="2146"/>
      <c r="AK146" s="2146"/>
      <c r="AL146" s="2146"/>
      <c r="AM146" s="2146"/>
      <c r="AN146" s="2146"/>
      <c r="AO146" s="2146"/>
      <c r="AP146" s="2146"/>
      <c r="AQ146" s="2146"/>
      <c r="AR146" s="2146"/>
      <c r="AS146" s="2146"/>
      <c r="AT146" s="2146"/>
      <c r="AU146" s="2146"/>
      <c r="AV146" s="2146"/>
      <c r="AW146" s="2146"/>
      <c r="AX146" s="2147"/>
      <c r="AY146" s="1190"/>
      <c r="AZ146" s="1190"/>
      <c r="BA146" s="1190"/>
      <c r="BB146" s="1190"/>
      <c r="BC146" s="1190"/>
      <c r="BD146" s="1190"/>
      <c r="BE146" s="1194"/>
    </row>
    <row r="147" spans="1:57" ht="15.75" customHeight="1">
      <c r="A147" s="1190"/>
      <c r="B147" s="2145"/>
      <c r="C147" s="2146"/>
      <c r="D147" s="2146"/>
      <c r="E147" s="2146"/>
      <c r="F147" s="2146"/>
      <c r="G147" s="2146"/>
      <c r="H147" s="2146"/>
      <c r="I147" s="2146"/>
      <c r="J147" s="2146"/>
      <c r="K147" s="2146"/>
      <c r="L147" s="2146"/>
      <c r="M147" s="2146"/>
      <c r="N147" s="2146"/>
      <c r="O147" s="2146"/>
      <c r="P147" s="2146"/>
      <c r="Q147" s="2146"/>
      <c r="R147" s="2146"/>
      <c r="S147" s="2146"/>
      <c r="T147" s="2146"/>
      <c r="U147" s="2146"/>
      <c r="V147" s="2146"/>
      <c r="W147" s="2146"/>
      <c r="X147" s="2146"/>
      <c r="Y147" s="2146"/>
      <c r="Z147" s="2146"/>
      <c r="AA147" s="2146"/>
      <c r="AB147" s="2146"/>
      <c r="AC147" s="2146"/>
      <c r="AD147" s="2146"/>
      <c r="AE147" s="2146"/>
      <c r="AF147" s="2146"/>
      <c r="AG147" s="2146"/>
      <c r="AH147" s="2146"/>
      <c r="AI147" s="2146"/>
      <c r="AJ147" s="2146"/>
      <c r="AK147" s="2146"/>
      <c r="AL147" s="2146"/>
      <c r="AM147" s="2146"/>
      <c r="AN147" s="2146"/>
      <c r="AO147" s="2146"/>
      <c r="AP147" s="2146"/>
      <c r="AQ147" s="2146"/>
      <c r="AR147" s="2146"/>
      <c r="AS147" s="2146"/>
      <c r="AT147" s="2146"/>
      <c r="AU147" s="2146"/>
      <c r="AV147" s="2146"/>
      <c r="AW147" s="2146"/>
      <c r="AX147" s="2147"/>
      <c r="AY147" s="1190"/>
      <c r="AZ147" s="1190"/>
      <c r="BA147" s="1190"/>
      <c r="BB147" s="1190"/>
      <c r="BC147" s="1190"/>
      <c r="BD147" s="1190"/>
      <c r="BE147" s="1194"/>
    </row>
    <row r="148" spans="1:57" ht="15.75" customHeight="1">
      <c r="A148" s="1190"/>
      <c r="B148" s="2145"/>
      <c r="C148" s="2146"/>
      <c r="D148" s="2146"/>
      <c r="E148" s="2146"/>
      <c r="F148" s="2146"/>
      <c r="G148" s="2146"/>
      <c r="H148" s="2146"/>
      <c r="I148" s="2146"/>
      <c r="J148" s="2146"/>
      <c r="K148" s="2146"/>
      <c r="L148" s="2146"/>
      <c r="M148" s="2146"/>
      <c r="N148" s="2146"/>
      <c r="O148" s="2146"/>
      <c r="P148" s="2146"/>
      <c r="Q148" s="2146"/>
      <c r="R148" s="2146"/>
      <c r="S148" s="2146"/>
      <c r="T148" s="2146"/>
      <c r="U148" s="2146"/>
      <c r="V148" s="2146"/>
      <c r="W148" s="2146"/>
      <c r="X148" s="2146"/>
      <c r="Y148" s="2146"/>
      <c r="Z148" s="2146"/>
      <c r="AA148" s="2146"/>
      <c r="AB148" s="2146"/>
      <c r="AC148" s="2146"/>
      <c r="AD148" s="2146"/>
      <c r="AE148" s="2146"/>
      <c r="AF148" s="2146"/>
      <c r="AG148" s="2146"/>
      <c r="AH148" s="2146"/>
      <c r="AI148" s="2146"/>
      <c r="AJ148" s="2146"/>
      <c r="AK148" s="2146"/>
      <c r="AL148" s="2146"/>
      <c r="AM148" s="2146"/>
      <c r="AN148" s="2146"/>
      <c r="AO148" s="2146"/>
      <c r="AP148" s="2146"/>
      <c r="AQ148" s="2146"/>
      <c r="AR148" s="2146"/>
      <c r="AS148" s="2146"/>
      <c r="AT148" s="2146"/>
      <c r="AU148" s="2146"/>
      <c r="AV148" s="2146"/>
      <c r="AW148" s="2146"/>
      <c r="AX148" s="2147"/>
      <c r="AY148" s="1190"/>
      <c r="AZ148" s="1190"/>
      <c r="BA148" s="1190"/>
      <c r="BB148" s="1190"/>
      <c r="BC148" s="1190"/>
      <c r="BD148" s="1190"/>
      <c r="BE148" s="1194"/>
    </row>
    <row r="149" spans="1:57" ht="15.75" customHeight="1">
      <c r="A149" s="1190"/>
      <c r="B149" s="2145"/>
      <c r="C149" s="2146"/>
      <c r="D149" s="2146"/>
      <c r="E149" s="2146"/>
      <c r="F149" s="2146"/>
      <c r="G149" s="2146"/>
      <c r="H149" s="2146"/>
      <c r="I149" s="2146"/>
      <c r="J149" s="2146"/>
      <c r="K149" s="2146"/>
      <c r="L149" s="2146"/>
      <c r="M149" s="2146"/>
      <c r="N149" s="2146"/>
      <c r="O149" s="2146"/>
      <c r="P149" s="2146"/>
      <c r="Q149" s="2146"/>
      <c r="R149" s="2146"/>
      <c r="S149" s="2146"/>
      <c r="T149" s="2146"/>
      <c r="U149" s="2146"/>
      <c r="V149" s="2146"/>
      <c r="W149" s="2146"/>
      <c r="X149" s="2146"/>
      <c r="Y149" s="2146"/>
      <c r="Z149" s="2146"/>
      <c r="AA149" s="2146"/>
      <c r="AB149" s="2146"/>
      <c r="AC149" s="2146"/>
      <c r="AD149" s="2146"/>
      <c r="AE149" s="2146"/>
      <c r="AF149" s="2146"/>
      <c r="AG149" s="2146"/>
      <c r="AH149" s="2146"/>
      <c r="AI149" s="2146"/>
      <c r="AJ149" s="2146"/>
      <c r="AK149" s="2146"/>
      <c r="AL149" s="2146"/>
      <c r="AM149" s="2146"/>
      <c r="AN149" s="2146"/>
      <c r="AO149" s="2146"/>
      <c r="AP149" s="2146"/>
      <c r="AQ149" s="2146"/>
      <c r="AR149" s="2146"/>
      <c r="AS149" s="2146"/>
      <c r="AT149" s="2146"/>
      <c r="AU149" s="2146"/>
      <c r="AV149" s="2146"/>
      <c r="AW149" s="2146"/>
      <c r="AX149" s="2147"/>
      <c r="AY149" s="1190"/>
      <c r="AZ149" s="1190"/>
      <c r="BA149" s="1190"/>
      <c r="BB149" s="1190"/>
      <c r="BC149" s="1190"/>
      <c r="BD149" s="1190"/>
      <c r="BE149" s="1194"/>
    </row>
    <row r="150" spans="1:57" ht="15.75" customHeight="1">
      <c r="A150" s="1190"/>
      <c r="B150" s="2145"/>
      <c r="C150" s="2146"/>
      <c r="D150" s="2146"/>
      <c r="E150" s="2146"/>
      <c r="F150" s="2146"/>
      <c r="G150" s="2146"/>
      <c r="H150" s="2146"/>
      <c r="I150" s="2146"/>
      <c r="J150" s="2146"/>
      <c r="K150" s="2146"/>
      <c r="L150" s="2146"/>
      <c r="M150" s="2146"/>
      <c r="N150" s="2146"/>
      <c r="O150" s="2146"/>
      <c r="P150" s="2146"/>
      <c r="Q150" s="2146"/>
      <c r="R150" s="2146"/>
      <c r="S150" s="2146"/>
      <c r="T150" s="2146"/>
      <c r="U150" s="2146"/>
      <c r="V150" s="2146"/>
      <c r="W150" s="2146"/>
      <c r="X150" s="2146"/>
      <c r="Y150" s="2146"/>
      <c r="Z150" s="2146"/>
      <c r="AA150" s="2146"/>
      <c r="AB150" s="2146"/>
      <c r="AC150" s="2146"/>
      <c r="AD150" s="2146"/>
      <c r="AE150" s="2146"/>
      <c r="AF150" s="2146"/>
      <c r="AG150" s="2146"/>
      <c r="AH150" s="2146"/>
      <c r="AI150" s="2146"/>
      <c r="AJ150" s="2146"/>
      <c r="AK150" s="2146"/>
      <c r="AL150" s="2146"/>
      <c r="AM150" s="2146"/>
      <c r="AN150" s="2146"/>
      <c r="AO150" s="2146"/>
      <c r="AP150" s="2146"/>
      <c r="AQ150" s="2146"/>
      <c r="AR150" s="2146"/>
      <c r="AS150" s="2146"/>
      <c r="AT150" s="2146"/>
      <c r="AU150" s="2146"/>
      <c r="AV150" s="2146"/>
      <c r="AW150" s="2146"/>
      <c r="AX150" s="2147"/>
      <c r="AY150" s="1190"/>
      <c r="AZ150" s="1190"/>
      <c r="BA150" s="1190"/>
      <c r="BB150" s="1190"/>
      <c r="BC150" s="1190"/>
      <c r="BD150" s="1190"/>
      <c r="BE150" s="1194"/>
    </row>
    <row r="151" spans="1:57" ht="15.75" customHeight="1">
      <c r="A151" s="1190"/>
      <c r="B151" s="2145"/>
      <c r="C151" s="2146"/>
      <c r="D151" s="2146"/>
      <c r="E151" s="2146"/>
      <c r="F151" s="2146"/>
      <c r="G151" s="2146"/>
      <c r="H151" s="2146"/>
      <c r="I151" s="2146"/>
      <c r="J151" s="2146"/>
      <c r="K151" s="2146"/>
      <c r="L151" s="2146"/>
      <c r="M151" s="2146"/>
      <c r="N151" s="2146"/>
      <c r="O151" s="2146"/>
      <c r="P151" s="2146"/>
      <c r="Q151" s="2146"/>
      <c r="R151" s="2146"/>
      <c r="S151" s="2146"/>
      <c r="T151" s="2146"/>
      <c r="U151" s="2146"/>
      <c r="V151" s="2146"/>
      <c r="W151" s="2146"/>
      <c r="X151" s="2146"/>
      <c r="Y151" s="2146"/>
      <c r="Z151" s="2146"/>
      <c r="AA151" s="2146"/>
      <c r="AB151" s="2146"/>
      <c r="AC151" s="2146"/>
      <c r="AD151" s="2146"/>
      <c r="AE151" s="2146"/>
      <c r="AF151" s="2146"/>
      <c r="AG151" s="2146"/>
      <c r="AH151" s="2146"/>
      <c r="AI151" s="2146"/>
      <c r="AJ151" s="2146"/>
      <c r="AK151" s="2146"/>
      <c r="AL151" s="2146"/>
      <c r="AM151" s="2146"/>
      <c r="AN151" s="2146"/>
      <c r="AO151" s="2146"/>
      <c r="AP151" s="2146"/>
      <c r="AQ151" s="2146"/>
      <c r="AR151" s="2146"/>
      <c r="AS151" s="2146"/>
      <c r="AT151" s="2146"/>
      <c r="AU151" s="2146"/>
      <c r="AV151" s="2146"/>
      <c r="AW151" s="2146"/>
      <c r="AX151" s="2147"/>
      <c r="AY151" s="1190"/>
      <c r="AZ151" s="1190"/>
      <c r="BA151" s="1190"/>
      <c r="BB151" s="1190"/>
      <c r="BC151" s="1190"/>
      <c r="BD151" s="1190"/>
      <c r="BE151" s="1194"/>
    </row>
    <row r="152" spans="1:57" ht="15.75" customHeight="1" thickBot="1">
      <c r="A152" s="1190"/>
      <c r="B152" s="2148"/>
      <c r="C152" s="2149"/>
      <c r="D152" s="2149"/>
      <c r="E152" s="2149"/>
      <c r="F152" s="2149"/>
      <c r="G152" s="2149"/>
      <c r="H152" s="2149"/>
      <c r="I152" s="2149"/>
      <c r="J152" s="2149"/>
      <c r="K152" s="2149"/>
      <c r="L152" s="2149"/>
      <c r="M152" s="2149"/>
      <c r="N152" s="2149"/>
      <c r="O152" s="2149"/>
      <c r="P152" s="2149"/>
      <c r="Q152" s="2149"/>
      <c r="R152" s="2149"/>
      <c r="S152" s="2149"/>
      <c r="T152" s="2149"/>
      <c r="U152" s="2149"/>
      <c r="V152" s="2149"/>
      <c r="W152" s="2149"/>
      <c r="X152" s="2149"/>
      <c r="Y152" s="2149"/>
      <c r="Z152" s="2149"/>
      <c r="AA152" s="2149"/>
      <c r="AB152" s="2149"/>
      <c r="AC152" s="2149"/>
      <c r="AD152" s="2149"/>
      <c r="AE152" s="2149"/>
      <c r="AF152" s="2149"/>
      <c r="AG152" s="2149"/>
      <c r="AH152" s="2149"/>
      <c r="AI152" s="2149"/>
      <c r="AJ152" s="2149"/>
      <c r="AK152" s="2149"/>
      <c r="AL152" s="2149"/>
      <c r="AM152" s="2149"/>
      <c r="AN152" s="2149"/>
      <c r="AO152" s="2149"/>
      <c r="AP152" s="2149"/>
      <c r="AQ152" s="2149"/>
      <c r="AR152" s="2149"/>
      <c r="AS152" s="2149"/>
      <c r="AT152" s="2149"/>
      <c r="AU152" s="2149"/>
      <c r="AV152" s="2149"/>
      <c r="AW152" s="2149"/>
      <c r="AX152" s="2150"/>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8" t="s">
        <v>2349</v>
      </c>
      <c r="C156" s="2009"/>
      <c r="D156" s="2009"/>
      <c r="E156" s="2009"/>
      <c r="F156" s="2009"/>
      <c r="G156" s="2009"/>
      <c r="H156" s="2009"/>
      <c r="I156" s="2009"/>
      <c r="J156" s="2009"/>
      <c r="K156" s="2009"/>
      <c r="L156" s="2009"/>
      <c r="M156" s="2009"/>
      <c r="N156" s="2009"/>
      <c r="O156" s="2009"/>
      <c r="P156" s="2009"/>
      <c r="Q156" s="2009"/>
      <c r="R156" s="2009"/>
      <c r="S156" s="2009"/>
      <c r="T156" s="2009"/>
      <c r="U156" s="2010"/>
      <c r="V156" s="1190"/>
      <c r="W156" s="1192"/>
      <c r="X156" s="2008" t="s">
        <v>2348</v>
      </c>
      <c r="Y156" s="2009"/>
      <c r="Z156" s="2009"/>
      <c r="AA156" s="2009"/>
      <c r="AB156" s="2009"/>
      <c r="AC156" s="2009"/>
      <c r="AD156" s="2009"/>
      <c r="AE156" s="2009"/>
      <c r="AF156" s="2009"/>
      <c r="AG156" s="2009"/>
      <c r="AH156" s="2009"/>
      <c r="AI156" s="2009"/>
      <c r="AJ156" s="2009"/>
      <c r="AK156" s="2009"/>
      <c r="AL156" s="2009"/>
      <c r="AM156" s="2009"/>
      <c r="AN156" s="2009"/>
      <c r="AO156" s="2009"/>
      <c r="AP156" s="2009"/>
      <c r="AQ156" s="2010"/>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3"/>
      <c r="C157" s="2154"/>
      <c r="D157" s="2154"/>
      <c r="E157" s="2154"/>
      <c r="F157" s="2154"/>
      <c r="G157" s="2154"/>
      <c r="H157" s="2154"/>
      <c r="I157" s="2155" t="s">
        <v>2346</v>
      </c>
      <c r="J157" s="2155"/>
      <c r="K157" s="2155"/>
      <c r="L157" s="2155"/>
      <c r="M157" s="2155"/>
      <c r="N157" s="2155"/>
      <c r="O157" s="2155"/>
      <c r="P157" s="2155" t="s">
        <v>2347</v>
      </c>
      <c r="Q157" s="2155"/>
      <c r="R157" s="2155"/>
      <c r="S157" s="2155"/>
      <c r="T157" s="2155"/>
      <c r="U157" s="2156"/>
      <c r="V157" s="1190"/>
      <c r="W157" s="1190"/>
      <c r="X157" s="2153"/>
      <c r="Y157" s="2154"/>
      <c r="Z157" s="2154"/>
      <c r="AA157" s="2154"/>
      <c r="AB157" s="2154"/>
      <c r="AC157" s="2154"/>
      <c r="AD157" s="2154"/>
      <c r="AE157" s="2155" t="s">
        <v>2346</v>
      </c>
      <c r="AF157" s="2155"/>
      <c r="AG157" s="2155"/>
      <c r="AH157" s="2155"/>
      <c r="AI157" s="2155"/>
      <c r="AJ157" s="2155"/>
      <c r="AK157" s="2155"/>
      <c r="AL157" s="2155" t="s">
        <v>2345</v>
      </c>
      <c r="AM157" s="2155"/>
      <c r="AN157" s="2155"/>
      <c r="AO157" s="2155"/>
      <c r="AP157" s="2155"/>
      <c r="AQ157" s="2156"/>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3"/>
      <c r="C158" s="2154"/>
      <c r="D158" s="2154"/>
      <c r="E158" s="2154"/>
      <c r="F158" s="2154"/>
      <c r="G158" s="2154"/>
      <c r="H158" s="2154"/>
      <c r="I158" s="2155"/>
      <c r="J158" s="2155"/>
      <c r="K158" s="2155"/>
      <c r="L158" s="2155"/>
      <c r="M158" s="2155"/>
      <c r="N158" s="2155"/>
      <c r="O158" s="2155"/>
      <c r="P158" s="2155"/>
      <c r="Q158" s="2155"/>
      <c r="R158" s="2155"/>
      <c r="S158" s="2155"/>
      <c r="T158" s="2155"/>
      <c r="U158" s="2156"/>
      <c r="V158" s="1190"/>
      <c r="W158" s="1190"/>
      <c r="X158" s="2153"/>
      <c r="Y158" s="2154"/>
      <c r="Z158" s="2154"/>
      <c r="AA158" s="2154"/>
      <c r="AB158" s="2154"/>
      <c r="AC158" s="2154"/>
      <c r="AD158" s="2154"/>
      <c r="AE158" s="2155"/>
      <c r="AF158" s="2155"/>
      <c r="AG158" s="2155"/>
      <c r="AH158" s="2155"/>
      <c r="AI158" s="2155"/>
      <c r="AJ158" s="2155"/>
      <c r="AK158" s="2155"/>
      <c r="AL158" s="2155"/>
      <c r="AM158" s="2155"/>
      <c r="AN158" s="2155"/>
      <c r="AO158" s="2155"/>
      <c r="AP158" s="2155"/>
      <c r="AQ158" s="2156"/>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1" t="s">
        <v>2344</v>
      </c>
      <c r="C159" s="2112"/>
      <c r="D159" s="2112"/>
      <c r="E159" s="2112"/>
      <c r="F159" s="2112"/>
      <c r="G159" s="2112"/>
      <c r="H159" s="2112"/>
      <c r="I159" s="2088">
        <v>0</v>
      </c>
      <c r="J159" s="2088"/>
      <c r="K159" s="2088"/>
      <c r="L159" s="2088"/>
      <c r="M159" s="2088"/>
      <c r="N159" s="2088"/>
      <c r="O159" s="2088"/>
      <c r="P159" s="2088">
        <v>0</v>
      </c>
      <c r="Q159" s="2088"/>
      <c r="R159" s="2088"/>
      <c r="S159" s="2088"/>
      <c r="T159" s="2088"/>
      <c r="U159" s="2089"/>
      <c r="V159" s="1190"/>
      <c r="W159" s="1190"/>
      <c r="X159" s="2113" t="s">
        <v>2344</v>
      </c>
      <c r="Y159" s="2114"/>
      <c r="Z159" s="2114"/>
      <c r="AA159" s="2114"/>
      <c r="AB159" s="2114"/>
      <c r="AC159" s="2114"/>
      <c r="AD159" s="2114"/>
      <c r="AE159" s="2103">
        <v>0</v>
      </c>
      <c r="AF159" s="2103"/>
      <c r="AG159" s="2103"/>
      <c r="AH159" s="2103"/>
      <c r="AI159" s="2103"/>
      <c r="AJ159" s="2103"/>
      <c r="AK159" s="2103"/>
      <c r="AL159" s="2103">
        <v>0</v>
      </c>
      <c r="AM159" s="2103"/>
      <c r="AN159" s="2103"/>
      <c r="AO159" s="2103"/>
      <c r="AP159" s="2103"/>
      <c r="AQ159" s="2104"/>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3" t="s">
        <v>2343</v>
      </c>
      <c r="C160" s="2114"/>
      <c r="D160" s="2114"/>
      <c r="E160" s="2114"/>
      <c r="F160" s="2114"/>
      <c r="G160" s="2114"/>
      <c r="H160" s="2114"/>
      <c r="I160" s="2103">
        <v>0</v>
      </c>
      <c r="J160" s="2103"/>
      <c r="K160" s="2103"/>
      <c r="L160" s="2103"/>
      <c r="M160" s="2103"/>
      <c r="N160" s="2103"/>
      <c r="O160" s="2103"/>
      <c r="P160" s="2103">
        <v>0</v>
      </c>
      <c r="Q160" s="2103"/>
      <c r="R160" s="2103"/>
      <c r="S160" s="2103"/>
      <c r="T160" s="2103"/>
      <c r="U160" s="2104"/>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8" t="s">
        <v>2342</v>
      </c>
      <c r="D162" s="2009"/>
      <c r="E162" s="2009"/>
      <c r="F162" s="2009"/>
      <c r="G162" s="2009"/>
      <c r="H162" s="2009"/>
      <c r="I162" s="2009"/>
      <c r="J162" s="2009"/>
      <c r="K162" s="2009"/>
      <c r="L162" s="2009"/>
      <c r="M162" s="2009"/>
      <c r="N162" s="2009"/>
      <c r="O162" s="2009"/>
      <c r="P162" s="2009"/>
      <c r="Q162" s="2009"/>
      <c r="R162" s="2009"/>
      <c r="S162" s="2009"/>
      <c r="T162" s="2009"/>
      <c r="U162" s="2009"/>
      <c r="V162" s="2009"/>
      <c r="W162" s="2009"/>
      <c r="X162" s="2009"/>
      <c r="Y162" s="2009"/>
      <c r="Z162" s="2009"/>
      <c r="AA162" s="2009"/>
      <c r="AB162" s="2009"/>
      <c r="AC162" s="2009"/>
      <c r="AD162" s="2009"/>
      <c r="AE162" s="2009"/>
      <c r="AF162" s="2009"/>
      <c r="AG162" s="2010"/>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3" t="s">
        <v>2327</v>
      </c>
      <c r="D163" s="2154"/>
      <c r="E163" s="2154"/>
      <c r="F163" s="2154"/>
      <c r="G163" s="2154"/>
      <c r="H163" s="2154"/>
      <c r="I163" s="2154"/>
      <c r="J163" s="2154"/>
      <c r="K163" s="2154"/>
      <c r="L163" s="2154"/>
      <c r="M163" s="2154"/>
      <c r="N163" s="2154"/>
      <c r="O163" s="2154"/>
      <c r="P163" s="2154"/>
      <c r="Q163" s="2154" t="s">
        <v>2341</v>
      </c>
      <c r="R163" s="2154"/>
      <c r="S163" s="2154"/>
      <c r="T163" s="2099" t="s">
        <v>2340</v>
      </c>
      <c r="U163" s="2099"/>
      <c r="V163" s="2099"/>
      <c r="W163" s="2099"/>
      <c r="X163" s="2099"/>
      <c r="Y163" s="2099"/>
      <c r="Z163" s="2099"/>
      <c r="AA163" s="2099"/>
      <c r="AB163" s="2154" t="s">
        <v>2339</v>
      </c>
      <c r="AC163" s="2154"/>
      <c r="AD163" s="2154"/>
      <c r="AE163" s="2154"/>
      <c r="AF163" s="2154"/>
      <c r="AG163" s="2162"/>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7" t="s">
        <v>2338</v>
      </c>
      <c r="D164" s="2158"/>
      <c r="E164" s="2158"/>
      <c r="F164" s="2158"/>
      <c r="G164" s="2158"/>
      <c r="H164" s="2158"/>
      <c r="I164" s="2158"/>
      <c r="J164" s="2158"/>
      <c r="K164" s="2158"/>
      <c r="L164" s="2158"/>
      <c r="M164" s="2158"/>
      <c r="N164" s="2158"/>
      <c r="O164" s="2158"/>
      <c r="P164" s="2158"/>
      <c r="Q164" s="2159">
        <v>55</v>
      </c>
      <c r="R164" s="2159"/>
      <c r="S164" s="2159"/>
      <c r="T164" s="2160"/>
      <c r="U164" s="2160"/>
      <c r="V164" s="2160"/>
      <c r="W164" s="2160"/>
      <c r="X164" s="2160"/>
      <c r="Y164" s="2160"/>
      <c r="Z164" s="2160"/>
      <c r="AA164" s="2160"/>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7" t="s">
        <v>2337</v>
      </c>
      <c r="D165" s="2158"/>
      <c r="E165" s="2158"/>
      <c r="F165" s="2158"/>
      <c r="G165" s="2158"/>
      <c r="H165" s="2158"/>
      <c r="I165" s="2158"/>
      <c r="J165" s="2158"/>
      <c r="K165" s="2158"/>
      <c r="L165" s="2158"/>
      <c r="M165" s="2158"/>
      <c r="N165" s="2158"/>
      <c r="O165" s="2158"/>
      <c r="P165" s="2158"/>
      <c r="Q165" s="2159">
        <v>55</v>
      </c>
      <c r="R165" s="2159"/>
      <c r="S165" s="2159"/>
      <c r="T165" s="2161"/>
      <c r="U165" s="2161"/>
      <c r="V165" s="2161"/>
      <c r="W165" s="2161"/>
      <c r="X165" s="2161"/>
      <c r="Y165" s="2161"/>
      <c r="Z165" s="2161"/>
      <c r="AA165" s="2161"/>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7" t="s">
        <v>2336</v>
      </c>
      <c r="D166" s="2158"/>
      <c r="E166" s="2158"/>
      <c r="F166" s="2158"/>
      <c r="G166" s="2158"/>
      <c r="H166" s="2158"/>
      <c r="I166" s="2158"/>
      <c r="J166" s="2158"/>
      <c r="K166" s="2158"/>
      <c r="L166" s="2158"/>
      <c r="M166" s="2158"/>
      <c r="N166" s="2158"/>
      <c r="O166" s="2158"/>
      <c r="P166" s="2158"/>
      <c r="Q166" s="2159">
        <v>55</v>
      </c>
      <c r="R166" s="2159"/>
      <c r="S166" s="2159"/>
      <c r="T166" s="2160"/>
      <c r="U166" s="2160"/>
      <c r="V166" s="2160"/>
      <c r="W166" s="2160"/>
      <c r="X166" s="2160"/>
      <c r="Y166" s="2160"/>
      <c r="Z166" s="2160"/>
      <c r="AA166" s="2160"/>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7" t="s">
        <v>2335</v>
      </c>
      <c r="D167" s="2158"/>
      <c r="E167" s="2158"/>
      <c r="F167" s="2158"/>
      <c r="G167" s="2158"/>
      <c r="H167" s="2158"/>
      <c r="I167" s="2158"/>
      <c r="J167" s="2158"/>
      <c r="K167" s="2158"/>
      <c r="L167" s="2158"/>
      <c r="M167" s="2158"/>
      <c r="N167" s="2158"/>
      <c r="O167" s="2158"/>
      <c r="P167" s="2158"/>
      <c r="Q167" s="2159">
        <v>55</v>
      </c>
      <c r="R167" s="2159"/>
      <c r="S167" s="2159"/>
      <c r="T167" s="2160"/>
      <c r="U167" s="2160"/>
      <c r="V167" s="2160"/>
      <c r="W167" s="2160"/>
      <c r="X167" s="2160"/>
      <c r="Y167" s="2160"/>
      <c r="Z167" s="2160"/>
      <c r="AA167" s="2160"/>
      <c r="AB167" s="2163">
        <v>0</v>
      </c>
      <c r="AC167" s="2163"/>
      <c r="AD167" s="2163"/>
      <c r="AE167" s="2163"/>
      <c r="AF167" s="2163"/>
      <c r="AG167" s="2164"/>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7" t="s">
        <v>170</v>
      </c>
      <c r="D168" s="2158"/>
      <c r="E168" s="2158"/>
      <c r="F168" s="2165" t="s">
        <v>2316</v>
      </c>
      <c r="G168" s="2165"/>
      <c r="H168" s="2165"/>
      <c r="I168" s="2165"/>
      <c r="J168" s="2165"/>
      <c r="K168" s="2165"/>
      <c r="L168" s="2165"/>
      <c r="M168" s="2165"/>
      <c r="N168" s="2165"/>
      <c r="O168" s="2165"/>
      <c r="P168" s="2165"/>
      <c r="Q168" s="2159">
        <v>55</v>
      </c>
      <c r="R168" s="2159"/>
      <c r="S168" s="2159"/>
      <c r="T168" s="2161"/>
      <c r="U168" s="2161"/>
      <c r="V168" s="2161"/>
      <c r="W168" s="2161"/>
      <c r="X168" s="2161"/>
      <c r="Y168" s="2161"/>
      <c r="Z168" s="2161"/>
      <c r="AA168" s="2161"/>
      <c r="AB168" s="2163">
        <v>0</v>
      </c>
      <c r="AC168" s="2163"/>
      <c r="AD168" s="2163"/>
      <c r="AE168" s="2163"/>
      <c r="AF168" s="2163"/>
      <c r="AG168" s="2164"/>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7" t="s">
        <v>170</v>
      </c>
      <c r="D169" s="2158"/>
      <c r="E169" s="2158"/>
      <c r="F169" s="2165" t="s">
        <v>2316</v>
      </c>
      <c r="G169" s="2165"/>
      <c r="H169" s="2165"/>
      <c r="I169" s="2165"/>
      <c r="J169" s="2165"/>
      <c r="K169" s="2165"/>
      <c r="L169" s="2165"/>
      <c r="M169" s="2165"/>
      <c r="N169" s="2165"/>
      <c r="O169" s="2165"/>
      <c r="P169" s="2165"/>
      <c r="Q169" s="2159">
        <v>55</v>
      </c>
      <c r="R169" s="2159"/>
      <c r="S169" s="2159"/>
      <c r="T169" s="2161"/>
      <c r="U169" s="2161"/>
      <c r="V169" s="2161"/>
      <c r="W169" s="2161"/>
      <c r="X169" s="2161"/>
      <c r="Y169" s="2161"/>
      <c r="Z169" s="2161"/>
      <c r="AA169" s="2161"/>
      <c r="AB169" s="2163">
        <v>0</v>
      </c>
      <c r="AC169" s="2163"/>
      <c r="AD169" s="2163"/>
      <c r="AE169" s="2163"/>
      <c r="AF169" s="2163"/>
      <c r="AG169" s="2164"/>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6" t="s">
        <v>170</v>
      </c>
      <c r="D170" s="2167"/>
      <c r="E170" s="2167"/>
      <c r="F170" s="2168" t="s">
        <v>2316</v>
      </c>
      <c r="G170" s="2168"/>
      <c r="H170" s="2168"/>
      <c r="I170" s="2168"/>
      <c r="J170" s="2168"/>
      <c r="K170" s="2168"/>
      <c r="L170" s="2168"/>
      <c r="M170" s="2168"/>
      <c r="N170" s="2168"/>
      <c r="O170" s="2168"/>
      <c r="P170" s="2168"/>
      <c r="Q170" s="2169">
        <v>55</v>
      </c>
      <c r="R170" s="2169"/>
      <c r="S170" s="2169"/>
      <c r="T170" s="2170"/>
      <c r="U170" s="2170"/>
      <c r="V170" s="2170"/>
      <c r="W170" s="2170"/>
      <c r="X170" s="2170"/>
      <c r="Y170" s="2170"/>
      <c r="Z170" s="2170"/>
      <c r="AA170" s="2170"/>
      <c r="AB170" s="2171">
        <v>0</v>
      </c>
      <c r="AC170" s="2171"/>
      <c r="AD170" s="2171"/>
      <c r="AE170" s="2171"/>
      <c r="AF170" s="2171"/>
      <c r="AG170" s="2172"/>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7" t="s">
        <v>2334</v>
      </c>
      <c r="D172" s="2058"/>
      <c r="E172" s="2058"/>
      <c r="F172" s="2058"/>
      <c r="G172" s="2058"/>
      <c r="H172" s="2058"/>
      <c r="I172" s="2058"/>
      <c r="J172" s="2058"/>
      <c r="K172" s="2058"/>
      <c r="L172" s="2058"/>
      <c r="M172" s="2058"/>
      <c r="N172" s="2108"/>
      <c r="O172" s="1190"/>
      <c r="P172" s="2173" t="s">
        <v>2333</v>
      </c>
      <c r="Q172" s="2174"/>
      <c r="R172" s="2174"/>
      <c r="S172" s="2174"/>
      <c r="T172" s="2174"/>
      <c r="U172" s="2174"/>
      <c r="V172" s="2174"/>
      <c r="W172" s="2174"/>
      <c r="X172" s="2174"/>
      <c r="Y172" s="2174"/>
      <c r="Z172" s="2174"/>
      <c r="AA172" s="2174"/>
      <c r="AB172" s="2174"/>
      <c r="AC172" s="2174"/>
      <c r="AD172" s="2174"/>
      <c r="AE172" s="2174"/>
      <c r="AF172" s="2174"/>
      <c r="AG172" s="2174"/>
      <c r="AH172" s="2174"/>
      <c r="AI172" s="2174"/>
      <c r="AJ172" s="2174"/>
      <c r="AK172" s="2174"/>
      <c r="AL172" s="2174"/>
      <c r="AM172" s="2174"/>
      <c r="AN172" s="2174"/>
      <c r="AO172" s="2175"/>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3" t="s">
        <v>2332</v>
      </c>
      <c r="D173" s="2154"/>
      <c r="E173" s="2154"/>
      <c r="F173" s="2154"/>
      <c r="G173" s="2154"/>
      <c r="H173" s="2154"/>
      <c r="I173" s="2154" t="s">
        <v>2331</v>
      </c>
      <c r="J173" s="2154"/>
      <c r="K173" s="2154"/>
      <c r="L173" s="2154"/>
      <c r="M173" s="2154"/>
      <c r="N173" s="2162"/>
      <c r="O173" s="1190"/>
      <c r="P173" s="2077" t="s">
        <v>2330</v>
      </c>
      <c r="Q173" s="2078"/>
      <c r="R173" s="2078"/>
      <c r="S173" s="2078"/>
      <c r="T173" s="2078"/>
      <c r="U173" s="2078"/>
      <c r="V173" s="2078"/>
      <c r="W173" s="2078"/>
      <c r="X173" s="2078"/>
      <c r="Y173" s="2078"/>
      <c r="Z173" s="2078"/>
      <c r="AA173" s="2078"/>
      <c r="AB173" s="2078"/>
      <c r="AC173" s="2078"/>
      <c r="AD173" s="2078"/>
      <c r="AE173" s="2078"/>
      <c r="AF173" s="2078"/>
      <c r="AG173" s="2078"/>
      <c r="AH173" s="2078"/>
      <c r="AI173" s="2078"/>
      <c r="AJ173" s="2078"/>
      <c r="AK173" s="2078"/>
      <c r="AL173" s="2078"/>
      <c r="AM173" s="2078"/>
      <c r="AN173" s="2078"/>
      <c r="AO173" s="2079"/>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3"/>
      <c r="D174" s="2015"/>
      <c r="E174" s="2015"/>
      <c r="F174" s="2015"/>
      <c r="G174" s="2015"/>
      <c r="H174" s="2015"/>
      <c r="I174" s="2160"/>
      <c r="J174" s="2160"/>
      <c r="K174" s="2160"/>
      <c r="L174" s="2160"/>
      <c r="M174" s="2160"/>
      <c r="N174" s="2176"/>
      <c r="O174" s="1190"/>
      <c r="P174" s="2077"/>
      <c r="Q174" s="2078"/>
      <c r="R174" s="2078"/>
      <c r="S174" s="2078"/>
      <c r="T174" s="2078"/>
      <c r="U174" s="2078"/>
      <c r="V174" s="2078"/>
      <c r="W174" s="2078"/>
      <c r="X174" s="2078"/>
      <c r="Y174" s="2078"/>
      <c r="Z174" s="2078"/>
      <c r="AA174" s="2078"/>
      <c r="AB174" s="2078"/>
      <c r="AC174" s="2078"/>
      <c r="AD174" s="2078"/>
      <c r="AE174" s="2078"/>
      <c r="AF174" s="2078"/>
      <c r="AG174" s="2078"/>
      <c r="AH174" s="2078"/>
      <c r="AI174" s="2078"/>
      <c r="AJ174" s="2078"/>
      <c r="AK174" s="2078"/>
      <c r="AL174" s="2078"/>
      <c r="AM174" s="2078"/>
      <c r="AN174" s="2078"/>
      <c r="AO174" s="2079"/>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3"/>
      <c r="D175" s="2015"/>
      <c r="E175" s="2015"/>
      <c r="F175" s="2015"/>
      <c r="G175" s="2015"/>
      <c r="H175" s="2015"/>
      <c r="I175" s="2160"/>
      <c r="J175" s="2160"/>
      <c r="K175" s="2160"/>
      <c r="L175" s="2160"/>
      <c r="M175" s="2160"/>
      <c r="N175" s="2176"/>
      <c r="O175" s="1190"/>
      <c r="P175" s="2077"/>
      <c r="Q175" s="2078"/>
      <c r="R175" s="2078"/>
      <c r="S175" s="2078"/>
      <c r="T175" s="2078"/>
      <c r="U175" s="2078"/>
      <c r="V175" s="2078"/>
      <c r="W175" s="2078"/>
      <c r="X175" s="2078"/>
      <c r="Y175" s="2078"/>
      <c r="Z175" s="2078"/>
      <c r="AA175" s="2078"/>
      <c r="AB175" s="2078"/>
      <c r="AC175" s="2078"/>
      <c r="AD175" s="2078"/>
      <c r="AE175" s="2078"/>
      <c r="AF175" s="2078"/>
      <c r="AG175" s="2078"/>
      <c r="AH175" s="2078"/>
      <c r="AI175" s="2078"/>
      <c r="AJ175" s="2078"/>
      <c r="AK175" s="2078"/>
      <c r="AL175" s="2078"/>
      <c r="AM175" s="2078"/>
      <c r="AN175" s="2078"/>
      <c r="AO175" s="2079"/>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3"/>
      <c r="D176" s="2015"/>
      <c r="E176" s="2015"/>
      <c r="F176" s="2015"/>
      <c r="G176" s="2015"/>
      <c r="H176" s="2015"/>
      <c r="I176" s="2160"/>
      <c r="J176" s="2160"/>
      <c r="K176" s="2160"/>
      <c r="L176" s="2160"/>
      <c r="M176" s="2160"/>
      <c r="N176" s="2176"/>
      <c r="O176" s="1190"/>
      <c r="P176" s="2077"/>
      <c r="Q176" s="2078"/>
      <c r="R176" s="2078"/>
      <c r="S176" s="2078"/>
      <c r="T176" s="2078"/>
      <c r="U176" s="2078"/>
      <c r="V176" s="2078"/>
      <c r="W176" s="2078"/>
      <c r="X176" s="2078"/>
      <c r="Y176" s="2078"/>
      <c r="Z176" s="2078"/>
      <c r="AA176" s="2078"/>
      <c r="AB176" s="2078"/>
      <c r="AC176" s="2078"/>
      <c r="AD176" s="2078"/>
      <c r="AE176" s="2078"/>
      <c r="AF176" s="2078"/>
      <c r="AG176" s="2078"/>
      <c r="AH176" s="2078"/>
      <c r="AI176" s="2078"/>
      <c r="AJ176" s="2078"/>
      <c r="AK176" s="2078"/>
      <c r="AL176" s="2078"/>
      <c r="AM176" s="2078"/>
      <c r="AN176" s="2078"/>
      <c r="AO176" s="2079"/>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3"/>
      <c r="D177" s="2015"/>
      <c r="E177" s="2015"/>
      <c r="F177" s="2015"/>
      <c r="G177" s="2015"/>
      <c r="H177" s="2015"/>
      <c r="I177" s="2160"/>
      <c r="J177" s="2160"/>
      <c r="K177" s="2160"/>
      <c r="L177" s="2160"/>
      <c r="M177" s="2160"/>
      <c r="N177" s="2176"/>
      <c r="O177" s="1190"/>
      <c r="P177" s="2077"/>
      <c r="Q177" s="2078"/>
      <c r="R177" s="2078"/>
      <c r="S177" s="2078"/>
      <c r="T177" s="2078"/>
      <c r="U177" s="2078"/>
      <c r="V177" s="2078"/>
      <c r="W177" s="2078"/>
      <c r="X177" s="2078"/>
      <c r="Y177" s="2078"/>
      <c r="Z177" s="2078"/>
      <c r="AA177" s="2078"/>
      <c r="AB177" s="2078"/>
      <c r="AC177" s="2078"/>
      <c r="AD177" s="2078"/>
      <c r="AE177" s="2078"/>
      <c r="AF177" s="2078"/>
      <c r="AG177" s="2078"/>
      <c r="AH177" s="2078"/>
      <c r="AI177" s="2078"/>
      <c r="AJ177" s="2078"/>
      <c r="AK177" s="2078"/>
      <c r="AL177" s="2078"/>
      <c r="AM177" s="2078"/>
      <c r="AN177" s="2078"/>
      <c r="AO177" s="2079"/>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3"/>
      <c r="D178" s="2015"/>
      <c r="E178" s="2015"/>
      <c r="F178" s="2015"/>
      <c r="G178" s="2015"/>
      <c r="H178" s="2015"/>
      <c r="I178" s="2160"/>
      <c r="J178" s="2160"/>
      <c r="K178" s="2160"/>
      <c r="L178" s="2160"/>
      <c r="M178" s="2160"/>
      <c r="N178" s="2176"/>
      <c r="O178" s="1190"/>
      <c r="P178" s="2077"/>
      <c r="Q178" s="2078"/>
      <c r="R178" s="2078"/>
      <c r="S178" s="2078"/>
      <c r="T178" s="2078"/>
      <c r="U178" s="2078"/>
      <c r="V178" s="2078"/>
      <c r="W178" s="2078"/>
      <c r="X178" s="2078"/>
      <c r="Y178" s="2078"/>
      <c r="Z178" s="2078"/>
      <c r="AA178" s="2078"/>
      <c r="AB178" s="2078"/>
      <c r="AC178" s="2078"/>
      <c r="AD178" s="2078"/>
      <c r="AE178" s="2078"/>
      <c r="AF178" s="2078"/>
      <c r="AG178" s="2078"/>
      <c r="AH178" s="2078"/>
      <c r="AI178" s="2078"/>
      <c r="AJ178" s="2078"/>
      <c r="AK178" s="2078"/>
      <c r="AL178" s="2078"/>
      <c r="AM178" s="2078"/>
      <c r="AN178" s="2078"/>
      <c r="AO178" s="2079"/>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3"/>
      <c r="D179" s="2015"/>
      <c r="E179" s="2015"/>
      <c r="F179" s="2015"/>
      <c r="G179" s="2015"/>
      <c r="H179" s="2015"/>
      <c r="I179" s="2160"/>
      <c r="J179" s="2160"/>
      <c r="K179" s="2160"/>
      <c r="L179" s="2160"/>
      <c r="M179" s="2160"/>
      <c r="N179" s="2176"/>
      <c r="O179" s="1190"/>
      <c r="P179" s="2077"/>
      <c r="Q179" s="2078"/>
      <c r="R179" s="2078"/>
      <c r="S179" s="2078"/>
      <c r="T179" s="2078"/>
      <c r="U179" s="2078"/>
      <c r="V179" s="2078"/>
      <c r="W179" s="2078"/>
      <c r="X179" s="2078"/>
      <c r="Y179" s="2078"/>
      <c r="Z179" s="2078"/>
      <c r="AA179" s="2078"/>
      <c r="AB179" s="2078"/>
      <c r="AC179" s="2078"/>
      <c r="AD179" s="2078"/>
      <c r="AE179" s="2078"/>
      <c r="AF179" s="2078"/>
      <c r="AG179" s="2078"/>
      <c r="AH179" s="2078"/>
      <c r="AI179" s="2078"/>
      <c r="AJ179" s="2078"/>
      <c r="AK179" s="2078"/>
      <c r="AL179" s="2078"/>
      <c r="AM179" s="2078"/>
      <c r="AN179" s="2078"/>
      <c r="AO179" s="2079"/>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7"/>
      <c r="D180" s="2178"/>
      <c r="E180" s="2178"/>
      <c r="F180" s="2178"/>
      <c r="G180" s="2178"/>
      <c r="H180" s="2178"/>
      <c r="I180" s="2179"/>
      <c r="J180" s="2179"/>
      <c r="K180" s="2179"/>
      <c r="L180" s="2179"/>
      <c r="M180" s="2179"/>
      <c r="N180" s="2180"/>
      <c r="O180" s="1190"/>
      <c r="P180" s="2080"/>
      <c r="Q180" s="2081"/>
      <c r="R180" s="2081"/>
      <c r="S180" s="2081"/>
      <c r="T180" s="2081"/>
      <c r="U180" s="2081"/>
      <c r="V180" s="2081"/>
      <c r="W180" s="2081"/>
      <c r="X180" s="2081"/>
      <c r="Y180" s="2081"/>
      <c r="Z180" s="2081"/>
      <c r="AA180" s="2081"/>
      <c r="AB180" s="2081"/>
      <c r="AC180" s="2081"/>
      <c r="AD180" s="2081"/>
      <c r="AE180" s="2081"/>
      <c r="AF180" s="2081"/>
      <c r="AG180" s="2081"/>
      <c r="AH180" s="2081"/>
      <c r="AI180" s="2081"/>
      <c r="AJ180" s="2081"/>
      <c r="AK180" s="2081"/>
      <c r="AL180" s="2081"/>
      <c r="AM180" s="2081"/>
      <c r="AN180" s="2081"/>
      <c r="AO180" s="2082"/>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4" t="s">
        <v>2329</v>
      </c>
      <c r="D182" s="2185"/>
      <c r="E182" s="2185"/>
      <c r="F182" s="2185"/>
      <c r="G182" s="2185"/>
      <c r="H182" s="2185"/>
      <c r="I182" s="2185"/>
      <c r="J182" s="2185"/>
      <c r="K182" s="2185"/>
      <c r="L182" s="2185"/>
      <c r="M182" s="2185"/>
      <c r="N182" s="2185"/>
      <c r="O182" s="2185"/>
      <c r="P182" s="2185"/>
      <c r="Q182" s="2185"/>
      <c r="R182" s="2185"/>
      <c r="S182" s="2185"/>
      <c r="T182" s="2185"/>
      <c r="U182" s="2185"/>
      <c r="V182" s="2185"/>
      <c r="W182" s="2185"/>
      <c r="X182" s="2185"/>
      <c r="Y182" s="2185"/>
      <c r="Z182" s="2185"/>
      <c r="AA182" s="2185"/>
      <c r="AB182" s="2185"/>
      <c r="AC182" s="2185"/>
      <c r="AD182" s="2185"/>
      <c r="AE182" s="2186"/>
      <c r="AF182" s="1190"/>
      <c r="AG182" s="1190"/>
      <c r="AH182" s="2194"/>
      <c r="AI182" s="2194"/>
      <c r="AJ182" s="2194"/>
      <c r="AK182" s="2194"/>
      <c r="AL182" s="2194"/>
      <c r="AM182" s="2194"/>
      <c r="AN182" s="2194"/>
      <c r="AO182" s="2194"/>
      <c r="AP182" s="2194"/>
      <c r="AQ182" s="2194"/>
      <c r="AR182" s="2194"/>
      <c r="AS182" s="2194"/>
      <c r="AT182" s="2194"/>
      <c r="AU182" s="2194"/>
      <c r="AV182" s="2194"/>
      <c r="AW182" s="2194"/>
      <c r="AX182" s="2194"/>
      <c r="AY182" s="2194"/>
      <c r="AZ182" s="2194"/>
      <c r="BA182" s="2194"/>
      <c r="BB182" s="2194"/>
      <c r="BC182" s="2194"/>
      <c r="BD182" s="2194"/>
      <c r="BE182" s="2194"/>
    </row>
    <row r="183" spans="1:57" ht="15.75" customHeight="1" thickBot="1">
      <c r="A183" s="1190"/>
      <c r="B183" s="1190"/>
      <c r="C183" s="2187"/>
      <c r="D183" s="2188"/>
      <c r="E183" s="2188"/>
      <c r="F183" s="2188"/>
      <c r="G183" s="2188"/>
      <c r="H183" s="2188"/>
      <c r="I183" s="2188"/>
      <c r="J183" s="2188"/>
      <c r="K183" s="2188"/>
      <c r="L183" s="2188"/>
      <c r="M183" s="2188"/>
      <c r="N183" s="2188"/>
      <c r="O183" s="2188"/>
      <c r="P183" s="2188"/>
      <c r="Q183" s="2188"/>
      <c r="R183" s="2188"/>
      <c r="S183" s="2188"/>
      <c r="T183" s="2188"/>
      <c r="U183" s="2188"/>
      <c r="V183" s="2188"/>
      <c r="W183" s="2188"/>
      <c r="X183" s="2188"/>
      <c r="Y183" s="2188"/>
      <c r="Z183" s="2188"/>
      <c r="AA183" s="2188"/>
      <c r="AB183" s="2188"/>
      <c r="AC183" s="2188"/>
      <c r="AD183" s="2188"/>
      <c r="AE183" s="2189"/>
      <c r="AF183" s="1190"/>
      <c r="AG183" s="1190"/>
      <c r="AH183" s="2194"/>
      <c r="AI183" s="2194"/>
      <c r="AJ183" s="2194"/>
      <c r="AK183" s="2194"/>
      <c r="AL183" s="2194"/>
      <c r="AM183" s="2194"/>
      <c r="AN183" s="2194"/>
      <c r="AO183" s="2194"/>
      <c r="AP183" s="2194"/>
      <c r="AQ183" s="2194"/>
      <c r="AR183" s="2194"/>
      <c r="AS183" s="2194"/>
      <c r="AT183" s="2194"/>
      <c r="AU183" s="2194"/>
      <c r="AV183" s="2194"/>
      <c r="AW183" s="2194"/>
      <c r="AX183" s="2194"/>
      <c r="AY183" s="2194"/>
      <c r="AZ183" s="2194"/>
      <c r="BA183" s="2194"/>
      <c r="BB183" s="2194"/>
      <c r="BC183" s="2194"/>
      <c r="BD183" s="2194"/>
      <c r="BE183" s="2194"/>
    </row>
    <row r="184" spans="1:57" ht="15.75" customHeight="1">
      <c r="A184" s="1190"/>
      <c r="B184" s="1190"/>
      <c r="C184" s="2057" t="s">
        <v>2327</v>
      </c>
      <c r="D184" s="2058"/>
      <c r="E184" s="2058"/>
      <c r="F184" s="2058"/>
      <c r="G184" s="2058"/>
      <c r="H184" s="2058"/>
      <c r="I184" s="2058"/>
      <c r="J184" s="2058"/>
      <c r="K184" s="2058"/>
      <c r="L184" s="2058"/>
      <c r="M184" s="2058"/>
      <c r="N184" s="2058" t="s">
        <v>2328</v>
      </c>
      <c r="O184" s="2058"/>
      <c r="P184" s="2058"/>
      <c r="Q184" s="2058"/>
      <c r="R184" s="2058"/>
      <c r="S184" s="2058"/>
      <c r="T184" s="2058"/>
      <c r="U184" s="2009" t="s">
        <v>2327</v>
      </c>
      <c r="V184" s="2009"/>
      <c r="W184" s="2009"/>
      <c r="X184" s="2009"/>
      <c r="Y184" s="2009"/>
      <c r="Z184" s="2009"/>
      <c r="AA184" s="2009"/>
      <c r="AB184" s="2009"/>
      <c r="AC184" s="2009"/>
      <c r="AD184" s="2009"/>
      <c r="AE184" s="2010"/>
      <c r="AF184" s="1190"/>
      <c r="AG184" s="1190"/>
      <c r="AH184" s="2194"/>
      <c r="AI184" s="2194"/>
      <c r="AJ184" s="2194"/>
      <c r="AK184" s="2194"/>
      <c r="AL184" s="2194"/>
      <c r="AM184" s="2194"/>
      <c r="AN184" s="2194"/>
      <c r="AO184" s="2194"/>
      <c r="AP184" s="2194"/>
      <c r="AQ184" s="2194"/>
      <c r="AR184" s="2194"/>
      <c r="AS184" s="2194"/>
      <c r="AT184" s="2194"/>
      <c r="AU184" s="2194"/>
      <c r="AV184" s="2194"/>
      <c r="AW184" s="2194"/>
      <c r="AX184" s="2194"/>
      <c r="AY184" s="2194"/>
      <c r="AZ184" s="2194"/>
      <c r="BA184" s="2194"/>
      <c r="BB184" s="2194"/>
      <c r="BC184" s="2194"/>
      <c r="BD184" s="2194"/>
      <c r="BE184" s="2194"/>
    </row>
    <row r="185" spans="1:57" ht="15.75" customHeight="1">
      <c r="A185" s="1190"/>
      <c r="B185" s="1190"/>
      <c r="C185" s="2181" t="s">
        <v>2326</v>
      </c>
      <c r="D185" s="2182"/>
      <c r="E185" s="2182"/>
      <c r="F185" s="2182"/>
      <c r="G185" s="2182"/>
      <c r="H185" s="2182"/>
      <c r="I185" s="2182"/>
      <c r="J185" s="2182"/>
      <c r="K185" s="2182"/>
      <c r="L185" s="2182"/>
      <c r="M185" s="2182"/>
      <c r="N185" s="2183">
        <f>'Sources and Uses Budget'!B105</f>
        <v>71780116</v>
      </c>
      <c r="O185" s="2183"/>
      <c r="P185" s="2183"/>
      <c r="Q185" s="2183"/>
      <c r="R185" s="2183"/>
      <c r="S185" s="2183"/>
      <c r="T185" s="2183"/>
      <c r="U185" s="2195"/>
      <c r="V185" s="2195"/>
      <c r="W185" s="2195"/>
      <c r="X185" s="2195"/>
      <c r="Y185" s="2195"/>
      <c r="Z185" s="2195"/>
      <c r="AA185" s="2195"/>
      <c r="AB185" s="2195"/>
      <c r="AC185" s="2195"/>
      <c r="AD185" s="2195"/>
      <c r="AE185" s="2196"/>
      <c r="AF185" s="1190"/>
      <c r="AG185" s="1190"/>
      <c r="AH185" s="2194"/>
      <c r="AI185" s="2194"/>
      <c r="AJ185" s="2194"/>
      <c r="AK185" s="2194"/>
      <c r="AL185" s="2194"/>
      <c r="AM185" s="2194"/>
      <c r="AN185" s="2194"/>
      <c r="AO185" s="2194"/>
      <c r="AP185" s="2194"/>
      <c r="AQ185" s="2194"/>
      <c r="AR185" s="2194"/>
      <c r="AS185" s="2194"/>
      <c r="AT185" s="2194"/>
      <c r="AU185" s="2194"/>
      <c r="AV185" s="2194"/>
      <c r="AW185" s="2194"/>
      <c r="AX185" s="2194"/>
      <c r="AY185" s="2194"/>
      <c r="AZ185" s="2194"/>
      <c r="BA185" s="2194"/>
      <c r="BB185" s="2194"/>
      <c r="BC185" s="2194"/>
      <c r="BD185" s="2194"/>
      <c r="BE185" s="2194"/>
    </row>
    <row r="186" spans="1:57" ht="15.75" customHeight="1">
      <c r="A186" s="1190"/>
      <c r="B186" s="1190"/>
      <c r="C186" s="2181" t="s">
        <v>2325</v>
      </c>
      <c r="D186" s="2182"/>
      <c r="E186" s="2182"/>
      <c r="F186" s="2182"/>
      <c r="G186" s="2182"/>
      <c r="H186" s="2182"/>
      <c r="I186" s="2182"/>
      <c r="J186" s="2182"/>
      <c r="K186" s="2182"/>
      <c r="L186" s="2182"/>
      <c r="M186" s="2182"/>
      <c r="N186" s="2183">
        <f>N185/J29</f>
        <v>505493.77464788733</v>
      </c>
      <c r="O186" s="2183"/>
      <c r="P186" s="2183"/>
      <c r="Q186" s="2183"/>
      <c r="R186" s="2183"/>
      <c r="S186" s="2183"/>
      <c r="T186" s="2183"/>
      <c r="U186" s="1228"/>
      <c r="V186" s="1228"/>
      <c r="W186" s="1228"/>
      <c r="X186" s="1228"/>
      <c r="Y186" s="1228"/>
      <c r="Z186" s="1228"/>
      <c r="AA186" s="1228"/>
      <c r="AB186" s="1228"/>
      <c r="AC186" s="1228"/>
      <c r="AD186" s="1228"/>
      <c r="AE186" s="1229"/>
      <c r="AF186" s="1190"/>
      <c r="AG186" s="1190"/>
      <c r="AH186" s="2194"/>
      <c r="AI186" s="2194"/>
      <c r="AJ186" s="2194"/>
      <c r="AK186" s="2194"/>
      <c r="AL186" s="2194"/>
      <c r="AM186" s="2194"/>
      <c r="AN186" s="2194"/>
      <c r="AO186" s="2194"/>
      <c r="AP186" s="2194"/>
      <c r="AQ186" s="2194"/>
      <c r="AR186" s="2194"/>
      <c r="AS186" s="2194"/>
      <c r="AT186" s="2194"/>
      <c r="AU186" s="2194"/>
      <c r="AV186" s="2194"/>
      <c r="AW186" s="2194"/>
      <c r="AX186" s="2194"/>
      <c r="AY186" s="2194"/>
      <c r="AZ186" s="2194"/>
      <c r="BA186" s="2194"/>
      <c r="BB186" s="2194"/>
      <c r="BC186" s="2194"/>
      <c r="BD186" s="2194"/>
      <c r="BE186" s="2194"/>
    </row>
    <row r="187" spans="1:57" ht="15.75" customHeight="1">
      <c r="A187" s="1190"/>
      <c r="B187" s="1190"/>
      <c r="C187" s="2197" t="s">
        <v>2324</v>
      </c>
      <c r="D187" s="2198"/>
      <c r="E187" s="2198"/>
      <c r="F187" s="2198"/>
      <c r="G187" s="2198"/>
      <c r="H187" s="2198"/>
      <c r="I187" s="2198"/>
      <c r="J187" s="2198"/>
      <c r="K187" s="2198"/>
      <c r="L187" s="2198"/>
      <c r="M187" s="2198"/>
      <c r="N187" s="2051">
        <v>0</v>
      </c>
      <c r="O187" s="2051"/>
      <c r="P187" s="2051"/>
      <c r="Q187" s="2051"/>
      <c r="R187" s="2051"/>
      <c r="S187" s="2051"/>
      <c r="T187" s="2051"/>
      <c r="U187" s="2027"/>
      <c r="V187" s="2027"/>
      <c r="W187" s="2027"/>
      <c r="X187" s="2027"/>
      <c r="Y187" s="2027"/>
      <c r="Z187" s="2027"/>
      <c r="AA187" s="2027"/>
      <c r="AB187" s="2027"/>
      <c r="AC187" s="2027"/>
      <c r="AD187" s="2027"/>
      <c r="AE187" s="2028"/>
      <c r="AF187" s="1190"/>
      <c r="AG187" s="1190"/>
      <c r="AH187" s="2194"/>
      <c r="AI187" s="2194"/>
      <c r="AJ187" s="2194"/>
      <c r="AK187" s="2194"/>
      <c r="AL187" s="2194"/>
      <c r="AM187" s="2194"/>
      <c r="AN187" s="2194"/>
      <c r="AO187" s="2194"/>
      <c r="AP187" s="2194"/>
      <c r="AQ187" s="2194"/>
      <c r="AR187" s="2194"/>
      <c r="AS187" s="2194"/>
      <c r="AT187" s="2194"/>
      <c r="AU187" s="2194"/>
      <c r="AV187" s="2194"/>
      <c r="AW187" s="2194"/>
      <c r="AX187" s="2194"/>
      <c r="AY187" s="2194"/>
      <c r="AZ187" s="2194"/>
      <c r="BA187" s="2194"/>
      <c r="BB187" s="2194"/>
      <c r="BC187" s="2194"/>
      <c r="BD187" s="2194"/>
      <c r="BE187" s="2194"/>
    </row>
    <row r="188" spans="1:57" ht="15.75" customHeight="1" thickBot="1">
      <c r="A188" s="1190"/>
      <c r="B188" s="1190"/>
      <c r="C188" s="2181" t="s">
        <v>2323</v>
      </c>
      <c r="D188" s="2182"/>
      <c r="E188" s="2182"/>
      <c r="F188" s="2182"/>
      <c r="G188" s="2182"/>
      <c r="H188" s="2182"/>
      <c r="I188" s="2182"/>
      <c r="J188" s="2182"/>
      <c r="K188" s="2182"/>
      <c r="L188" s="2182"/>
      <c r="M188" s="2182"/>
      <c r="N188" s="2199">
        <f>SUM('Sources and Uses Budget'!B85:B86)</f>
        <v>375869</v>
      </c>
      <c r="O188" s="2199"/>
      <c r="P188" s="2199"/>
      <c r="Q188" s="2199"/>
      <c r="R188" s="2199"/>
      <c r="S188" s="2199"/>
      <c r="T188" s="2199"/>
      <c r="U188" s="2027"/>
      <c r="V188" s="2027"/>
      <c r="W188" s="2027"/>
      <c r="X188" s="2027"/>
      <c r="Y188" s="2027"/>
      <c r="Z188" s="2027"/>
      <c r="AA188" s="2027"/>
      <c r="AB188" s="2027"/>
      <c r="AC188" s="2027"/>
      <c r="AD188" s="2027"/>
      <c r="AE188" s="2028"/>
      <c r="AF188" s="1190"/>
      <c r="AG188" s="1190"/>
      <c r="AH188" s="2194"/>
      <c r="AI188" s="2194"/>
      <c r="AJ188" s="2194"/>
      <c r="AK188" s="2194"/>
      <c r="AL188" s="2194"/>
      <c r="AM188" s="2194"/>
      <c r="AN188" s="2194"/>
      <c r="AO188" s="2194"/>
      <c r="AP188" s="2194"/>
      <c r="AQ188" s="2194"/>
      <c r="AR188" s="2194"/>
      <c r="AS188" s="2194"/>
      <c r="AT188" s="2194"/>
      <c r="AU188" s="2194"/>
      <c r="AV188" s="2194"/>
      <c r="AW188" s="2194"/>
      <c r="AX188" s="2194"/>
      <c r="AY188" s="2194"/>
      <c r="AZ188" s="2194"/>
      <c r="BA188" s="2194"/>
      <c r="BB188" s="2194"/>
      <c r="BC188" s="2194"/>
      <c r="BD188" s="2194"/>
      <c r="BE188" s="2194"/>
    </row>
    <row r="189" spans="1:57" ht="15.75" customHeight="1" thickBot="1">
      <c r="A189" s="1190"/>
      <c r="B189" s="1190"/>
      <c r="C189" s="2181" t="s">
        <v>2322</v>
      </c>
      <c r="D189" s="2182"/>
      <c r="E189" s="2182"/>
      <c r="F189" s="2182"/>
      <c r="G189" s="2182"/>
      <c r="H189" s="2182"/>
      <c r="I189" s="2182"/>
      <c r="J189" s="2182"/>
      <c r="K189" s="2182"/>
      <c r="L189" s="2182"/>
      <c r="M189" s="2182"/>
      <c r="N189" s="2199">
        <f>'Sources and Uses Budget'!B8</f>
        <v>145425</v>
      </c>
      <c r="O189" s="2199"/>
      <c r="P189" s="2199"/>
      <c r="Q189" s="2199"/>
      <c r="R189" s="2199"/>
      <c r="S189" s="2199"/>
      <c r="T189" s="2199"/>
      <c r="U189" s="2027"/>
      <c r="V189" s="2027"/>
      <c r="W189" s="2027"/>
      <c r="X189" s="2027"/>
      <c r="Y189" s="2027"/>
      <c r="Z189" s="2027"/>
      <c r="AA189" s="2027"/>
      <c r="AB189" s="2027"/>
      <c r="AC189" s="2027"/>
      <c r="AD189" s="2027"/>
      <c r="AE189" s="2028"/>
      <c r="AF189" s="1190"/>
      <c r="AG189" s="1190"/>
      <c r="AH189" s="2203" t="s">
        <v>2320</v>
      </c>
      <c r="AI189" s="2204"/>
      <c r="AJ189" s="2204"/>
      <c r="AK189" s="2204"/>
      <c r="AL189" s="2204"/>
      <c r="AM189" s="2204"/>
      <c r="AN189" s="2204"/>
      <c r="AO189" s="2204"/>
      <c r="AP189" s="2204"/>
      <c r="AQ189" s="2204"/>
      <c r="AR189" s="2204"/>
      <c r="AS189" s="2204"/>
      <c r="AT189" s="2204"/>
      <c r="AU189" s="2204"/>
      <c r="AV189" s="2204"/>
      <c r="AW189" s="2204"/>
      <c r="AX189" s="2204"/>
      <c r="AY189" s="2204"/>
      <c r="AZ189" s="2204"/>
      <c r="BA189" s="2204"/>
      <c r="BB189" s="2204"/>
      <c r="BC189" s="2204"/>
      <c r="BD189" s="2204"/>
      <c r="BE189" s="2205"/>
    </row>
    <row r="190" spans="1:57" ht="15.75" customHeight="1">
      <c r="A190" s="1190"/>
      <c r="B190" s="1190"/>
      <c r="C190" s="2181" t="s">
        <v>2321</v>
      </c>
      <c r="D190" s="2182"/>
      <c r="E190" s="2182"/>
      <c r="F190" s="2182"/>
      <c r="G190" s="2182"/>
      <c r="H190" s="2182"/>
      <c r="I190" s="2182"/>
      <c r="J190" s="2182"/>
      <c r="K190" s="2182"/>
      <c r="L190" s="2182"/>
      <c r="M190" s="2182"/>
      <c r="N190" s="2190">
        <v>0</v>
      </c>
      <c r="O190" s="2190"/>
      <c r="P190" s="2190"/>
      <c r="Q190" s="2190"/>
      <c r="R190" s="2190"/>
      <c r="S190" s="2190"/>
      <c r="T190" s="2190"/>
      <c r="U190" s="2027"/>
      <c r="V190" s="2027"/>
      <c r="W190" s="2027"/>
      <c r="X190" s="2027"/>
      <c r="Y190" s="2027"/>
      <c r="Z190" s="2027"/>
      <c r="AA190" s="2027"/>
      <c r="AB190" s="2027"/>
      <c r="AC190" s="2027"/>
      <c r="AD190" s="2027"/>
      <c r="AE190" s="2028"/>
      <c r="AF190" s="1190"/>
      <c r="AG190" s="1190"/>
      <c r="AH190" s="2206" t="s">
        <v>2320</v>
      </c>
      <c r="AI190" s="2207"/>
      <c r="AJ190" s="2207"/>
      <c r="AK190" s="2207"/>
      <c r="AL190" s="2207"/>
      <c r="AM190" s="2207"/>
      <c r="AN190" s="2207"/>
      <c r="AO190" s="2207"/>
      <c r="AP190" s="2207"/>
      <c r="AQ190" s="2207"/>
      <c r="AR190" s="2207"/>
      <c r="AS190" s="2207"/>
      <c r="AT190" s="2207"/>
      <c r="AU190" s="2208">
        <v>0</v>
      </c>
      <c r="AV190" s="2208"/>
      <c r="AW190" s="2208"/>
      <c r="AX190" s="2208"/>
      <c r="AY190" s="2208"/>
      <c r="AZ190" s="2208"/>
      <c r="BA190" s="2208"/>
      <c r="BB190" s="2208"/>
      <c r="BC190" s="2209"/>
      <c r="BD190" s="2210"/>
      <c r="BE190" s="2211"/>
    </row>
    <row r="191" spans="1:57" ht="15.75" customHeight="1">
      <c r="A191" s="1190"/>
      <c r="B191" s="1190"/>
      <c r="C191" s="2181" t="s">
        <v>2319</v>
      </c>
      <c r="D191" s="2182"/>
      <c r="E191" s="2182"/>
      <c r="F191" s="2182"/>
      <c r="G191" s="2182"/>
      <c r="H191" s="2182"/>
      <c r="I191" s="2182"/>
      <c r="J191" s="2182"/>
      <c r="K191" s="2182"/>
      <c r="L191" s="2182"/>
      <c r="M191" s="2182"/>
      <c r="N191" s="2190">
        <v>0</v>
      </c>
      <c r="O191" s="2190"/>
      <c r="P191" s="2190"/>
      <c r="Q191" s="2190"/>
      <c r="R191" s="2190"/>
      <c r="S191" s="2190"/>
      <c r="T191" s="2190"/>
      <c r="U191" s="2027"/>
      <c r="V191" s="2027"/>
      <c r="W191" s="2027"/>
      <c r="X191" s="2027"/>
      <c r="Y191" s="2027"/>
      <c r="Z191" s="2027"/>
      <c r="AA191" s="2027"/>
      <c r="AB191" s="2027"/>
      <c r="AC191" s="2027"/>
      <c r="AD191" s="2027"/>
      <c r="AE191" s="2028"/>
      <c r="AF191" s="1190"/>
      <c r="AG191" s="1190"/>
      <c r="AH191" s="2191" t="s">
        <v>2318</v>
      </c>
      <c r="AI191" s="2192"/>
      <c r="AJ191" s="2192"/>
      <c r="AK191" s="2192"/>
      <c r="AL191" s="2192"/>
      <c r="AM191" s="2192"/>
      <c r="AN191" s="2192"/>
      <c r="AO191" s="2192"/>
      <c r="AP191" s="2192"/>
      <c r="AQ191" s="2192"/>
      <c r="AR191" s="2192"/>
      <c r="AS191" s="2192"/>
      <c r="AT191" s="2192"/>
      <c r="AU191" s="2193"/>
      <c r="AV191" s="2193"/>
      <c r="AW191" s="2193"/>
      <c r="AX191" s="2193"/>
      <c r="AY191" s="2193"/>
      <c r="AZ191" s="2193"/>
      <c r="BA191" s="2193"/>
      <c r="BB191" s="2193"/>
      <c r="BC191" s="2200"/>
      <c r="BD191" s="2201"/>
      <c r="BE191" s="2202"/>
    </row>
    <row r="192" spans="1:57" ht="15.75" customHeight="1">
      <c r="A192" s="1190"/>
      <c r="B192" s="1190"/>
      <c r="C192" s="2216" t="s">
        <v>300</v>
      </c>
      <c r="D192" s="2159"/>
      <c r="E192" s="2212" t="s">
        <v>2316</v>
      </c>
      <c r="F192" s="2212"/>
      <c r="G192" s="2212"/>
      <c r="H192" s="2212"/>
      <c r="I192" s="2212"/>
      <c r="J192" s="2212"/>
      <c r="K192" s="2212"/>
      <c r="L192" s="2212"/>
      <c r="M192" s="2212"/>
      <c r="N192" s="2190">
        <v>0</v>
      </c>
      <c r="O192" s="2190"/>
      <c r="P192" s="2190"/>
      <c r="Q192" s="2190"/>
      <c r="R192" s="2190"/>
      <c r="S192" s="2190"/>
      <c r="T192" s="2190"/>
      <c r="U192" s="2027"/>
      <c r="V192" s="2027"/>
      <c r="W192" s="2027"/>
      <c r="X192" s="2027"/>
      <c r="Y192" s="2027"/>
      <c r="Z192" s="2027"/>
      <c r="AA192" s="2027"/>
      <c r="AB192" s="2027"/>
      <c r="AC192" s="2027"/>
      <c r="AD192" s="2027"/>
      <c r="AE192" s="2028"/>
      <c r="AF192" s="1190"/>
      <c r="AG192" s="1190"/>
      <c r="AH192" s="2217" t="s">
        <v>2317</v>
      </c>
      <c r="AI192" s="2218"/>
      <c r="AJ192" s="2218"/>
      <c r="AK192" s="2218"/>
      <c r="AL192" s="2218"/>
      <c r="AM192" s="2218"/>
      <c r="AN192" s="2218"/>
      <c r="AO192" s="2218"/>
      <c r="AP192" s="2218"/>
      <c r="AQ192" s="2218"/>
      <c r="AR192" s="2218"/>
      <c r="AS192" s="2218"/>
      <c r="AT192" s="2218"/>
      <c r="AU192" s="2219">
        <f>SUM(AU190:BB191)</f>
        <v>0</v>
      </c>
      <c r="AV192" s="2219"/>
      <c r="AW192" s="2219"/>
      <c r="AX192" s="2219"/>
      <c r="AY192" s="2219"/>
      <c r="AZ192" s="2219"/>
      <c r="BA192" s="2219"/>
      <c r="BB192" s="2219"/>
      <c r="BC192" s="2200"/>
      <c r="BD192" s="2201"/>
      <c r="BE192" s="2202"/>
    </row>
    <row r="193" spans="1:57" ht="15.75" customHeight="1" thickBot="1">
      <c r="A193" s="1190"/>
      <c r="B193" s="1190"/>
      <c r="C193" s="2083" t="s">
        <v>300</v>
      </c>
      <c r="D193" s="2015"/>
      <c r="E193" s="2212" t="s">
        <v>2316</v>
      </c>
      <c r="F193" s="2212"/>
      <c r="G193" s="2212"/>
      <c r="H193" s="2212"/>
      <c r="I193" s="2212"/>
      <c r="J193" s="2212"/>
      <c r="K193" s="2212"/>
      <c r="L193" s="2212"/>
      <c r="M193" s="2212"/>
      <c r="N193" s="2190">
        <v>0</v>
      </c>
      <c r="O193" s="2190"/>
      <c r="P193" s="2190"/>
      <c r="Q193" s="2190"/>
      <c r="R193" s="2190"/>
      <c r="S193" s="2190"/>
      <c r="T193" s="2190"/>
      <c r="U193" s="2027"/>
      <c r="V193" s="2027"/>
      <c r="W193" s="2027"/>
      <c r="X193" s="2027"/>
      <c r="Y193" s="2027"/>
      <c r="Z193" s="2027"/>
      <c r="AA193" s="2027"/>
      <c r="AB193" s="2027"/>
      <c r="AC193" s="2027"/>
      <c r="AD193" s="2027"/>
      <c r="AE193" s="2028"/>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3"/>
      <c r="BD193" s="2214"/>
      <c r="BE193" s="2215"/>
    </row>
    <row r="194" spans="1:57" ht="15.75" customHeight="1" thickBot="1">
      <c r="A194" s="1190"/>
      <c r="B194" s="1190"/>
      <c r="C194" s="2237" t="s">
        <v>300</v>
      </c>
      <c r="D194" s="2238"/>
      <c r="E194" s="2239" t="s">
        <v>2316</v>
      </c>
      <c r="F194" s="2239"/>
      <c r="G194" s="2239"/>
      <c r="H194" s="2239"/>
      <c r="I194" s="2239"/>
      <c r="J194" s="2239"/>
      <c r="K194" s="2239"/>
      <c r="L194" s="2239"/>
      <c r="M194" s="2240"/>
      <c r="N194" s="2241">
        <v>0</v>
      </c>
      <c r="O194" s="2241"/>
      <c r="P194" s="2241"/>
      <c r="Q194" s="2241"/>
      <c r="R194" s="2241"/>
      <c r="S194" s="2241"/>
      <c r="T194" s="2242"/>
      <c r="U194" s="2243"/>
      <c r="V194" s="2244"/>
      <c r="W194" s="2244"/>
      <c r="X194" s="2244"/>
      <c r="Y194" s="2244"/>
      <c r="Z194" s="2244"/>
      <c r="AA194" s="2244"/>
      <c r="AB194" s="2244"/>
      <c r="AC194" s="2244"/>
      <c r="AD194" s="2244"/>
      <c r="AE194" s="2245"/>
      <c r="AF194" s="1190"/>
      <c r="AG194" s="1190"/>
      <c r="AH194" s="2246" t="s">
        <v>2315</v>
      </c>
      <c r="AI194" s="2247"/>
      <c r="AJ194" s="2247"/>
      <c r="AK194" s="2247"/>
      <c r="AL194" s="2247"/>
      <c r="AM194" s="2247"/>
      <c r="AN194" s="2247"/>
      <c r="AO194" s="2247"/>
      <c r="AP194" s="2247"/>
      <c r="AQ194" s="2247"/>
      <c r="AR194" s="2247"/>
      <c r="AS194" s="2247"/>
      <c r="AT194" s="2247"/>
      <c r="AU194" s="2248"/>
      <c r="AV194" s="2248"/>
      <c r="AW194" s="2248"/>
      <c r="AX194" s="2248"/>
      <c r="AY194" s="2248"/>
      <c r="AZ194" s="2248"/>
      <c r="BA194" s="2248"/>
      <c r="BB194" s="2248"/>
      <c r="BC194" s="1171"/>
      <c r="BD194" s="1171"/>
      <c r="BE194" s="1232"/>
    </row>
    <row r="195" spans="1:57" ht="15.75" customHeight="1">
      <c r="A195" s="1190"/>
      <c r="B195" s="1190"/>
      <c r="C195" s="2220" t="s">
        <v>2314</v>
      </c>
      <c r="D195" s="2221"/>
      <c r="E195" s="2221"/>
      <c r="F195" s="2221"/>
      <c r="G195" s="2221"/>
      <c r="H195" s="2221"/>
      <c r="I195" s="2221"/>
      <c r="J195" s="2221"/>
      <c r="K195" s="2221"/>
      <c r="L195" s="2221"/>
      <c r="M195" s="2221"/>
      <c r="N195" s="2222">
        <f>SUM(N187:T194)</f>
        <v>521294</v>
      </c>
      <c r="O195" s="2222"/>
      <c r="P195" s="2222"/>
      <c r="Q195" s="2222"/>
      <c r="R195" s="2222"/>
      <c r="S195" s="2222"/>
      <c r="T195" s="2223"/>
      <c r="U195" s="1190"/>
      <c r="V195" s="1190"/>
      <c r="W195" s="1190"/>
      <c r="X195" s="1190"/>
      <c r="Y195" s="1190"/>
      <c r="Z195" s="1190"/>
      <c r="AA195" s="1190"/>
      <c r="AB195" s="1190"/>
      <c r="AC195" s="1190"/>
      <c r="AD195" s="1190"/>
      <c r="AE195" s="1190"/>
      <c r="AF195" s="1190"/>
      <c r="AG195" s="1190"/>
      <c r="AH195" s="2224" t="s">
        <v>2313</v>
      </c>
      <c r="AI195" s="2225"/>
      <c r="AJ195" s="2225"/>
      <c r="AK195" s="2225"/>
      <c r="AL195" s="2225"/>
      <c r="AM195" s="2225"/>
      <c r="AN195" s="2225"/>
      <c r="AO195" s="2225"/>
      <c r="AP195" s="2225"/>
      <c r="AQ195" s="2225"/>
      <c r="AR195" s="2225"/>
      <c r="AS195" s="2225"/>
      <c r="AT195" s="2225"/>
      <c r="AU195" s="2225"/>
      <c r="AV195" s="2225"/>
      <c r="AW195" s="2225"/>
      <c r="AX195" s="2225"/>
      <c r="AY195" s="2225"/>
      <c r="AZ195" s="2225"/>
      <c r="BA195" s="2225"/>
      <c r="BB195" s="2225"/>
      <c r="BC195" s="2225"/>
      <c r="BD195" s="2225"/>
      <c r="BE195" s="2226"/>
    </row>
    <row r="196" spans="1:57" ht="15.75" customHeight="1" thickBot="1">
      <c r="A196" s="1190"/>
      <c r="B196" s="1190"/>
      <c r="C196" s="2230" t="s">
        <v>2312</v>
      </c>
      <c r="D196" s="2231"/>
      <c r="E196" s="2231"/>
      <c r="F196" s="2231"/>
      <c r="G196" s="2231"/>
      <c r="H196" s="2231"/>
      <c r="I196" s="2231"/>
      <c r="J196" s="2231"/>
      <c r="K196" s="2231"/>
      <c r="L196" s="2231"/>
      <c r="M196" s="2231"/>
      <c r="N196" s="2232">
        <f>(N185-N195)/J29</f>
        <v>501822.69014084508</v>
      </c>
      <c r="O196" s="2233"/>
      <c r="P196" s="2233"/>
      <c r="Q196" s="2233"/>
      <c r="R196" s="2233"/>
      <c r="S196" s="2233"/>
      <c r="T196" s="2234"/>
      <c r="U196" s="1195"/>
      <c r="V196" s="1190"/>
      <c r="W196" s="1190"/>
      <c r="X196" s="1190"/>
      <c r="Y196" s="1190"/>
      <c r="Z196" s="1190"/>
      <c r="AA196" s="1190"/>
      <c r="AB196" s="1190"/>
      <c r="AC196" s="1190"/>
      <c r="AD196" s="1190"/>
      <c r="AE196" s="1190"/>
      <c r="AF196" s="1190"/>
      <c r="AG196" s="1190"/>
      <c r="AH196" s="2227"/>
      <c r="AI196" s="2228"/>
      <c r="AJ196" s="2228"/>
      <c r="AK196" s="2228"/>
      <c r="AL196" s="2228"/>
      <c r="AM196" s="2228"/>
      <c r="AN196" s="2228"/>
      <c r="AO196" s="2228"/>
      <c r="AP196" s="2228"/>
      <c r="AQ196" s="2228"/>
      <c r="AR196" s="2228"/>
      <c r="AS196" s="2228"/>
      <c r="AT196" s="2228"/>
      <c r="AU196" s="2228"/>
      <c r="AV196" s="2228"/>
      <c r="AW196" s="2228"/>
      <c r="AX196" s="2228"/>
      <c r="AY196" s="2228"/>
      <c r="AZ196" s="2228"/>
      <c r="BA196" s="2228"/>
      <c r="BB196" s="2228"/>
      <c r="BC196" s="2228"/>
      <c r="BD196" s="2228"/>
      <c r="BE196" s="2229"/>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5"/>
      <c r="AI197" s="2235"/>
      <c r="AJ197" s="2235"/>
      <c r="AK197" s="2235"/>
      <c r="AL197" s="2235"/>
      <c r="AM197" s="2235"/>
      <c r="AN197" s="2235"/>
      <c r="AO197" s="2235"/>
      <c r="AP197" s="2235"/>
      <c r="AQ197" s="2235"/>
      <c r="AR197" s="2235"/>
      <c r="AS197" s="2236"/>
      <c r="AT197" s="2236"/>
      <c r="AU197" s="2236"/>
      <c r="AV197" s="2236"/>
      <c r="AW197" s="2236"/>
      <c r="AX197" s="2236"/>
      <c r="AY197" s="2236"/>
      <c r="AZ197" s="2236"/>
      <c r="BA197" s="2236"/>
      <c r="BB197" s="2236"/>
      <c r="BC197" s="2236"/>
      <c r="BD197" s="2236"/>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4" t="s">
        <v>2311</v>
      </c>
      <c r="D199" s="2255"/>
      <c r="E199" s="2255"/>
      <c r="F199" s="2255"/>
      <c r="G199" s="2255"/>
      <c r="H199" s="2255"/>
      <c r="I199" s="2255"/>
      <c r="J199" s="2255"/>
      <c r="K199" s="2255"/>
      <c r="L199" s="2255"/>
      <c r="M199" s="2255"/>
      <c r="N199" s="2255"/>
      <c r="O199" s="2255"/>
      <c r="P199" s="2255"/>
      <c r="Q199" s="2255"/>
      <c r="R199" s="2255"/>
      <c r="S199" s="2255"/>
      <c r="T199" s="2255"/>
      <c r="U199" s="2255"/>
      <c r="V199" s="2255"/>
      <c r="W199" s="2255"/>
      <c r="X199" s="2255"/>
      <c r="Y199" s="2255"/>
      <c r="Z199" s="2255"/>
      <c r="AA199" s="2255"/>
      <c r="AB199" s="2255"/>
      <c r="AC199" s="2255"/>
      <c r="AD199" s="2255"/>
      <c r="AE199" s="2256"/>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7" t="s">
        <v>2310</v>
      </c>
      <c r="D200" s="2257"/>
      <c r="E200" s="2257"/>
      <c r="F200" s="2257"/>
      <c r="G200" s="2257"/>
      <c r="H200" s="2257"/>
      <c r="I200" s="2257"/>
      <c r="J200" s="2257"/>
      <c r="K200" s="2257"/>
      <c r="L200" s="2257"/>
      <c r="M200" s="2257"/>
      <c r="N200" s="2257"/>
      <c r="O200" s="2258" t="s">
        <v>2309</v>
      </c>
      <c r="P200" s="2258"/>
      <c r="Q200" s="2258"/>
      <c r="R200" s="2258"/>
      <c r="S200" s="2258"/>
      <c r="T200" s="2258"/>
      <c r="U200" s="2258"/>
      <c r="V200" s="2258"/>
      <c r="W200" s="2258"/>
      <c r="X200" s="2258" t="s">
        <v>2308</v>
      </c>
      <c r="Y200" s="2258"/>
      <c r="Z200" s="2258"/>
      <c r="AA200" s="2258"/>
      <c r="AB200" s="2258"/>
      <c r="AC200" s="2258"/>
      <c r="AD200" s="2258"/>
      <c r="AE200" s="2258"/>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9" t="s">
        <v>2307</v>
      </c>
      <c r="D201" s="2249"/>
      <c r="E201" s="2249"/>
      <c r="F201" s="2249"/>
      <c r="G201" s="2249"/>
      <c r="H201" s="2249"/>
      <c r="I201" s="2249"/>
      <c r="J201" s="2249"/>
      <c r="K201" s="2249"/>
      <c r="L201" s="2249"/>
      <c r="M201" s="2249"/>
      <c r="N201" s="2249"/>
      <c r="O201" s="2250" t="s">
        <v>2306</v>
      </c>
      <c r="P201" s="2250"/>
      <c r="Q201" s="2250"/>
      <c r="R201" s="2250"/>
      <c r="S201" s="2250"/>
      <c r="T201" s="2250"/>
      <c r="U201" s="2250"/>
      <c r="V201" s="2250"/>
      <c r="W201" s="2250"/>
      <c r="X201" s="2251">
        <v>0.03</v>
      </c>
      <c r="Y201" s="2251"/>
      <c r="Z201" s="2251"/>
      <c r="AA201" s="2251"/>
      <c r="AB201" s="2251"/>
      <c r="AC201" s="2251"/>
      <c r="AD201" s="2251"/>
      <c r="AE201" s="2251"/>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9" t="s">
        <v>855</v>
      </c>
      <c r="D202" s="2249"/>
      <c r="E202" s="2249"/>
      <c r="F202" s="2249"/>
      <c r="G202" s="2249"/>
      <c r="H202" s="2249"/>
      <c r="I202" s="2249"/>
      <c r="J202" s="2249"/>
      <c r="K202" s="2249"/>
      <c r="L202" s="2249"/>
      <c r="M202" s="2249"/>
      <c r="N202" s="2249"/>
      <c r="O202" s="2250" t="s">
        <v>2306</v>
      </c>
      <c r="P202" s="2250"/>
      <c r="Q202" s="2250"/>
      <c r="R202" s="2250"/>
      <c r="S202" s="2250"/>
      <c r="T202" s="2250"/>
      <c r="U202" s="2250"/>
      <c r="V202" s="2250"/>
      <c r="W202" s="2250"/>
      <c r="X202" s="2251">
        <v>0.03</v>
      </c>
      <c r="Y202" s="2251"/>
      <c r="Z202" s="2251"/>
      <c r="AA202" s="2251"/>
      <c r="AB202" s="2251"/>
      <c r="AC202" s="2251"/>
      <c r="AD202" s="2251"/>
      <c r="AE202" s="2251"/>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9" t="s">
        <v>2305</v>
      </c>
      <c r="D203" s="2249"/>
      <c r="E203" s="2249"/>
      <c r="F203" s="2249"/>
      <c r="G203" s="2249"/>
      <c r="H203" s="2249"/>
      <c r="I203" s="2249"/>
      <c r="J203" s="2249"/>
      <c r="K203" s="2249"/>
      <c r="L203" s="2249"/>
      <c r="M203" s="2249"/>
      <c r="N203" s="2249"/>
      <c r="O203" s="2252">
        <f>SUM(O201:W202)</f>
        <v>0</v>
      </c>
      <c r="P203" s="2253"/>
      <c r="Q203" s="2253"/>
      <c r="R203" s="2253"/>
      <c r="S203" s="2253"/>
      <c r="T203" s="2253"/>
      <c r="U203" s="2253"/>
      <c r="V203" s="2253"/>
      <c r="W203" s="2253"/>
      <c r="X203" s="2253" t="s">
        <v>2304</v>
      </c>
      <c r="Y203" s="2253"/>
      <c r="Z203" s="2253"/>
      <c r="AA203" s="2253"/>
      <c r="AB203" s="2253"/>
      <c r="AC203" s="2253"/>
      <c r="AD203" s="2253"/>
      <c r="AE203" s="2253"/>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9" t="s">
        <v>2303</v>
      </c>
      <c r="D204" s="2259"/>
      <c r="E204" s="2259"/>
      <c r="F204" s="2259"/>
      <c r="G204" s="2259"/>
      <c r="H204" s="2259"/>
      <c r="I204" s="2259"/>
      <c r="J204" s="2259"/>
      <c r="K204" s="2259"/>
      <c r="L204" s="2259"/>
      <c r="M204" s="2259"/>
      <c r="N204" s="2259"/>
      <c r="O204" s="2259"/>
      <c r="P204" s="2259"/>
      <c r="Q204" s="2259"/>
      <c r="R204" s="2259"/>
      <c r="S204" s="2259"/>
      <c r="T204" s="2259"/>
      <c r="U204" s="2259"/>
      <c r="V204" s="2259"/>
      <c r="W204" s="2259"/>
      <c r="X204" s="2259"/>
      <c r="Y204" s="2259"/>
      <c r="Z204" s="2259"/>
      <c r="AA204" s="2259"/>
      <c r="AB204" s="2259"/>
      <c r="AC204" s="2259"/>
      <c r="AD204" s="2259"/>
      <c r="AE204" s="2259"/>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0" t="s">
        <v>2302</v>
      </c>
      <c r="D206" s="2261"/>
      <c r="E206" s="2261"/>
      <c r="F206" s="2261"/>
      <c r="G206" s="2261"/>
      <c r="H206" s="2261"/>
      <c r="I206" s="2261"/>
      <c r="J206" s="2261"/>
      <c r="K206" s="2261"/>
      <c r="L206" s="2261"/>
      <c r="M206" s="2261"/>
      <c r="N206" s="2261"/>
      <c r="O206" s="2261"/>
      <c r="P206" s="2261"/>
      <c r="Q206" s="2261"/>
      <c r="R206" s="2261"/>
      <c r="S206" s="2261"/>
      <c r="T206" s="2261"/>
      <c r="U206" s="2261"/>
      <c r="V206" s="2261"/>
      <c r="W206" s="2261"/>
      <c r="X206" s="2261"/>
      <c r="Y206" s="2261"/>
      <c r="Z206" s="2261"/>
      <c r="AA206" s="2261"/>
      <c r="AB206" s="2261"/>
      <c r="AC206" s="2261"/>
      <c r="AD206" s="2261"/>
      <c r="AE206" s="2261"/>
      <c r="AF206" s="2261"/>
      <c r="AG206" s="2261"/>
      <c r="AH206" s="2261"/>
      <c r="AI206" s="2261"/>
      <c r="AJ206" s="2261"/>
      <c r="AK206" s="2262"/>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3" t="s">
        <v>2301</v>
      </c>
      <c r="D207" s="2264"/>
      <c r="E207" s="2264"/>
      <c r="F207" s="2265"/>
      <c r="G207" s="2269" t="s">
        <v>2300</v>
      </c>
      <c r="H207" s="2264"/>
      <c r="I207" s="2264"/>
      <c r="J207" s="2264"/>
      <c r="K207" s="2264"/>
      <c r="L207" s="2264"/>
      <c r="M207" s="2264"/>
      <c r="N207" s="2264"/>
      <c r="O207" s="2265"/>
      <c r="P207" s="2271" t="s">
        <v>2299</v>
      </c>
      <c r="Q207" s="2272"/>
      <c r="R207" s="2272"/>
      <c r="S207" s="2272"/>
      <c r="T207" s="2273"/>
      <c r="U207" s="2277" t="s">
        <v>2298</v>
      </c>
      <c r="V207" s="2278"/>
      <c r="W207" s="2278"/>
      <c r="X207" s="2279"/>
      <c r="Y207" s="2277" t="s">
        <v>2297</v>
      </c>
      <c r="Z207" s="2278"/>
      <c r="AA207" s="2278"/>
      <c r="AB207" s="2279"/>
      <c r="AC207" s="2277" t="s">
        <v>2296</v>
      </c>
      <c r="AD207" s="2278"/>
      <c r="AE207" s="2278"/>
      <c r="AF207" s="2279"/>
      <c r="AG207" s="2269" t="s">
        <v>2295</v>
      </c>
      <c r="AH207" s="2264"/>
      <c r="AI207" s="2264"/>
      <c r="AJ207" s="2264"/>
      <c r="AK207" s="2283"/>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6"/>
      <c r="D208" s="2267"/>
      <c r="E208" s="2267"/>
      <c r="F208" s="2268"/>
      <c r="G208" s="2270"/>
      <c r="H208" s="2267"/>
      <c r="I208" s="2267"/>
      <c r="J208" s="2267"/>
      <c r="K208" s="2267"/>
      <c r="L208" s="2267"/>
      <c r="M208" s="2267"/>
      <c r="N208" s="2267"/>
      <c r="O208" s="2268"/>
      <c r="P208" s="2274"/>
      <c r="Q208" s="2275"/>
      <c r="R208" s="2275"/>
      <c r="S208" s="2275"/>
      <c r="T208" s="2276"/>
      <c r="U208" s="2280"/>
      <c r="V208" s="2281"/>
      <c r="W208" s="2281"/>
      <c r="X208" s="2282"/>
      <c r="Y208" s="2280"/>
      <c r="Z208" s="2281"/>
      <c r="AA208" s="2281"/>
      <c r="AB208" s="2282"/>
      <c r="AC208" s="2280"/>
      <c r="AD208" s="2281"/>
      <c r="AE208" s="2281"/>
      <c r="AF208" s="2282"/>
      <c r="AG208" s="2270"/>
      <c r="AH208" s="2267"/>
      <c r="AI208" s="2267"/>
      <c r="AJ208" s="2267"/>
      <c r="AK208" s="2284"/>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8">
        <v>1</v>
      </c>
      <c r="D209" s="2289"/>
      <c r="E209" s="2289"/>
      <c r="F209" s="2289"/>
      <c r="G209" s="2290" t="s">
        <v>1885</v>
      </c>
      <c r="H209" s="2290"/>
      <c r="I209" s="2290"/>
      <c r="J209" s="2290"/>
      <c r="K209" s="2290"/>
      <c r="L209" s="2290"/>
      <c r="M209" s="2290"/>
      <c r="N209" s="2290"/>
      <c r="O209" s="2290"/>
      <c r="P209" s="2291"/>
      <c r="Q209" s="2294"/>
      <c r="R209" s="2294"/>
      <c r="S209" s="2294"/>
      <c r="T209" s="2294"/>
      <c r="U209" s="2292" t="s">
        <v>1885</v>
      </c>
      <c r="V209" s="2292"/>
      <c r="W209" s="2292"/>
      <c r="X209" s="2292"/>
      <c r="Y209" s="2292" t="s">
        <v>1885</v>
      </c>
      <c r="Z209" s="2292"/>
      <c r="AA209" s="2292"/>
      <c r="AB209" s="2292"/>
      <c r="AC209" s="2293" t="s">
        <v>1885</v>
      </c>
      <c r="AD209" s="2293"/>
      <c r="AE209" s="2293"/>
      <c r="AF209" s="2293"/>
      <c r="AG209" s="2285"/>
      <c r="AH209" s="2286"/>
      <c r="AI209" s="2286"/>
      <c r="AJ209" s="2286"/>
      <c r="AK209" s="2287"/>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8">
        <v>2</v>
      </c>
      <c r="D210" s="2289"/>
      <c r="E210" s="2289"/>
      <c r="F210" s="2289"/>
      <c r="G210" s="2290" t="s">
        <v>1885</v>
      </c>
      <c r="H210" s="2290"/>
      <c r="I210" s="2290"/>
      <c r="J210" s="2290"/>
      <c r="K210" s="2290"/>
      <c r="L210" s="2290"/>
      <c r="M210" s="2290"/>
      <c r="N210" s="2290"/>
      <c r="O210" s="2290"/>
      <c r="P210" s="2291"/>
      <c r="Q210" s="2291"/>
      <c r="R210" s="2291"/>
      <c r="S210" s="2291"/>
      <c r="T210" s="2291"/>
      <c r="U210" s="2292" t="s">
        <v>1885</v>
      </c>
      <c r="V210" s="2292"/>
      <c r="W210" s="2292"/>
      <c r="X210" s="2292"/>
      <c r="Y210" s="2292" t="s">
        <v>1885</v>
      </c>
      <c r="Z210" s="2292"/>
      <c r="AA210" s="2292"/>
      <c r="AB210" s="2292"/>
      <c r="AC210" s="2293" t="s">
        <v>1885</v>
      </c>
      <c r="AD210" s="2293"/>
      <c r="AE210" s="2293"/>
      <c r="AF210" s="2293"/>
      <c r="AG210" s="2285"/>
      <c r="AH210" s="2286"/>
      <c r="AI210" s="2286"/>
      <c r="AJ210" s="2286"/>
      <c r="AK210" s="2287"/>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8">
        <v>3</v>
      </c>
      <c r="D211" s="2289"/>
      <c r="E211" s="2289"/>
      <c r="F211" s="2289"/>
      <c r="G211" s="2290" t="s">
        <v>1885</v>
      </c>
      <c r="H211" s="2290"/>
      <c r="I211" s="2290"/>
      <c r="J211" s="2290"/>
      <c r="K211" s="2290"/>
      <c r="L211" s="2290"/>
      <c r="M211" s="2290"/>
      <c r="N211" s="2290"/>
      <c r="O211" s="2290"/>
      <c r="P211" s="2291"/>
      <c r="Q211" s="2291"/>
      <c r="R211" s="2291"/>
      <c r="S211" s="2291"/>
      <c r="T211" s="2291"/>
      <c r="U211" s="2292" t="s">
        <v>1885</v>
      </c>
      <c r="V211" s="2292"/>
      <c r="W211" s="2292"/>
      <c r="X211" s="2292"/>
      <c r="Y211" s="2292" t="s">
        <v>1885</v>
      </c>
      <c r="Z211" s="2292"/>
      <c r="AA211" s="2292"/>
      <c r="AB211" s="2292"/>
      <c r="AC211" s="2293" t="s">
        <v>1885</v>
      </c>
      <c r="AD211" s="2293"/>
      <c r="AE211" s="2293"/>
      <c r="AF211" s="2293"/>
      <c r="AG211" s="2285"/>
      <c r="AH211" s="2286"/>
      <c r="AI211" s="2286"/>
      <c r="AJ211" s="2286"/>
      <c r="AK211" s="2287"/>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8">
        <v>4</v>
      </c>
      <c r="D212" s="2289"/>
      <c r="E212" s="2289"/>
      <c r="F212" s="2289"/>
      <c r="G212" s="2290" t="s">
        <v>1885</v>
      </c>
      <c r="H212" s="2290"/>
      <c r="I212" s="2290"/>
      <c r="J212" s="2290"/>
      <c r="K212" s="2290"/>
      <c r="L212" s="2290"/>
      <c r="M212" s="2290"/>
      <c r="N212" s="2290"/>
      <c r="O212" s="2290"/>
      <c r="P212" s="2291"/>
      <c r="Q212" s="2291"/>
      <c r="R212" s="2291"/>
      <c r="S212" s="2291"/>
      <c r="T212" s="2291"/>
      <c r="U212" s="2292" t="s">
        <v>1885</v>
      </c>
      <c r="V212" s="2292"/>
      <c r="W212" s="2292"/>
      <c r="X212" s="2292"/>
      <c r="Y212" s="2292" t="s">
        <v>1885</v>
      </c>
      <c r="Z212" s="2292"/>
      <c r="AA212" s="2292"/>
      <c r="AB212" s="2292"/>
      <c r="AC212" s="2293" t="s">
        <v>1885</v>
      </c>
      <c r="AD212" s="2293"/>
      <c r="AE212" s="2293"/>
      <c r="AF212" s="2293"/>
      <c r="AG212" s="2285"/>
      <c r="AH212" s="2286"/>
      <c r="AI212" s="2286"/>
      <c r="AJ212" s="2286"/>
      <c r="AK212" s="2287"/>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8">
        <v>5</v>
      </c>
      <c r="D213" s="2289"/>
      <c r="E213" s="2289"/>
      <c r="F213" s="2289"/>
      <c r="G213" s="2290" t="s">
        <v>1885</v>
      </c>
      <c r="H213" s="2290"/>
      <c r="I213" s="2290"/>
      <c r="J213" s="2290"/>
      <c r="K213" s="2290"/>
      <c r="L213" s="2290"/>
      <c r="M213" s="2290"/>
      <c r="N213" s="2290"/>
      <c r="O213" s="2290"/>
      <c r="P213" s="2291"/>
      <c r="Q213" s="2291"/>
      <c r="R213" s="2291"/>
      <c r="S213" s="2291"/>
      <c r="T213" s="2291"/>
      <c r="U213" s="2292" t="s">
        <v>1885</v>
      </c>
      <c r="V213" s="2292"/>
      <c r="W213" s="2292"/>
      <c r="X213" s="2292"/>
      <c r="Y213" s="2292" t="s">
        <v>1885</v>
      </c>
      <c r="Z213" s="2292"/>
      <c r="AA213" s="2292"/>
      <c r="AB213" s="2292"/>
      <c r="AC213" s="2293" t="s">
        <v>1885</v>
      </c>
      <c r="AD213" s="2293"/>
      <c r="AE213" s="2293"/>
      <c r="AF213" s="2293"/>
      <c r="AG213" s="2285"/>
      <c r="AH213" s="2286"/>
      <c r="AI213" s="2286"/>
      <c r="AJ213" s="2286"/>
      <c r="AK213" s="2287"/>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8">
        <v>6</v>
      </c>
      <c r="D214" s="2289"/>
      <c r="E214" s="2289"/>
      <c r="F214" s="2289"/>
      <c r="G214" s="2290" t="s">
        <v>1885</v>
      </c>
      <c r="H214" s="2290"/>
      <c r="I214" s="2290"/>
      <c r="J214" s="2290"/>
      <c r="K214" s="2290"/>
      <c r="L214" s="2290"/>
      <c r="M214" s="2290"/>
      <c r="N214" s="2290"/>
      <c r="O214" s="2290"/>
      <c r="P214" s="2291"/>
      <c r="Q214" s="2291"/>
      <c r="R214" s="2291"/>
      <c r="S214" s="2291"/>
      <c r="T214" s="2291"/>
      <c r="U214" s="2292"/>
      <c r="V214" s="2292"/>
      <c r="W214" s="2292"/>
      <c r="X214" s="2292"/>
      <c r="Y214" s="2292"/>
      <c r="Z214" s="2292"/>
      <c r="AA214" s="2292"/>
      <c r="AB214" s="2292"/>
      <c r="AC214" s="2293" t="s">
        <v>1885</v>
      </c>
      <c r="AD214" s="2293"/>
      <c r="AE214" s="2293"/>
      <c r="AF214" s="2293"/>
      <c r="AG214" s="2285"/>
      <c r="AH214" s="2286"/>
      <c r="AI214" s="2286"/>
      <c r="AJ214" s="2286"/>
      <c r="AK214" s="2287"/>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8">
        <v>7</v>
      </c>
      <c r="D215" s="2289"/>
      <c r="E215" s="2289"/>
      <c r="F215" s="2289"/>
      <c r="G215" s="2290"/>
      <c r="H215" s="2290"/>
      <c r="I215" s="2290"/>
      <c r="J215" s="2290"/>
      <c r="K215" s="2290"/>
      <c r="L215" s="2290"/>
      <c r="M215" s="2290"/>
      <c r="N215" s="2290"/>
      <c r="O215" s="2290"/>
      <c r="P215" s="2291"/>
      <c r="Q215" s="2291"/>
      <c r="R215" s="2291"/>
      <c r="S215" s="2291"/>
      <c r="T215" s="2291"/>
      <c r="U215" s="2292"/>
      <c r="V215" s="2292"/>
      <c r="W215" s="2292"/>
      <c r="X215" s="2292"/>
      <c r="Y215" s="2292"/>
      <c r="Z215" s="2292"/>
      <c r="AA215" s="2292"/>
      <c r="AB215" s="2292"/>
      <c r="AC215" s="2293" t="s">
        <v>1885</v>
      </c>
      <c r="AD215" s="2293"/>
      <c r="AE215" s="2293"/>
      <c r="AF215" s="2293"/>
      <c r="AG215" s="2285"/>
      <c r="AH215" s="2286"/>
      <c r="AI215" s="2286"/>
      <c r="AJ215" s="2286"/>
      <c r="AK215" s="2287"/>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7" t="s">
        <v>2294</v>
      </c>
      <c r="D216" s="2308"/>
      <c r="E216" s="2308"/>
      <c r="F216" s="2308"/>
      <c r="G216" s="2308"/>
      <c r="H216" s="2308"/>
      <c r="I216" s="2308"/>
      <c r="J216" s="2308"/>
      <c r="K216" s="2308"/>
      <c r="L216" s="2308"/>
      <c r="M216" s="2308"/>
      <c r="N216" s="2308"/>
      <c r="O216" s="2308"/>
      <c r="P216" s="2309"/>
      <c r="Q216" s="2309"/>
      <c r="R216" s="2309"/>
      <c r="S216" s="2309"/>
      <c r="T216" s="2309"/>
      <c r="U216" s="2310">
        <f>-SUM(U209:U215)</f>
        <v>0</v>
      </c>
      <c r="V216" s="2310"/>
      <c r="W216" s="2310"/>
      <c r="X216" s="2310"/>
      <c r="Y216" s="2310">
        <f>-SUM(Y209:Y215)</f>
        <v>0</v>
      </c>
      <c r="Z216" s="2310"/>
      <c r="AA216" s="2310"/>
      <c r="AB216" s="2310"/>
      <c r="AC216" s="2311">
        <f>-SUM(AC209:AC215)</f>
        <v>0</v>
      </c>
      <c r="AD216" s="2311"/>
      <c r="AE216" s="2311"/>
      <c r="AF216" s="2311"/>
      <c r="AG216" s="2312"/>
      <c r="AH216" s="2313"/>
      <c r="AI216" s="2313"/>
      <c r="AJ216" s="2313"/>
      <c r="AK216" s="2314"/>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5" t="s">
        <v>2292</v>
      </c>
      <c r="C221" s="2296"/>
      <c r="D221" s="2296"/>
      <c r="E221" s="2296"/>
      <c r="F221" s="2296"/>
      <c r="G221" s="2296"/>
      <c r="H221" s="2296"/>
      <c r="I221" s="2296"/>
      <c r="J221" s="2296"/>
      <c r="K221" s="2296"/>
      <c r="L221" s="2296"/>
      <c r="M221" s="2296"/>
      <c r="N221" s="2296"/>
      <c r="O221" s="2296"/>
      <c r="P221" s="2296"/>
      <c r="Q221" s="2296"/>
      <c r="R221" s="2296"/>
      <c r="S221" s="2296"/>
      <c r="T221" s="2296"/>
      <c r="U221" s="2296"/>
      <c r="V221" s="2296"/>
      <c r="W221" s="2296"/>
      <c r="X221" s="2296"/>
      <c r="Y221" s="2296"/>
      <c r="Z221" s="2296"/>
      <c r="AA221" s="2296"/>
      <c r="AB221" s="2296"/>
      <c r="AC221" s="2296"/>
      <c r="AD221" s="2296"/>
      <c r="AE221" s="2296"/>
      <c r="AF221" s="2296"/>
      <c r="AG221" s="2296"/>
      <c r="AH221" s="2296"/>
      <c r="AI221" s="2296"/>
      <c r="AJ221" s="2296"/>
      <c r="AK221" s="2296"/>
      <c r="AL221" s="2296"/>
      <c r="AM221" s="2296"/>
      <c r="AN221" s="2296"/>
      <c r="AO221" s="2296"/>
      <c r="AP221" s="2296"/>
      <c r="AQ221" s="2296"/>
      <c r="AR221" s="2296"/>
      <c r="AS221" s="2296"/>
      <c r="AT221" s="2296"/>
      <c r="AU221" s="2296"/>
      <c r="AV221" s="2296"/>
      <c r="AW221" s="2296"/>
      <c r="AX221" s="2296"/>
      <c r="AY221" s="2296"/>
      <c r="AZ221" s="2296"/>
      <c r="BA221" s="2296"/>
      <c r="BB221" s="2296"/>
      <c r="BC221" s="2296"/>
      <c r="BD221" s="2297"/>
      <c r="BE221" s="1194"/>
    </row>
    <row r="222" spans="1:57" ht="15.75" customHeight="1">
      <c r="A222" s="1190"/>
      <c r="B222" s="2298"/>
      <c r="C222" s="2299"/>
      <c r="D222" s="2299"/>
      <c r="E222" s="2299"/>
      <c r="F222" s="2299"/>
      <c r="G222" s="2299"/>
      <c r="H222" s="2299"/>
      <c r="I222" s="2299"/>
      <c r="J222" s="2299"/>
      <c r="K222" s="2299"/>
      <c r="L222" s="2299"/>
      <c r="M222" s="2299"/>
      <c r="N222" s="2299"/>
      <c r="O222" s="2299"/>
      <c r="P222" s="2299"/>
      <c r="Q222" s="2299"/>
      <c r="R222" s="2299"/>
      <c r="S222" s="2299"/>
      <c r="T222" s="2299"/>
      <c r="U222" s="2299"/>
      <c r="V222" s="2299"/>
      <c r="W222" s="2299"/>
      <c r="X222" s="2299"/>
      <c r="Y222" s="2299"/>
      <c r="Z222" s="2299"/>
      <c r="AA222" s="2299"/>
      <c r="AB222" s="2299"/>
      <c r="AC222" s="2299"/>
      <c r="AD222" s="2299"/>
      <c r="AE222" s="2299"/>
      <c r="AF222" s="2299"/>
      <c r="AG222" s="2299"/>
      <c r="AH222" s="2299"/>
      <c r="AI222" s="2299"/>
      <c r="AJ222" s="2299"/>
      <c r="AK222" s="2299"/>
      <c r="AL222" s="2299"/>
      <c r="AM222" s="2299"/>
      <c r="AN222" s="2299"/>
      <c r="AO222" s="2299"/>
      <c r="AP222" s="2299"/>
      <c r="AQ222" s="2299"/>
      <c r="AR222" s="2299"/>
      <c r="AS222" s="2299"/>
      <c r="AT222" s="2299"/>
      <c r="AU222" s="2299"/>
      <c r="AV222" s="2299"/>
      <c r="AW222" s="2299"/>
      <c r="AX222" s="2299"/>
      <c r="AY222" s="2299"/>
      <c r="AZ222" s="2299"/>
      <c r="BA222" s="2299"/>
      <c r="BB222" s="2299"/>
      <c r="BC222" s="2299"/>
      <c r="BD222" s="2300"/>
      <c r="BE222" s="1194"/>
    </row>
    <row r="223" spans="1:57" ht="15.75" customHeight="1">
      <c r="A223" s="1190"/>
      <c r="B223" s="2301" t="s">
        <v>2291</v>
      </c>
      <c r="C223" s="2302"/>
      <c r="D223" s="2302"/>
      <c r="E223" s="2302"/>
      <c r="F223" s="2302"/>
      <c r="G223" s="2302"/>
      <c r="H223" s="2302"/>
      <c r="I223" s="2302"/>
      <c r="J223" s="2302"/>
      <c r="K223" s="2302"/>
      <c r="L223" s="2302"/>
      <c r="M223" s="2302"/>
      <c r="N223" s="2302"/>
      <c r="O223" s="2302"/>
      <c r="P223" s="2302"/>
      <c r="Q223" s="2302"/>
      <c r="R223" s="2302"/>
      <c r="S223" s="2302"/>
      <c r="T223" s="2302"/>
      <c r="U223" s="2302"/>
      <c r="V223" s="2302"/>
      <c r="W223" s="2302"/>
      <c r="X223" s="2302"/>
      <c r="Y223" s="2302"/>
      <c r="Z223" s="2302"/>
      <c r="AA223" s="2302"/>
      <c r="AB223" s="2302"/>
      <c r="AC223" s="2302"/>
      <c r="AD223" s="2302"/>
      <c r="AE223" s="2302"/>
      <c r="AF223" s="2302"/>
      <c r="AG223" s="2302"/>
      <c r="AH223" s="2302"/>
      <c r="AI223" s="2302"/>
      <c r="AJ223" s="2302"/>
      <c r="AK223" s="2302"/>
      <c r="AL223" s="2302"/>
      <c r="AM223" s="2302"/>
      <c r="AN223" s="2302"/>
      <c r="AO223" s="2302"/>
      <c r="AP223" s="2302"/>
      <c r="AQ223" s="2302"/>
      <c r="AR223" s="2302"/>
      <c r="AS223" s="2302"/>
      <c r="AT223" s="2302"/>
      <c r="AU223" s="2302"/>
      <c r="AV223" s="2302"/>
      <c r="AW223" s="2302"/>
      <c r="AX223" s="2302"/>
      <c r="AY223" s="2302"/>
      <c r="AZ223" s="2302"/>
      <c r="BA223" s="2302"/>
      <c r="BB223" s="2302"/>
      <c r="BC223" s="2302"/>
      <c r="BD223" s="2303"/>
      <c r="BE223" s="1194"/>
    </row>
    <row r="224" spans="1:57" ht="15.75" customHeight="1">
      <c r="A224" s="1190"/>
      <c r="B224" s="2301" t="s">
        <v>2290</v>
      </c>
      <c r="C224" s="2302"/>
      <c r="D224" s="2302"/>
      <c r="E224" s="2302"/>
      <c r="F224" s="2302"/>
      <c r="G224" s="2302"/>
      <c r="H224" s="2302"/>
      <c r="I224" s="2302"/>
      <c r="J224" s="2302"/>
      <c r="K224" s="2302"/>
      <c r="L224" s="2302"/>
      <c r="M224" s="2302"/>
      <c r="N224" s="2302"/>
      <c r="O224" s="2302"/>
      <c r="P224" s="2302"/>
      <c r="Q224" s="2302"/>
      <c r="R224" s="2302"/>
      <c r="S224" s="2302"/>
      <c r="T224" s="2302"/>
      <c r="U224" s="2302"/>
      <c r="V224" s="2302"/>
      <c r="W224" s="2302"/>
      <c r="X224" s="2302"/>
      <c r="Y224" s="2302"/>
      <c r="Z224" s="2302"/>
      <c r="AA224" s="2302"/>
      <c r="AB224" s="2302"/>
      <c r="AC224" s="2302"/>
      <c r="AD224" s="2302"/>
      <c r="AE224" s="2302"/>
      <c r="AF224" s="2302"/>
      <c r="AG224" s="2302"/>
      <c r="AH224" s="2302"/>
      <c r="AI224" s="2302"/>
      <c r="AJ224" s="2302"/>
      <c r="AK224" s="2302"/>
      <c r="AL224" s="2302"/>
      <c r="AM224" s="2302"/>
      <c r="AN224" s="2302"/>
      <c r="AO224" s="2302"/>
      <c r="AP224" s="2302"/>
      <c r="AQ224" s="2302"/>
      <c r="AR224" s="2302"/>
      <c r="AS224" s="2302"/>
      <c r="AT224" s="2302"/>
      <c r="AU224" s="2302"/>
      <c r="AV224" s="2302"/>
      <c r="AW224" s="2302"/>
      <c r="AX224" s="2302"/>
      <c r="AY224" s="2302"/>
      <c r="AZ224" s="2302"/>
      <c r="BA224" s="2302"/>
      <c r="BB224" s="2302"/>
      <c r="BC224" s="2302"/>
      <c r="BD224" s="2303"/>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4" t="s">
        <v>2289</v>
      </c>
      <c r="C226" s="2194"/>
      <c r="D226" s="2194"/>
      <c r="E226" s="2194"/>
      <c r="F226" s="2194"/>
      <c r="G226" s="2194"/>
      <c r="H226" s="2194"/>
      <c r="I226" s="2194"/>
      <c r="J226" s="2194"/>
      <c r="K226" s="2194"/>
      <c r="L226" s="2194"/>
      <c r="M226" s="2194"/>
      <c r="N226" s="2194"/>
      <c r="O226" s="2194"/>
      <c r="P226" s="2194"/>
      <c r="Q226" s="2194"/>
      <c r="R226" s="2194"/>
      <c r="S226" s="2194"/>
      <c r="T226" s="2194"/>
      <c r="U226" s="2194"/>
      <c r="V226" s="2194"/>
      <c r="W226" s="2194"/>
      <c r="X226" s="2194"/>
      <c r="Y226" s="2194"/>
      <c r="Z226" s="2194"/>
      <c r="AA226" s="2194"/>
      <c r="AB226" s="2194"/>
      <c r="AC226" s="2194"/>
      <c r="AD226" s="2194"/>
      <c r="AE226" s="2194"/>
      <c r="AF226" s="2194"/>
      <c r="AG226" s="2194"/>
      <c r="AH226" s="2194"/>
      <c r="AI226" s="2194"/>
      <c r="AJ226" s="2194"/>
      <c r="AK226" s="2194"/>
      <c r="AL226" s="2194"/>
      <c r="AM226" s="2194"/>
      <c r="AN226" s="2194"/>
      <c r="AO226" s="2194"/>
      <c r="AP226" s="2194"/>
      <c r="AQ226" s="2194"/>
      <c r="AR226" s="2194"/>
      <c r="AS226" s="2194"/>
      <c r="AT226" s="2194"/>
      <c r="AU226" s="2194"/>
      <c r="AV226" s="2194"/>
      <c r="AW226" s="2194"/>
      <c r="AX226" s="2194"/>
      <c r="AY226" s="2194"/>
      <c r="AZ226" s="2194"/>
      <c r="BA226" s="2194"/>
      <c r="BB226" s="2194"/>
      <c r="BC226" s="2194"/>
      <c r="BD226" s="2305"/>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6" t="s">
        <v>2287</v>
      </c>
      <c r="I230" s="2306"/>
      <c r="J230" s="2306"/>
      <c r="K230" s="2306"/>
      <c r="L230" s="2306"/>
      <c r="M230" s="2306"/>
      <c r="N230" s="2306"/>
      <c r="O230" s="2306"/>
      <c r="P230" s="2306"/>
      <c r="Q230" s="2306"/>
      <c r="R230" s="2306"/>
      <c r="S230" s="2306"/>
      <c r="T230" s="2306"/>
      <c r="U230" s="2306"/>
      <c r="V230" s="2306"/>
      <c r="W230" s="2306"/>
      <c r="X230" s="2306"/>
      <c r="Y230" s="2306"/>
      <c r="Z230" s="2306"/>
      <c r="AA230" s="2306"/>
      <c r="AB230" s="2306"/>
      <c r="AC230" s="2306"/>
      <c r="AD230" s="2306"/>
      <c r="AE230" s="2306"/>
      <c r="AF230" s="2306"/>
      <c r="AG230" s="2306"/>
      <c r="AH230" s="2306"/>
      <c r="AI230" s="2306"/>
      <c r="AJ230" s="2306"/>
      <c r="AK230" s="2306"/>
      <c r="AL230" s="2306"/>
      <c r="AM230" s="2306"/>
      <c r="AN230" s="2306"/>
      <c r="AO230" s="2306"/>
      <c r="AP230" s="2306"/>
      <c r="AQ230" s="2306"/>
      <c r="AR230" s="2306"/>
      <c r="AS230" s="2306"/>
      <c r="AT230" s="2306"/>
      <c r="AU230" s="2306"/>
      <c r="AV230" s="2306"/>
      <c r="AW230" s="2306"/>
      <c r="AX230" s="2306"/>
      <c r="AY230" s="2306"/>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4" t="s">
        <v>2286</v>
      </c>
      <c r="I232" s="2324"/>
      <c r="J232" s="2324"/>
      <c r="K232" s="2324"/>
      <c r="L232" s="2324"/>
      <c r="M232" s="2324"/>
      <c r="N232" s="2324"/>
      <c r="O232" s="2324"/>
      <c r="P232" s="2324"/>
      <c r="Q232" s="2324"/>
      <c r="R232" s="2324"/>
      <c r="S232" s="2324"/>
      <c r="T232" s="2324"/>
      <c r="U232" s="2324"/>
      <c r="V232" s="2324"/>
      <c r="W232" s="2324"/>
      <c r="X232" s="2324"/>
      <c r="Y232" s="2324"/>
      <c r="Z232" s="2324"/>
      <c r="AA232" s="2324"/>
      <c r="AB232" s="2324"/>
      <c r="AC232" s="2324"/>
      <c r="AD232" s="2324"/>
      <c r="AE232" s="2324"/>
      <c r="AF232" s="2324"/>
      <c r="AG232" s="2324"/>
      <c r="AH232" s="2324"/>
      <c r="AI232" s="2324"/>
      <c r="AJ232" s="2324"/>
      <c r="AK232" s="2324"/>
      <c r="AL232" s="2324"/>
      <c r="AM232" s="2324"/>
      <c r="AN232" s="2324"/>
      <c r="AO232" s="2324"/>
      <c r="AP232" s="2324"/>
      <c r="AQ232" s="2324"/>
      <c r="AR232" s="2324"/>
      <c r="AS232" s="2324"/>
      <c r="AT232" s="2324"/>
      <c r="AU232" s="2324"/>
      <c r="AV232" s="2324"/>
      <c r="AW232" s="2324"/>
      <c r="AX232" s="2324"/>
      <c r="AY232" s="2324"/>
      <c r="AZ232" s="2324"/>
      <c r="BA232" s="1190"/>
      <c r="BB232" s="1190"/>
      <c r="BC232" s="1190"/>
      <c r="BD232" s="1194"/>
      <c r="BE232" s="1194"/>
    </row>
    <row r="233" spans="1:57" ht="15.75" customHeight="1">
      <c r="A233" s="1190"/>
      <c r="B233" s="1189"/>
      <c r="C233" s="1190"/>
      <c r="D233" s="1190"/>
      <c r="E233" s="1190"/>
      <c r="F233" s="1190"/>
      <c r="G233" s="1190"/>
      <c r="H233" s="2324"/>
      <c r="I233" s="2324"/>
      <c r="J233" s="2324"/>
      <c r="K233" s="2324"/>
      <c r="L233" s="2324"/>
      <c r="M233" s="2324"/>
      <c r="N233" s="2324"/>
      <c r="O233" s="2324"/>
      <c r="P233" s="2324"/>
      <c r="Q233" s="2324"/>
      <c r="R233" s="2324"/>
      <c r="S233" s="2324"/>
      <c r="T233" s="2324"/>
      <c r="U233" s="2324"/>
      <c r="V233" s="2324"/>
      <c r="W233" s="2324"/>
      <c r="X233" s="2324"/>
      <c r="Y233" s="2324"/>
      <c r="Z233" s="2324"/>
      <c r="AA233" s="2324"/>
      <c r="AB233" s="2324"/>
      <c r="AC233" s="2324"/>
      <c r="AD233" s="2324"/>
      <c r="AE233" s="2324"/>
      <c r="AF233" s="2324"/>
      <c r="AG233" s="2324"/>
      <c r="AH233" s="2324"/>
      <c r="AI233" s="2324"/>
      <c r="AJ233" s="2324"/>
      <c r="AK233" s="2324"/>
      <c r="AL233" s="2324"/>
      <c r="AM233" s="2324"/>
      <c r="AN233" s="2324"/>
      <c r="AO233" s="2324"/>
      <c r="AP233" s="2324"/>
      <c r="AQ233" s="2324"/>
      <c r="AR233" s="2324"/>
      <c r="AS233" s="2324"/>
      <c r="AT233" s="2324"/>
      <c r="AU233" s="2324"/>
      <c r="AV233" s="2324"/>
      <c r="AW233" s="2324"/>
      <c r="AX233" s="2324"/>
      <c r="AY233" s="2324"/>
      <c r="AZ233" s="2324"/>
      <c r="BA233" s="1190"/>
      <c r="BB233" s="1190"/>
      <c r="BC233" s="1190"/>
      <c r="BD233" s="1194"/>
      <c r="BE233" s="1194"/>
    </row>
    <row r="234" spans="1:57" ht="15.75" customHeight="1">
      <c r="A234" s="1190"/>
      <c r="B234" s="1189"/>
      <c r="C234" s="1190"/>
      <c r="D234" s="1190"/>
      <c r="E234" s="1190"/>
      <c r="F234" s="1190"/>
      <c r="G234" s="1190"/>
      <c r="H234" s="2324"/>
      <c r="I234" s="2324"/>
      <c r="J234" s="2324"/>
      <c r="K234" s="2324"/>
      <c r="L234" s="2324"/>
      <c r="M234" s="2324"/>
      <c r="N234" s="2324"/>
      <c r="O234" s="2324"/>
      <c r="P234" s="2324"/>
      <c r="Q234" s="2324"/>
      <c r="R234" s="2324"/>
      <c r="S234" s="2324"/>
      <c r="T234" s="2324"/>
      <c r="U234" s="2324"/>
      <c r="V234" s="2324"/>
      <c r="W234" s="2324"/>
      <c r="X234" s="2324"/>
      <c r="Y234" s="2324"/>
      <c r="Z234" s="2324"/>
      <c r="AA234" s="2324"/>
      <c r="AB234" s="2324"/>
      <c r="AC234" s="2324"/>
      <c r="AD234" s="2324"/>
      <c r="AE234" s="2324"/>
      <c r="AF234" s="2324"/>
      <c r="AG234" s="2324"/>
      <c r="AH234" s="2324"/>
      <c r="AI234" s="2324"/>
      <c r="AJ234" s="2324"/>
      <c r="AK234" s="2324"/>
      <c r="AL234" s="2324"/>
      <c r="AM234" s="2324"/>
      <c r="AN234" s="2324"/>
      <c r="AO234" s="2324"/>
      <c r="AP234" s="2324"/>
      <c r="AQ234" s="2324"/>
      <c r="AR234" s="2324"/>
      <c r="AS234" s="2324"/>
      <c r="AT234" s="2324"/>
      <c r="AU234" s="2324"/>
      <c r="AV234" s="2324"/>
      <c r="AW234" s="2324"/>
      <c r="AX234" s="2324"/>
      <c r="AY234" s="2324"/>
      <c r="AZ234" s="2324"/>
      <c r="BA234" s="1190"/>
      <c r="BB234" s="1190"/>
      <c r="BC234" s="1190"/>
      <c r="BD234" s="1194"/>
      <c r="BE234" s="1194"/>
    </row>
    <row r="235" spans="1:57" ht="15.75" customHeight="1">
      <c r="A235" s="1190"/>
      <c r="B235" s="1189"/>
      <c r="C235" s="1190"/>
      <c r="D235" s="1190"/>
      <c r="E235" s="1190"/>
      <c r="F235" s="1190"/>
      <c r="G235" s="1190"/>
      <c r="H235" s="2324"/>
      <c r="I235" s="2324"/>
      <c r="J235" s="2324"/>
      <c r="K235" s="2324"/>
      <c r="L235" s="2324"/>
      <c r="M235" s="2324"/>
      <c r="N235" s="2324"/>
      <c r="O235" s="2324"/>
      <c r="P235" s="2324"/>
      <c r="Q235" s="2324"/>
      <c r="R235" s="2324"/>
      <c r="S235" s="2324"/>
      <c r="T235" s="2324"/>
      <c r="U235" s="2324"/>
      <c r="V235" s="2324"/>
      <c r="W235" s="2324"/>
      <c r="X235" s="2324"/>
      <c r="Y235" s="2324"/>
      <c r="Z235" s="2324"/>
      <c r="AA235" s="2324"/>
      <c r="AB235" s="2324"/>
      <c r="AC235" s="2324"/>
      <c r="AD235" s="2324"/>
      <c r="AE235" s="2324"/>
      <c r="AF235" s="2324"/>
      <c r="AG235" s="2324"/>
      <c r="AH235" s="2324"/>
      <c r="AI235" s="2324"/>
      <c r="AJ235" s="2324"/>
      <c r="AK235" s="2324"/>
      <c r="AL235" s="2324"/>
      <c r="AM235" s="2324"/>
      <c r="AN235" s="2324"/>
      <c r="AO235" s="2324"/>
      <c r="AP235" s="2324"/>
      <c r="AQ235" s="2324"/>
      <c r="AR235" s="2324"/>
      <c r="AS235" s="2324"/>
      <c r="AT235" s="2324"/>
      <c r="AU235" s="2324"/>
      <c r="AV235" s="2324"/>
      <c r="AW235" s="2324"/>
      <c r="AX235" s="2324"/>
      <c r="AY235" s="2324"/>
      <c r="AZ235" s="2324"/>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5" t="s">
        <v>2285</v>
      </c>
      <c r="I237" s="2325"/>
      <c r="J237" s="2325"/>
      <c r="K237" s="2325"/>
      <c r="L237" s="2325"/>
      <c r="M237" s="2325"/>
      <c r="N237" s="2325"/>
      <c r="O237" s="2325"/>
      <c r="P237" s="2325"/>
      <c r="Q237" s="2325"/>
      <c r="R237" s="2325"/>
      <c r="S237" s="2325"/>
      <c r="T237" s="2325"/>
      <c r="U237" s="2325"/>
      <c r="V237" s="2325"/>
      <c r="W237" s="2325"/>
      <c r="X237" s="2325"/>
      <c r="Y237" s="2325"/>
      <c r="Z237" s="2325"/>
      <c r="AA237" s="2325"/>
      <c r="AB237" s="2325"/>
      <c r="AC237" s="2325"/>
      <c r="AD237" s="2325"/>
      <c r="AE237" s="2325"/>
      <c r="AF237" s="2325"/>
      <c r="AG237" s="2325"/>
      <c r="AH237" s="2325"/>
      <c r="AI237" s="2325"/>
      <c r="AJ237" s="2325"/>
      <c r="AK237" s="2325"/>
      <c r="AL237" s="2325"/>
      <c r="AM237" s="2325"/>
      <c r="AN237" s="2325"/>
      <c r="AO237" s="2325"/>
      <c r="AP237" s="2325"/>
      <c r="AQ237" s="2325"/>
      <c r="AR237" s="2325"/>
      <c r="AS237" s="2325"/>
      <c r="AT237" s="2325"/>
      <c r="AU237" s="2325"/>
      <c r="AV237" s="2325"/>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5" t="s">
        <v>2284</v>
      </c>
      <c r="I239" s="2315"/>
      <c r="J239" s="2315"/>
      <c r="K239" s="2315"/>
      <c r="L239" s="1239"/>
      <c r="M239" s="1239"/>
      <c r="N239" s="1239"/>
      <c r="O239" s="1239"/>
      <c r="P239" s="1239"/>
      <c r="Q239" s="1239"/>
      <c r="R239" s="1239"/>
      <c r="S239" s="2326"/>
      <c r="T239" s="2327"/>
      <c r="U239" s="2327"/>
      <c r="V239" s="2327"/>
      <c r="W239" s="2327"/>
      <c r="X239" s="2327"/>
      <c r="Y239" s="2327"/>
      <c r="Z239" s="2327"/>
      <c r="AA239" s="2327"/>
      <c r="AB239" s="2327"/>
      <c r="AC239" s="2327"/>
      <c r="AD239" s="2327"/>
      <c r="AE239" s="2327"/>
      <c r="AF239" s="2327"/>
      <c r="AG239" s="2327"/>
      <c r="AH239" s="2327"/>
      <c r="AI239" s="2327"/>
      <c r="AJ239" s="2328"/>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5" t="s">
        <v>2283</v>
      </c>
      <c r="I241" s="2315"/>
      <c r="J241" s="2315"/>
      <c r="K241" s="1241"/>
      <c r="L241" s="1239"/>
      <c r="M241" s="1239"/>
      <c r="N241" s="1239"/>
      <c r="O241" s="1239"/>
      <c r="P241" s="1239"/>
      <c r="Q241" s="1239"/>
      <c r="R241" s="1239"/>
      <c r="S241" s="2316"/>
      <c r="T241" s="2317"/>
      <c r="U241" s="2317"/>
      <c r="V241" s="2317"/>
      <c r="W241" s="2317"/>
      <c r="X241" s="2317"/>
      <c r="Y241" s="2317"/>
      <c r="Z241" s="2317"/>
      <c r="AA241" s="2317"/>
      <c r="AB241" s="2317"/>
      <c r="AC241" s="2317"/>
      <c r="AD241" s="2317"/>
      <c r="AE241" s="2317"/>
      <c r="AF241" s="2317"/>
      <c r="AG241" s="2317"/>
      <c r="AH241" s="2317"/>
      <c r="AI241" s="2317"/>
      <c r="AJ241" s="2318"/>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5" t="s">
        <v>442</v>
      </c>
      <c r="I243" s="2315"/>
      <c r="J243" s="1241"/>
      <c r="K243" s="1241"/>
      <c r="L243" s="1239"/>
      <c r="M243" s="1239"/>
      <c r="N243" s="1239"/>
      <c r="O243" s="1239"/>
      <c r="P243" s="1239"/>
      <c r="Q243" s="1239"/>
      <c r="R243" s="1239"/>
      <c r="S243" s="2316"/>
      <c r="T243" s="2317"/>
      <c r="U243" s="2317"/>
      <c r="V243" s="2317"/>
      <c r="W243" s="2317"/>
      <c r="X243" s="2317"/>
      <c r="Y243" s="2317"/>
      <c r="Z243" s="2317"/>
      <c r="AA243" s="2317"/>
      <c r="AB243" s="2317"/>
      <c r="AC243" s="2317"/>
      <c r="AD243" s="2317"/>
      <c r="AE243" s="2317"/>
      <c r="AF243" s="2317"/>
      <c r="AG243" s="2317"/>
      <c r="AH243" s="2317"/>
      <c r="AI243" s="2317"/>
      <c r="AJ243" s="2318"/>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9" t="s">
        <v>2282</v>
      </c>
      <c r="I245" s="2319"/>
      <c r="J245" s="2319"/>
      <c r="K245" s="2319"/>
      <c r="L245" s="2319"/>
      <c r="M245" s="2319"/>
      <c r="N245" s="2319"/>
      <c r="O245" s="2319"/>
      <c r="P245" s="1239"/>
      <c r="Q245" s="1239"/>
      <c r="R245" s="1239"/>
      <c r="S245" s="2316"/>
      <c r="T245" s="2317"/>
      <c r="U245" s="2317"/>
      <c r="V245" s="2317"/>
      <c r="W245" s="2317"/>
      <c r="X245" s="2317"/>
      <c r="Y245" s="2317"/>
      <c r="Z245" s="2317"/>
      <c r="AA245" s="2317"/>
      <c r="AB245" s="2317"/>
      <c r="AC245" s="2317"/>
      <c r="AD245" s="2317"/>
      <c r="AE245" s="2317"/>
      <c r="AF245" s="2317"/>
      <c r="AG245" s="2317"/>
      <c r="AH245" s="2317"/>
      <c r="AI245" s="2317"/>
      <c r="AJ245" s="2318"/>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0" t="s">
        <v>2281</v>
      </c>
      <c r="I247" s="2320"/>
      <c r="J247" s="1239"/>
      <c r="K247" s="1239"/>
      <c r="L247" s="1239"/>
      <c r="M247" s="1239"/>
      <c r="N247" s="1239"/>
      <c r="O247" s="1239"/>
      <c r="P247" s="1239"/>
      <c r="Q247" s="1239"/>
      <c r="R247" s="1239"/>
      <c r="S247" s="2321"/>
      <c r="T247" s="2322"/>
      <c r="U247" s="2322"/>
      <c r="V247" s="2322"/>
      <c r="W247" s="2322"/>
      <c r="X247" s="2322"/>
      <c r="Y247" s="2322"/>
      <c r="Z247" s="2322"/>
      <c r="AA247" s="2322"/>
      <c r="AB247" s="2322"/>
      <c r="AC247" s="2322"/>
      <c r="AD247" s="2322"/>
      <c r="AE247" s="2322"/>
      <c r="AF247" s="2322"/>
      <c r="AG247" s="2322"/>
      <c r="AH247" s="2322"/>
      <c r="AI247" s="2322"/>
      <c r="AJ247" s="2323"/>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0" zoomScaleNormal="100" workbookViewId="0">
      <selection activeCell="AB50" sqref="AB50:AF50"/>
    </sheetView>
  </sheetViews>
  <sheetFormatPr defaultColWidth="0" defaultRowHeight="12.95" customHeight="1"/>
  <cols>
    <col min="1" max="1" width="1.5703125" style="402" customWidth="1"/>
    <col min="2" max="2" width="0.85546875" style="402" customWidth="1"/>
    <col min="3" max="18" width="2.5703125" style="402" customWidth="1"/>
    <col min="19" max="19" width="6.42578125" style="402" customWidth="1"/>
    <col min="20" max="39" width="2.570312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60" t="s">
        <v>1281</v>
      </c>
      <c r="B1" s="2360"/>
      <c r="C1" s="2360"/>
      <c r="D1" s="2360"/>
      <c r="E1" s="2360"/>
      <c r="F1" s="2360"/>
      <c r="G1" s="2360"/>
      <c r="H1" s="2360"/>
      <c r="I1" s="2360"/>
      <c r="J1" s="2360"/>
      <c r="K1" s="2360"/>
      <c r="L1" s="2360"/>
      <c r="M1" s="2360"/>
      <c r="N1" s="2360"/>
      <c r="O1" s="2360"/>
      <c r="P1" s="2360"/>
      <c r="Q1" s="2360"/>
      <c r="R1" s="2360"/>
      <c r="S1" s="2360"/>
      <c r="T1" s="2360"/>
      <c r="U1" s="2360"/>
      <c r="V1" s="2360"/>
      <c r="W1" s="2360"/>
      <c r="X1" s="2360"/>
      <c r="Y1" s="2360"/>
      <c r="Z1" s="2360"/>
      <c r="AA1" s="2360"/>
      <c r="AB1" s="2360"/>
      <c r="AC1" s="2360"/>
      <c r="AD1" s="2360"/>
      <c r="AE1" s="2360"/>
      <c r="AF1" s="2360"/>
      <c r="AG1" s="2360"/>
      <c r="AH1" s="2360"/>
      <c r="AI1" s="2360"/>
      <c r="AJ1" s="2360"/>
      <c r="AK1" s="2360"/>
      <c r="AL1" s="2360"/>
      <c r="AM1" s="2360"/>
      <c r="AN1" s="2360"/>
    </row>
    <row r="2" spans="1:40" ht="12.95" customHeight="1" thickBot="1">
      <c r="A2" s="2361"/>
      <c r="B2" s="2361"/>
      <c r="C2" s="2361"/>
      <c r="D2" s="2361"/>
      <c r="E2" s="2361"/>
      <c r="F2" s="2361"/>
      <c r="G2" s="2361"/>
      <c r="H2" s="2361"/>
      <c r="I2" s="2361"/>
      <c r="J2" s="2361"/>
      <c r="K2" s="2361"/>
      <c r="L2" s="2361"/>
      <c r="M2" s="2361"/>
      <c r="N2" s="2361"/>
      <c r="O2" s="2361"/>
      <c r="P2" s="2361"/>
      <c r="Q2" s="2361"/>
      <c r="R2" s="2361"/>
      <c r="S2" s="2361"/>
      <c r="T2" s="2361"/>
      <c r="U2" s="2361"/>
      <c r="V2" s="2361"/>
      <c r="W2" s="2361"/>
      <c r="X2" s="2361"/>
      <c r="Y2" s="2361"/>
      <c r="Z2" s="2361"/>
      <c r="AA2" s="2361"/>
      <c r="AB2" s="2361"/>
      <c r="AC2" s="2361"/>
      <c r="AD2" s="2361"/>
      <c r="AE2" s="2361"/>
      <c r="AF2" s="2361"/>
      <c r="AG2" s="2361"/>
      <c r="AH2" s="2361"/>
      <c r="AI2" s="2361"/>
      <c r="AJ2" s="2361"/>
      <c r="AK2" s="2361"/>
      <c r="AL2" s="2361"/>
      <c r="AM2" s="2361"/>
      <c r="AN2" s="2361"/>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62" t="str">
        <f xml:space="preserve"> IF(T25=100%,'Sources and Basis Breakdown'!G2,'Sources and Basis Breakdown'!F2)</f>
        <v>30% PVC for New Const/
Rehabilitation
DDA/QCT
Building(s)</v>
      </c>
      <c r="U7" s="2362"/>
      <c r="V7" s="2362"/>
      <c r="W7" s="2362"/>
      <c r="X7" s="2362"/>
      <c r="Y7" s="2362" t="str">
        <f>IF(T25=100%,"",'Sources and Basis Breakdown'!G2)</f>
        <v>30% PVC for New Const/
Rehabilitation
NON-DDA/
NON-QCT Building(s)</v>
      </c>
      <c r="Z7" s="2362"/>
      <c r="AA7" s="2362"/>
      <c r="AB7" s="2362"/>
      <c r="AC7" s="2362"/>
      <c r="AD7" s="2362" t="str">
        <f xml:space="preserve"> IF(T25=100%, 'Sources and Basis Breakdown'!J2,'Sources and Basis Breakdown'!I2)</f>
        <v>30% PVC for Acquisition
DDA/QCT Building(s)</v>
      </c>
      <c r="AE7" s="2362"/>
      <c r="AF7" s="2362"/>
      <c r="AG7" s="2362"/>
      <c r="AH7" s="2362"/>
      <c r="AI7" s="2362" t="str">
        <f>IF(T25=100%,"",'Sources and Basis Breakdown'!J2)</f>
        <v>30% PVC for Acquisition
NON-DDA/
NON-QCT Building(s)</v>
      </c>
      <c r="AJ7" s="2362"/>
      <c r="AK7" s="2362"/>
      <c r="AL7" s="2362"/>
      <c r="AM7" s="2362"/>
    </row>
    <row r="8" spans="1:40" ht="12.95" customHeight="1">
      <c r="B8" s="407"/>
      <c r="T8" s="2362"/>
      <c r="U8" s="2362"/>
      <c r="V8" s="2362"/>
      <c r="W8" s="2362"/>
      <c r="X8" s="2362"/>
      <c r="Y8" s="2362"/>
      <c r="Z8" s="2362"/>
      <c r="AA8" s="2362"/>
      <c r="AB8" s="2362"/>
      <c r="AC8" s="2362"/>
      <c r="AD8" s="2362"/>
      <c r="AE8" s="2362"/>
      <c r="AF8" s="2362"/>
      <c r="AG8" s="2362"/>
      <c r="AH8" s="2362"/>
      <c r="AI8" s="2362"/>
      <c r="AJ8" s="2362"/>
      <c r="AK8" s="2362"/>
      <c r="AL8" s="2362"/>
      <c r="AM8" s="2362"/>
    </row>
    <row r="9" spans="1:40" ht="12.95" customHeight="1">
      <c r="B9" s="407"/>
      <c r="T9" s="2362"/>
      <c r="U9" s="2362"/>
      <c r="V9" s="2362"/>
      <c r="W9" s="2362"/>
      <c r="X9" s="2362"/>
      <c r="Y9" s="2362"/>
      <c r="Z9" s="2362"/>
      <c r="AA9" s="2362"/>
      <c r="AB9" s="2362"/>
      <c r="AC9" s="2362"/>
      <c r="AD9" s="2362"/>
      <c r="AE9" s="2362"/>
      <c r="AF9" s="2362"/>
      <c r="AG9" s="2362"/>
      <c r="AH9" s="2362"/>
      <c r="AI9" s="2362"/>
      <c r="AJ9" s="2362"/>
      <c r="AK9" s="2362"/>
      <c r="AL9" s="2362"/>
      <c r="AM9" s="2362"/>
    </row>
    <row r="10" spans="1:40" ht="12.95" customHeight="1">
      <c r="B10" s="408"/>
      <c r="C10" s="409"/>
      <c r="D10" s="409"/>
      <c r="E10" s="409"/>
      <c r="F10" s="409"/>
      <c r="G10" s="409"/>
      <c r="H10" s="409"/>
      <c r="I10" s="409"/>
      <c r="J10" s="409"/>
      <c r="K10" s="409"/>
      <c r="L10" s="409"/>
      <c r="M10" s="409"/>
      <c r="N10" s="409"/>
      <c r="O10" s="409"/>
      <c r="P10" s="409"/>
      <c r="Q10" s="409"/>
      <c r="R10" s="409"/>
      <c r="S10" s="409"/>
      <c r="T10" s="2362"/>
      <c r="U10" s="2362"/>
      <c r="V10" s="2362"/>
      <c r="W10" s="2362"/>
      <c r="X10" s="2362"/>
      <c r="Y10" s="2362"/>
      <c r="Z10" s="2362"/>
      <c r="AA10" s="2362"/>
      <c r="AB10" s="2362"/>
      <c r="AC10" s="2362"/>
      <c r="AD10" s="2362"/>
      <c r="AE10" s="2362"/>
      <c r="AF10" s="2362"/>
      <c r="AG10" s="2362"/>
      <c r="AH10" s="2362"/>
      <c r="AI10" s="2362"/>
      <c r="AJ10" s="2362"/>
      <c r="AK10" s="2362"/>
      <c r="AL10" s="2362"/>
      <c r="AM10" s="2362"/>
    </row>
    <row r="11" spans="1:40" ht="12.95" customHeight="1">
      <c r="B11" s="2341" t="s">
        <v>375</v>
      </c>
      <c r="C11" s="2342"/>
      <c r="D11" s="2342"/>
      <c r="E11" s="2342"/>
      <c r="F11" s="2342"/>
      <c r="G11" s="2342"/>
      <c r="H11" s="2342"/>
      <c r="I11" s="2342"/>
      <c r="J11" s="2342"/>
      <c r="K11" s="2342"/>
      <c r="L11" s="2342"/>
      <c r="M11" s="2342"/>
      <c r="N11" s="2342"/>
      <c r="O11" s="2342"/>
      <c r="P11" s="2342"/>
      <c r="Q11" s="2342"/>
      <c r="R11" s="2342"/>
      <c r="S11" s="2343"/>
      <c r="T11" s="2363">
        <f>IF('Sources and Basis Breakdown'!F107=0,'Sources and Basis Breakdown'!E107,'Sources and Basis Breakdown'!F107)</f>
        <v>49958920</v>
      </c>
      <c r="U11" s="2364"/>
      <c r="V11" s="2364"/>
      <c r="W11" s="2364"/>
      <c r="X11" s="2364"/>
      <c r="Y11" s="2363">
        <f>IF(Y7="",0,IF('Sources and Basis Breakdown'!G107+'Sources and Basis Breakdown'!F107='Sources and Basis Breakdown'!E107,'Sources and Basis Breakdown'!G107,0))</f>
        <v>0</v>
      </c>
      <c r="Z11" s="2364"/>
      <c r="AA11" s="2364"/>
      <c r="AB11" s="2364"/>
      <c r="AC11" s="2364"/>
      <c r="AD11" s="2364">
        <f>IF('Sources and Basis Breakdown'!I107=0,'Sources and Basis Breakdown'!H107,'Sources and Basis Breakdown'!I107)</f>
        <v>18610000</v>
      </c>
      <c r="AE11" s="2364"/>
      <c r="AF11" s="2364"/>
      <c r="AG11" s="2364"/>
      <c r="AH11" s="2364"/>
      <c r="AI11" s="2364">
        <f>IF(Y7="",0,IF('Sources and Basis Breakdown'!I107+'Sources and Basis Breakdown'!J107='Sources and Basis Breakdown'!H107,'Sources and Basis Breakdown'!J107,0))</f>
        <v>0</v>
      </c>
      <c r="AJ11" s="2364"/>
      <c r="AK11" s="2364"/>
      <c r="AL11" s="2364"/>
      <c r="AM11" s="2364"/>
    </row>
    <row r="12" spans="1:40" ht="12.95" customHeight="1">
      <c r="B12" s="2356" t="s">
        <v>498</v>
      </c>
      <c r="C12" s="1286"/>
      <c r="D12" s="1286"/>
      <c r="E12" s="1286"/>
      <c r="F12" s="1286"/>
      <c r="G12" s="1286"/>
      <c r="H12" s="1286"/>
      <c r="I12" s="1286"/>
      <c r="J12" s="1286"/>
      <c r="K12" s="1286"/>
      <c r="L12" s="1286"/>
      <c r="M12" s="1286"/>
      <c r="N12" s="1286"/>
      <c r="O12" s="1286"/>
      <c r="P12" s="1286"/>
      <c r="Q12" s="1286"/>
      <c r="R12" s="1286"/>
      <c r="S12" s="2357"/>
      <c r="T12" s="2329"/>
      <c r="U12" s="2330"/>
      <c r="V12" s="2330"/>
      <c r="W12" s="2330"/>
      <c r="X12" s="2331"/>
      <c r="Y12" s="2329"/>
      <c r="Z12" s="2330"/>
      <c r="AA12" s="2330"/>
      <c r="AB12" s="2330"/>
      <c r="AC12" s="2331"/>
      <c r="AD12" s="2329"/>
      <c r="AE12" s="2330"/>
      <c r="AF12" s="2330"/>
      <c r="AG12" s="2330"/>
      <c r="AH12" s="2331"/>
      <c r="AI12" s="2329"/>
      <c r="AJ12" s="2330"/>
      <c r="AK12" s="2330"/>
      <c r="AL12" s="2330"/>
      <c r="AM12" s="2331"/>
    </row>
    <row r="13" spans="1:40" ht="12.95" customHeight="1">
      <c r="B13" s="435"/>
      <c r="C13" s="2358" t="s">
        <v>499</v>
      </c>
      <c r="D13" s="2358"/>
      <c r="E13" s="2358"/>
      <c r="F13" s="2358"/>
      <c r="G13" s="2358"/>
      <c r="H13" s="2358"/>
      <c r="I13" s="2358"/>
      <c r="J13" s="2358"/>
      <c r="K13" s="2358"/>
      <c r="L13" s="2358"/>
      <c r="M13" s="2358"/>
      <c r="N13" s="2358"/>
      <c r="O13" s="2358"/>
      <c r="P13" s="2358"/>
      <c r="Q13" s="2358"/>
      <c r="R13" s="2358"/>
      <c r="S13" s="2359"/>
      <c r="T13" s="2365"/>
      <c r="U13" s="2366"/>
      <c r="V13" s="2366"/>
      <c r="W13" s="2366"/>
      <c r="X13" s="2366"/>
      <c r="Y13" s="2365"/>
      <c r="Z13" s="2366"/>
      <c r="AA13" s="2366"/>
      <c r="AB13" s="2366"/>
      <c r="AC13" s="2366"/>
      <c r="AD13" s="2366"/>
      <c r="AE13" s="2366"/>
      <c r="AF13" s="2366"/>
      <c r="AG13" s="2366"/>
      <c r="AH13" s="2366"/>
      <c r="AI13" s="2366"/>
      <c r="AJ13" s="2366"/>
      <c r="AK13" s="2366"/>
      <c r="AL13" s="2366"/>
      <c r="AM13" s="2366"/>
    </row>
    <row r="14" spans="1:40" ht="12.95" customHeight="1">
      <c r="B14" s="435"/>
      <c r="C14" s="2358" t="s">
        <v>500</v>
      </c>
      <c r="D14" s="2358"/>
      <c r="E14" s="2358"/>
      <c r="F14" s="2358"/>
      <c r="G14" s="2358"/>
      <c r="H14" s="2358"/>
      <c r="I14" s="2358"/>
      <c r="J14" s="2358"/>
      <c r="K14" s="2358"/>
      <c r="L14" s="2358"/>
      <c r="M14" s="2358"/>
      <c r="N14" s="2358"/>
      <c r="O14" s="2358"/>
      <c r="P14" s="2358"/>
      <c r="Q14" s="2358"/>
      <c r="R14" s="2358"/>
      <c r="S14" s="2359"/>
      <c r="T14" s="2332"/>
      <c r="U14" s="2333"/>
      <c r="V14" s="2333"/>
      <c r="W14" s="2333"/>
      <c r="X14" s="2333"/>
      <c r="Y14" s="2332"/>
      <c r="Z14" s="2333"/>
      <c r="AA14" s="2333"/>
      <c r="AB14" s="2333"/>
      <c r="AC14" s="2333"/>
      <c r="AD14" s="2333"/>
      <c r="AE14" s="2333"/>
      <c r="AF14" s="2333"/>
      <c r="AG14" s="2333"/>
      <c r="AH14" s="2333"/>
      <c r="AI14" s="2333"/>
      <c r="AJ14" s="2333"/>
      <c r="AK14" s="2333"/>
      <c r="AL14" s="2333"/>
      <c r="AM14" s="2333"/>
    </row>
    <row r="15" spans="1:40" ht="12.95" customHeight="1">
      <c r="B15" s="435"/>
      <c r="C15" s="2358" t="s">
        <v>501</v>
      </c>
      <c r="D15" s="2358"/>
      <c r="E15" s="2358"/>
      <c r="F15" s="2358"/>
      <c r="G15" s="2358"/>
      <c r="H15" s="2358"/>
      <c r="I15" s="2358"/>
      <c r="J15" s="2358"/>
      <c r="K15" s="2358"/>
      <c r="L15" s="2358"/>
      <c r="M15" s="2358"/>
      <c r="N15" s="2358"/>
      <c r="O15" s="2358"/>
      <c r="P15" s="2358"/>
      <c r="Q15" s="2358"/>
      <c r="R15" s="2358"/>
      <c r="S15" s="2359"/>
      <c r="T15" s="2332"/>
      <c r="U15" s="2333"/>
      <c r="V15" s="2333"/>
      <c r="W15" s="2333"/>
      <c r="X15" s="2333"/>
      <c r="Y15" s="2332"/>
      <c r="Z15" s="2333"/>
      <c r="AA15" s="2333"/>
      <c r="AB15" s="2333"/>
      <c r="AC15" s="2333"/>
      <c r="AD15" s="2333"/>
      <c r="AE15" s="2333"/>
      <c r="AF15" s="2333"/>
      <c r="AG15" s="2333"/>
      <c r="AH15" s="2333"/>
      <c r="AI15" s="2333"/>
      <c r="AJ15" s="2333"/>
      <c r="AK15" s="2333"/>
      <c r="AL15" s="2333"/>
      <c r="AM15" s="2333"/>
    </row>
    <row r="16" spans="1:40" ht="12.95" customHeight="1">
      <c r="B16" s="435"/>
      <c r="C16" s="2358" t="s">
        <v>806</v>
      </c>
      <c r="D16" s="2358"/>
      <c r="E16" s="2358"/>
      <c r="F16" s="2358"/>
      <c r="G16" s="2358"/>
      <c r="H16" s="2358"/>
      <c r="I16" s="2358"/>
      <c r="J16" s="2358"/>
      <c r="K16" s="2358"/>
      <c r="L16" s="2358"/>
      <c r="M16" s="2358"/>
      <c r="N16" s="2358"/>
      <c r="O16" s="2358"/>
      <c r="P16" s="2358"/>
      <c r="Q16" s="2358"/>
      <c r="R16" s="2358"/>
      <c r="S16" s="2359"/>
      <c r="T16" s="2332"/>
      <c r="U16" s="2333"/>
      <c r="V16" s="2333"/>
      <c r="W16" s="2333"/>
      <c r="X16" s="2333"/>
      <c r="Y16" s="2332"/>
      <c r="Z16" s="2333"/>
      <c r="AA16" s="2333"/>
      <c r="AB16" s="2333"/>
      <c r="AC16" s="2333"/>
      <c r="AD16" s="2333"/>
      <c r="AE16" s="2333"/>
      <c r="AF16" s="2333"/>
      <c r="AG16" s="2333"/>
      <c r="AH16" s="2333"/>
      <c r="AI16" s="2333"/>
      <c r="AJ16" s="2333"/>
      <c r="AK16" s="2333"/>
      <c r="AL16" s="2333"/>
      <c r="AM16" s="2333"/>
    </row>
    <row r="17" spans="1:40" ht="12.95" customHeight="1">
      <c r="B17" s="435"/>
      <c r="C17" s="2358" t="s">
        <v>502</v>
      </c>
      <c r="D17" s="2358"/>
      <c r="E17" s="2358"/>
      <c r="F17" s="2358"/>
      <c r="G17" s="2358"/>
      <c r="H17" s="2358"/>
      <c r="I17" s="2358"/>
      <c r="J17" s="2358"/>
      <c r="K17" s="2358"/>
      <c r="L17" s="2358"/>
      <c r="M17" s="2358"/>
      <c r="N17" s="2358"/>
      <c r="O17" s="2358"/>
      <c r="P17" s="2358"/>
      <c r="Q17" s="2358"/>
      <c r="R17" s="2358"/>
      <c r="S17" s="2359"/>
      <c r="T17" s="2332"/>
      <c r="U17" s="2333"/>
      <c r="V17" s="2333"/>
      <c r="W17" s="2333"/>
      <c r="X17" s="2333"/>
      <c r="Y17" s="2332"/>
      <c r="Z17" s="2333"/>
      <c r="AA17" s="2333"/>
      <c r="AB17" s="2333"/>
      <c r="AC17" s="2333"/>
      <c r="AD17" s="2333"/>
      <c r="AE17" s="2333"/>
      <c r="AF17" s="2333"/>
      <c r="AG17" s="2333"/>
      <c r="AH17" s="2333"/>
      <c r="AI17" s="2333"/>
      <c r="AJ17" s="2333"/>
      <c r="AK17" s="2333"/>
      <c r="AL17" s="2333"/>
      <c r="AM17" s="2333"/>
    </row>
    <row r="18" spans="1:40" ht="12.95" customHeight="1">
      <c r="A18"/>
      <c r="B18" s="1150"/>
      <c r="C18" s="1824" t="s">
        <v>961</v>
      </c>
      <c r="D18" s="1824"/>
      <c r="E18" s="1824"/>
      <c r="F18" s="1824"/>
      <c r="G18" s="1824"/>
      <c r="H18" s="1824"/>
      <c r="I18" s="1824"/>
      <c r="J18" s="1824"/>
      <c r="K18" s="1824"/>
      <c r="L18" s="1824"/>
      <c r="M18" s="1824"/>
      <c r="N18" s="1824"/>
      <c r="O18" s="1824"/>
      <c r="P18" s="1824"/>
      <c r="Q18" s="1824"/>
      <c r="R18" s="1824"/>
      <c r="S18" s="1825"/>
      <c r="T18" s="2332"/>
      <c r="U18" s="2333"/>
      <c r="V18" s="2333"/>
      <c r="W18" s="2333"/>
      <c r="X18" s="2333"/>
      <c r="Y18" s="2332"/>
      <c r="Z18" s="2333"/>
      <c r="AA18" s="2333"/>
      <c r="AB18" s="2333"/>
      <c r="AC18" s="2333"/>
      <c r="AD18" s="2333"/>
      <c r="AE18" s="2333"/>
      <c r="AF18" s="2333"/>
      <c r="AG18" s="2333"/>
      <c r="AH18" s="2333"/>
      <c r="AI18" s="2333"/>
      <c r="AJ18" s="2333"/>
      <c r="AK18" s="2333"/>
      <c r="AL18" s="2333"/>
      <c r="AM18" s="2333"/>
    </row>
    <row r="19" spans="1:40" ht="12.95" customHeight="1">
      <c r="B19" s="1150"/>
      <c r="C19" s="1824" t="s">
        <v>961</v>
      </c>
      <c r="D19" s="1824"/>
      <c r="E19" s="1824"/>
      <c r="F19" s="1824"/>
      <c r="G19" s="1824"/>
      <c r="H19" s="1824"/>
      <c r="I19" s="1824"/>
      <c r="J19" s="1824"/>
      <c r="K19" s="1824"/>
      <c r="L19" s="1824"/>
      <c r="M19" s="1824"/>
      <c r="N19" s="1824"/>
      <c r="O19" s="1824"/>
      <c r="P19" s="1824"/>
      <c r="Q19" s="1824"/>
      <c r="R19" s="1824"/>
      <c r="S19" s="1825"/>
      <c r="T19" s="2332"/>
      <c r="U19" s="2333"/>
      <c r="V19" s="2333"/>
      <c r="W19" s="2333"/>
      <c r="X19" s="2333"/>
      <c r="Y19" s="2332"/>
      <c r="Z19" s="2333"/>
      <c r="AA19" s="2333"/>
      <c r="AB19" s="2333"/>
      <c r="AC19" s="2333"/>
      <c r="AD19" s="2333"/>
      <c r="AE19" s="2333"/>
      <c r="AF19" s="2333"/>
      <c r="AG19" s="2333"/>
      <c r="AH19" s="2333"/>
      <c r="AI19" s="2333"/>
      <c r="AJ19" s="2333"/>
      <c r="AK19" s="2333"/>
      <c r="AL19" s="2333"/>
      <c r="AM19" s="2333"/>
    </row>
    <row r="20" spans="1:40" ht="12.95" customHeight="1">
      <c r="B20" s="2341" t="s">
        <v>503</v>
      </c>
      <c r="C20" s="2342"/>
      <c r="D20" s="2342"/>
      <c r="E20" s="2342"/>
      <c r="F20" s="2342"/>
      <c r="G20" s="2342"/>
      <c r="H20" s="2342"/>
      <c r="I20" s="2342"/>
      <c r="J20" s="2342"/>
      <c r="K20" s="2342"/>
      <c r="L20" s="2342"/>
      <c r="M20" s="2342"/>
      <c r="N20" s="2342"/>
      <c r="O20" s="2342"/>
      <c r="P20" s="2342"/>
      <c r="Q20" s="2342"/>
      <c r="R20" s="2342"/>
      <c r="S20" s="2343"/>
      <c r="T20" s="2334">
        <f>SUM(T13:X19)</f>
        <v>0</v>
      </c>
      <c r="U20" s="2335"/>
      <c r="V20" s="2335"/>
      <c r="W20" s="2335"/>
      <c r="X20" s="2335"/>
      <c r="Y20" s="2334">
        <f>SUM(Y13:AC19)</f>
        <v>0</v>
      </c>
      <c r="Z20" s="2335"/>
      <c r="AA20" s="2335"/>
      <c r="AB20" s="2335"/>
      <c r="AC20" s="2335"/>
      <c r="AD20" s="2336">
        <f>SUM(AD13:AH19)</f>
        <v>0</v>
      </c>
      <c r="AE20" s="2337"/>
      <c r="AF20" s="2337"/>
      <c r="AG20" s="2337"/>
      <c r="AH20" s="2334"/>
      <c r="AI20" s="2336">
        <f>SUM(AI13:AM19)</f>
        <v>0</v>
      </c>
      <c r="AJ20" s="2337"/>
      <c r="AK20" s="2337"/>
      <c r="AL20" s="2337"/>
      <c r="AM20" s="2334"/>
    </row>
    <row r="21" spans="1:40" ht="12.95" customHeight="1">
      <c r="B21" s="2341" t="s">
        <v>1264</v>
      </c>
      <c r="C21" s="2342"/>
      <c r="D21" s="2342"/>
      <c r="E21" s="2342"/>
      <c r="F21" s="2342"/>
      <c r="G21" s="2342"/>
      <c r="H21" s="2342"/>
      <c r="I21" s="2342"/>
      <c r="J21" s="2342"/>
      <c r="K21" s="2342"/>
      <c r="L21" s="2342"/>
      <c r="M21" s="2342"/>
      <c r="N21" s="2342"/>
      <c r="O21" s="2342"/>
      <c r="P21" s="2342"/>
      <c r="Q21" s="2342"/>
      <c r="R21" s="2342"/>
      <c r="S21" s="2343"/>
      <c r="T21" s="2332"/>
      <c r="U21" s="2333"/>
      <c r="V21" s="2333"/>
      <c r="W21" s="2333"/>
      <c r="X21" s="2333"/>
      <c r="Y21" s="2332"/>
      <c r="Z21" s="2333"/>
      <c r="AA21" s="2333"/>
      <c r="AB21" s="2333"/>
      <c r="AC21" s="2333"/>
      <c r="AD21" s="2329"/>
      <c r="AE21" s="2330"/>
      <c r="AF21" s="2330"/>
      <c r="AG21" s="2330"/>
      <c r="AH21" s="2331"/>
      <c r="AI21" s="2329"/>
      <c r="AJ21" s="2330"/>
      <c r="AK21" s="2330"/>
      <c r="AL21" s="2330"/>
      <c r="AM21" s="2331"/>
    </row>
    <row r="22" spans="1:40" ht="12.95" customHeight="1">
      <c r="B22" s="2341" t="s">
        <v>504</v>
      </c>
      <c r="C22" s="2342"/>
      <c r="D22" s="2342"/>
      <c r="E22" s="2342"/>
      <c r="F22" s="2342"/>
      <c r="G22" s="2342"/>
      <c r="H22" s="2342"/>
      <c r="I22" s="2342"/>
      <c r="J22" s="2342"/>
      <c r="K22" s="2342"/>
      <c r="L22" s="2342"/>
      <c r="M22" s="2342"/>
      <c r="N22" s="2342"/>
      <c r="O22" s="2342"/>
      <c r="P22" s="2342"/>
      <c r="Q22" s="2342"/>
      <c r="R22" s="2342"/>
      <c r="S22" s="2343"/>
      <c r="T22" s="2367">
        <f>(ABS(T20)+ABS(T21))*-1</f>
        <v>0</v>
      </c>
      <c r="U22" s="2368"/>
      <c r="V22" s="2368"/>
      <c r="W22" s="2368"/>
      <c r="X22" s="2368"/>
      <c r="Y22" s="2367">
        <f>(Y20+Y21)*-1</f>
        <v>0</v>
      </c>
      <c r="Z22" s="2368"/>
      <c r="AA22" s="2368"/>
      <c r="AB22" s="2368"/>
      <c r="AC22" s="2368"/>
      <c r="AD22" s="2369">
        <f>(AD20)*-1</f>
        <v>0</v>
      </c>
      <c r="AE22" s="2370"/>
      <c r="AF22" s="2370"/>
      <c r="AG22" s="2370"/>
      <c r="AH22" s="2367"/>
      <c r="AI22" s="2369">
        <f>(AI20)*-1</f>
        <v>0</v>
      </c>
      <c r="AJ22" s="2370"/>
      <c r="AK22" s="2370"/>
      <c r="AL22" s="2370"/>
      <c r="AM22" s="2367"/>
    </row>
    <row r="23" spans="1:40" ht="12.95" customHeight="1">
      <c r="B23" s="2341" t="s">
        <v>505</v>
      </c>
      <c r="C23" s="2342"/>
      <c r="D23" s="2342"/>
      <c r="E23" s="2342"/>
      <c r="F23" s="2342"/>
      <c r="G23" s="2342"/>
      <c r="H23" s="2342"/>
      <c r="I23" s="2342"/>
      <c r="J23" s="2342"/>
      <c r="K23" s="2342"/>
      <c r="L23" s="2342"/>
      <c r="M23" s="2342"/>
      <c r="N23" s="2342"/>
      <c r="O23" s="2342"/>
      <c r="P23" s="2342"/>
      <c r="Q23" s="2342"/>
      <c r="R23" s="2342"/>
      <c r="S23" s="2343"/>
      <c r="T23" s="2334">
        <f>T11+T22</f>
        <v>49958920</v>
      </c>
      <c r="U23" s="2335"/>
      <c r="V23" s="2335"/>
      <c r="W23" s="2335"/>
      <c r="X23" s="2335"/>
      <c r="Y23" s="2334">
        <f>Y11+Y22</f>
        <v>0</v>
      </c>
      <c r="Z23" s="2335"/>
      <c r="AA23" s="2335"/>
      <c r="AB23" s="2335"/>
      <c r="AC23" s="2335"/>
      <c r="AD23" s="2334">
        <f>AD11+AD22</f>
        <v>18610000</v>
      </c>
      <c r="AE23" s="2335"/>
      <c r="AF23" s="2335"/>
      <c r="AG23" s="2335"/>
      <c r="AH23" s="2335"/>
      <c r="AI23" s="2334">
        <f>AI11+AI22</f>
        <v>0</v>
      </c>
      <c r="AJ23" s="2335"/>
      <c r="AK23" s="2335"/>
      <c r="AL23" s="2335"/>
      <c r="AM23" s="2335"/>
    </row>
    <row r="24" spans="1:40" ht="12.95" customHeight="1">
      <c r="B24" s="2341" t="s">
        <v>962</v>
      </c>
      <c r="C24" s="2342"/>
      <c r="D24" s="2342"/>
      <c r="E24" s="2342"/>
      <c r="F24" s="2342"/>
      <c r="G24" s="2342"/>
      <c r="H24" s="2342"/>
      <c r="I24" s="2342"/>
      <c r="J24" s="2342"/>
      <c r="K24" s="2342"/>
      <c r="L24" s="2342"/>
      <c r="M24" s="2342"/>
      <c r="N24" s="2342"/>
      <c r="O24" s="2342"/>
      <c r="P24" s="2342"/>
      <c r="Q24" s="2342"/>
      <c r="R24" s="2342"/>
      <c r="S24" s="2343"/>
      <c r="T24" s="2336">
        <f>Application!AJ1053</f>
        <v>123324341.60000001</v>
      </c>
      <c r="U24" s="2337"/>
      <c r="V24" s="2337"/>
      <c r="W24" s="2337"/>
      <c r="X24" s="2337"/>
      <c r="Y24" s="2337"/>
      <c r="Z24" s="2337"/>
      <c r="AA24" s="2337"/>
      <c r="AB24" s="2337"/>
      <c r="AC24" s="2337"/>
      <c r="AD24" s="2337"/>
      <c r="AE24" s="2337"/>
      <c r="AF24" s="2337"/>
      <c r="AG24" s="2337"/>
      <c r="AH24" s="2337"/>
      <c r="AI24" s="2337"/>
      <c r="AJ24" s="2337"/>
      <c r="AK24" s="2337"/>
      <c r="AL24" s="2337"/>
      <c r="AM24" s="2334"/>
    </row>
    <row r="25" spans="1:40" ht="12.95" customHeight="1">
      <c r="B25" s="2345" t="s">
        <v>1265</v>
      </c>
      <c r="C25" s="2346"/>
      <c r="D25" s="2346"/>
      <c r="E25" s="2346"/>
      <c r="F25" s="2346"/>
      <c r="G25" s="2346"/>
      <c r="H25" s="2346"/>
      <c r="I25" s="2346"/>
      <c r="J25" s="2346"/>
      <c r="K25" s="2346"/>
      <c r="L25" s="2346"/>
      <c r="M25" s="2346"/>
      <c r="N25" s="2346"/>
      <c r="O25" s="2346"/>
      <c r="P25" s="2346"/>
      <c r="Q25" s="2346"/>
      <c r="R25" s="2346"/>
      <c r="S25" s="2347"/>
      <c r="T25" s="2371">
        <f>IF(OR(Application!T196="yes",Application!T195="yes"),1.3,1)</f>
        <v>1.3</v>
      </c>
      <c r="U25" s="2372"/>
      <c r="V25" s="2372"/>
      <c r="W25" s="2372"/>
      <c r="X25" s="2372"/>
      <c r="Y25" s="2371">
        <v>1</v>
      </c>
      <c r="Z25" s="2372"/>
      <c r="AA25" s="2372"/>
      <c r="AB25" s="2372"/>
      <c r="AC25" s="2372"/>
      <c r="AD25" s="2371">
        <v>1</v>
      </c>
      <c r="AE25" s="2372"/>
      <c r="AF25" s="2372"/>
      <c r="AG25" s="2372"/>
      <c r="AH25" s="2373"/>
      <c r="AI25" s="2371">
        <v>1</v>
      </c>
      <c r="AJ25" s="2372"/>
      <c r="AK25" s="2372"/>
      <c r="AL25" s="2372"/>
      <c r="AM25" s="2373"/>
    </row>
    <row r="26" spans="1:40" ht="12.95" customHeight="1">
      <c r="B26" s="2341" t="s">
        <v>506</v>
      </c>
      <c r="C26" s="2342"/>
      <c r="D26" s="2342"/>
      <c r="E26" s="2342"/>
      <c r="F26" s="2342"/>
      <c r="G26" s="2342"/>
      <c r="H26" s="2342"/>
      <c r="I26" s="2342"/>
      <c r="J26" s="2342"/>
      <c r="K26" s="2342"/>
      <c r="L26" s="2342"/>
      <c r="M26" s="2342"/>
      <c r="N26" s="2342"/>
      <c r="O26" s="2342"/>
      <c r="P26" s="2342"/>
      <c r="Q26" s="2342"/>
      <c r="R26" s="2342"/>
      <c r="S26" s="2343"/>
      <c r="T26" s="2334">
        <f>T23*T25</f>
        <v>64946596</v>
      </c>
      <c r="U26" s="2335"/>
      <c r="V26" s="2335"/>
      <c r="W26" s="2335"/>
      <c r="X26" s="2335"/>
      <c r="Y26" s="2334">
        <f>Y23*Y25</f>
        <v>0</v>
      </c>
      <c r="Z26" s="2335"/>
      <c r="AA26" s="2335"/>
      <c r="AB26" s="2335"/>
      <c r="AC26" s="2335"/>
      <c r="AD26" s="2334">
        <f>AD23*AD25</f>
        <v>18610000</v>
      </c>
      <c r="AE26" s="2335"/>
      <c r="AF26" s="2335"/>
      <c r="AG26" s="2335"/>
      <c r="AH26" s="2335"/>
      <c r="AI26" s="2334">
        <f>AI23*AI25</f>
        <v>0</v>
      </c>
      <c r="AJ26" s="2335"/>
      <c r="AK26" s="2335"/>
      <c r="AL26" s="2335"/>
      <c r="AM26" s="2335"/>
    </row>
    <row r="27" spans="1:40" ht="12.95" customHeight="1">
      <c r="A27" s="410"/>
      <c r="B27" s="2348" t="s">
        <v>426</v>
      </c>
      <c r="C27" s="2349"/>
      <c r="D27" s="2349"/>
      <c r="E27" s="2349"/>
      <c r="F27" s="2349"/>
      <c r="G27" s="2349"/>
      <c r="H27" s="2349"/>
      <c r="I27" s="2349"/>
      <c r="J27" s="2349"/>
      <c r="K27" s="2349"/>
      <c r="L27" s="2349"/>
      <c r="M27" s="2349"/>
      <c r="N27" s="2349"/>
      <c r="O27" s="2349"/>
      <c r="P27" s="2349"/>
      <c r="Q27" s="2349"/>
      <c r="R27" s="2349"/>
      <c r="S27" s="2350"/>
      <c r="T27" s="2354">
        <f>Application!$AG$445</f>
        <v>1</v>
      </c>
      <c r="U27" s="2355"/>
      <c r="V27" s="2355"/>
      <c r="W27" s="2355"/>
      <c r="X27" s="2355"/>
      <c r="Y27" s="2354">
        <f>Application!$AG$445</f>
        <v>1</v>
      </c>
      <c r="Z27" s="2355"/>
      <c r="AA27" s="2355"/>
      <c r="AB27" s="2355"/>
      <c r="AC27" s="2355"/>
      <c r="AD27" s="2354">
        <f>Application!$AG$445</f>
        <v>1</v>
      </c>
      <c r="AE27" s="2355"/>
      <c r="AF27" s="2355"/>
      <c r="AG27" s="2355"/>
      <c r="AH27" s="2355"/>
      <c r="AI27" s="2354">
        <f>Application!$AG$445</f>
        <v>1</v>
      </c>
      <c r="AJ27" s="2355"/>
      <c r="AK27" s="2355"/>
      <c r="AL27" s="2355"/>
      <c r="AM27" s="2355"/>
    </row>
    <row r="28" spans="1:40" ht="12.95" customHeight="1">
      <c r="A28" s="404"/>
      <c r="B28" s="2341" t="s">
        <v>507</v>
      </c>
      <c r="C28" s="2342"/>
      <c r="D28" s="2342"/>
      <c r="E28" s="2342"/>
      <c r="F28" s="2342"/>
      <c r="G28" s="2342"/>
      <c r="H28" s="2342"/>
      <c r="I28" s="2342"/>
      <c r="J28" s="2342"/>
      <c r="K28" s="2342"/>
      <c r="L28" s="2342"/>
      <c r="M28" s="2342"/>
      <c r="N28" s="2342"/>
      <c r="O28" s="2342"/>
      <c r="P28" s="2342"/>
      <c r="Q28" s="2342"/>
      <c r="R28" s="2342"/>
      <c r="S28" s="2343"/>
      <c r="T28" s="2334">
        <f>IF(ISERROR((T26*T27)),0,(T26*T27))</f>
        <v>64946596</v>
      </c>
      <c r="U28" s="2335"/>
      <c r="V28" s="2335"/>
      <c r="W28" s="2335"/>
      <c r="X28" s="2335"/>
      <c r="Y28" s="2334">
        <f>IF(ISERROR((Y26*Y27)),0,(Y26*Y27))</f>
        <v>0</v>
      </c>
      <c r="Z28" s="2335"/>
      <c r="AA28" s="2335"/>
      <c r="AB28" s="2335"/>
      <c r="AC28" s="2335"/>
      <c r="AD28" s="2334">
        <f>IF(ISERROR((AD26*AD27)),0,(AD26*AD27))</f>
        <v>18610000</v>
      </c>
      <c r="AE28" s="2335"/>
      <c r="AF28" s="2335"/>
      <c r="AG28" s="2335"/>
      <c r="AH28" s="2335"/>
      <c r="AI28" s="2334">
        <f>IF(ISERROR((AI26*AI27)),0,(AI26*AI27))</f>
        <v>0</v>
      </c>
      <c r="AJ28" s="2335"/>
      <c r="AK28" s="2335"/>
      <c r="AL28" s="2335"/>
      <c r="AM28" s="2335"/>
    </row>
    <row r="29" spans="1:40" ht="12.95" customHeight="1">
      <c r="B29" s="2341" t="s">
        <v>524</v>
      </c>
      <c r="C29" s="2342"/>
      <c r="D29" s="2342"/>
      <c r="E29" s="2342"/>
      <c r="F29" s="2342"/>
      <c r="G29" s="2342"/>
      <c r="H29" s="2342"/>
      <c r="I29" s="2342"/>
      <c r="J29" s="2342"/>
      <c r="K29" s="2342"/>
      <c r="L29" s="2342"/>
      <c r="M29" s="2342"/>
      <c r="N29" s="2342"/>
      <c r="O29" s="2342"/>
      <c r="P29" s="2342"/>
      <c r="Q29" s="2342"/>
      <c r="R29" s="2342"/>
      <c r="S29" s="2343"/>
      <c r="T29" s="2336">
        <f>T28+Y28+AD28+AI28</f>
        <v>83556596</v>
      </c>
      <c r="U29" s="2337"/>
      <c r="V29" s="2337"/>
      <c r="W29" s="2337"/>
      <c r="X29" s="2337"/>
      <c r="Y29" s="2337"/>
      <c r="Z29" s="2337"/>
      <c r="AA29" s="2337"/>
      <c r="AB29" s="2337"/>
      <c r="AC29" s="2337"/>
      <c r="AD29" s="2337"/>
      <c r="AE29" s="2337"/>
      <c r="AF29" s="2337"/>
      <c r="AG29" s="2337"/>
      <c r="AH29" s="2337"/>
      <c r="AI29" s="2337"/>
      <c r="AJ29" s="2337"/>
      <c r="AK29" s="2337"/>
      <c r="AL29" s="2337"/>
      <c r="AM29" s="2334"/>
    </row>
    <row r="30" spans="1:40" ht="12.95" customHeight="1">
      <c r="B30" s="2344" t="s">
        <v>1267</v>
      </c>
      <c r="C30" s="2344"/>
      <c r="D30" s="2344"/>
      <c r="E30" s="2344"/>
      <c r="F30" s="2344"/>
      <c r="G30" s="2344"/>
      <c r="H30" s="2344"/>
      <c r="I30" s="2344"/>
      <c r="J30" s="2344"/>
      <c r="K30" s="2344"/>
      <c r="L30" s="2344"/>
      <c r="M30" s="2344"/>
      <c r="N30" s="2344"/>
      <c r="O30" s="2344"/>
      <c r="P30" s="2344"/>
      <c r="Q30" s="2344"/>
      <c r="R30" s="2344"/>
      <c r="S30" s="2344"/>
      <c r="T30" s="2344"/>
      <c r="U30" s="2344"/>
      <c r="V30" s="2344"/>
      <c r="W30" s="2344"/>
      <c r="X30" s="2344"/>
      <c r="Y30" s="2344"/>
      <c r="Z30" s="2344"/>
      <c r="AA30" s="2344"/>
      <c r="AB30" s="2344"/>
      <c r="AC30" s="2344"/>
      <c r="AD30" s="2344"/>
      <c r="AE30" s="2344"/>
      <c r="AF30" s="2344"/>
      <c r="AG30" s="2344"/>
      <c r="AH30" s="2344"/>
      <c r="AI30" s="2344"/>
      <c r="AJ30" s="2344"/>
      <c r="AK30" s="2344"/>
      <c r="AL30" s="2344"/>
      <c r="AM30" s="2344"/>
    </row>
    <row r="31" spans="1:40" ht="12.95" customHeight="1">
      <c r="B31" s="2344" t="s">
        <v>1266</v>
      </c>
      <c r="C31" s="2344"/>
      <c r="D31" s="2344"/>
      <c r="E31" s="2344"/>
      <c r="F31" s="2344"/>
      <c r="G31" s="2344"/>
      <c r="H31" s="2344"/>
      <c r="I31" s="2344"/>
      <c r="J31" s="2344"/>
      <c r="K31" s="2344"/>
      <c r="L31" s="2344"/>
      <c r="M31" s="2344"/>
      <c r="N31" s="2344"/>
      <c r="O31" s="2344"/>
      <c r="P31" s="2344"/>
      <c r="Q31" s="2344"/>
      <c r="R31" s="2344"/>
      <c r="S31" s="2344"/>
      <c r="T31" s="2344"/>
      <c r="U31" s="2344"/>
      <c r="V31" s="2344"/>
      <c r="W31" s="2344"/>
      <c r="X31" s="2344"/>
      <c r="Y31" s="2344"/>
      <c r="Z31" s="2344"/>
      <c r="AA31" s="2344"/>
      <c r="AB31" s="2344"/>
      <c r="AC31" s="2344"/>
      <c r="AD31" s="2344"/>
      <c r="AE31" s="2344"/>
      <c r="AF31" s="2344"/>
      <c r="AG31" s="2344"/>
      <c r="AH31" s="2344"/>
      <c r="AI31" s="2344"/>
      <c r="AJ31" s="2344"/>
      <c r="AK31" s="2344"/>
      <c r="AL31" s="2344"/>
      <c r="AM31" s="2344"/>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2" t="s">
        <v>1155</v>
      </c>
      <c r="Z35" s="2362"/>
      <c r="AA35" s="2362"/>
      <c r="AB35" s="2362"/>
      <c r="AC35" s="2362"/>
      <c r="AD35" s="2382" t="s">
        <v>369</v>
      </c>
      <c r="AE35" s="2382"/>
      <c r="AF35" s="2382"/>
      <c r="AG35" s="2382"/>
      <c r="AH35" s="2382"/>
    </row>
    <row r="36" spans="1:76" ht="12.95" customHeight="1">
      <c r="B36" s="407"/>
      <c r="X36" s="412"/>
      <c r="Y36" s="2362"/>
      <c r="Z36" s="2362"/>
      <c r="AA36" s="2362"/>
      <c r="AB36" s="2362"/>
      <c r="AC36" s="2362"/>
      <c r="AD36" s="2382"/>
      <c r="AE36" s="2382"/>
      <c r="AF36" s="2382"/>
      <c r="AG36" s="2382"/>
      <c r="AH36" s="2382"/>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2"/>
      <c r="Z37" s="2362"/>
      <c r="AA37" s="2362"/>
      <c r="AB37" s="2362"/>
      <c r="AC37" s="2362"/>
      <c r="AD37" s="2382"/>
      <c r="AE37" s="2382"/>
      <c r="AF37" s="2382"/>
      <c r="AG37" s="2382"/>
      <c r="AH37" s="2382"/>
    </row>
    <row r="38" spans="1:76" ht="12.95" customHeight="1">
      <c r="A38" s="404"/>
      <c r="B38" s="2341" t="s">
        <v>507</v>
      </c>
      <c r="C38" s="2342"/>
      <c r="D38" s="2342"/>
      <c r="E38" s="2342"/>
      <c r="F38" s="2342"/>
      <c r="G38" s="2342"/>
      <c r="H38" s="2342"/>
      <c r="I38" s="2342"/>
      <c r="J38" s="2342"/>
      <c r="K38" s="2342"/>
      <c r="L38" s="2342"/>
      <c r="M38" s="2342"/>
      <c r="N38" s="2342"/>
      <c r="O38" s="2342"/>
      <c r="P38" s="2342"/>
      <c r="Q38" s="2342"/>
      <c r="R38" s="2342"/>
      <c r="S38" s="2342"/>
      <c r="T38" s="2342"/>
      <c r="U38" s="2342"/>
      <c r="V38" s="2342"/>
      <c r="W38" s="2342"/>
      <c r="X38" s="2343"/>
      <c r="Y38" s="2335">
        <f>IF(T24&gt;=(T23+Y23+AD23+AI23),T28+Y28,0)</f>
        <v>64946596</v>
      </c>
      <c r="Z38" s="2335"/>
      <c r="AA38" s="2335"/>
      <c r="AB38" s="2335"/>
      <c r="AC38" s="2335"/>
      <c r="AD38" s="2335">
        <f>IF(T24&gt;=(T23+Y23+AD23+AI23),AD28+AI28,0)</f>
        <v>18610000</v>
      </c>
      <c r="AE38" s="2335"/>
      <c r="AF38" s="2335"/>
      <c r="AG38" s="2335"/>
      <c r="AH38" s="2335"/>
    </row>
    <row r="39" spans="1:76" ht="12.95" customHeight="1">
      <c r="B39" s="2341" t="s">
        <v>1692</v>
      </c>
      <c r="C39" s="2342"/>
      <c r="D39" s="2342"/>
      <c r="E39" s="2342"/>
      <c r="F39" s="2342"/>
      <c r="G39" s="2342"/>
      <c r="H39" s="2342"/>
      <c r="I39" s="2342"/>
      <c r="J39" s="2342"/>
      <c r="K39" s="2342"/>
      <c r="L39" s="2342"/>
      <c r="M39" s="2342"/>
      <c r="N39" s="2342"/>
      <c r="O39" s="2342"/>
      <c r="P39" s="2342"/>
      <c r="Q39" s="2342"/>
      <c r="R39" s="2342"/>
      <c r="S39" s="2342"/>
      <c r="T39" s="2342"/>
      <c r="U39" s="2342"/>
      <c r="V39" s="2342"/>
      <c r="W39" s="2342"/>
      <c r="X39" s="2343"/>
      <c r="Y39" s="2383">
        <v>0.04</v>
      </c>
      <c r="Z39" s="2383"/>
      <c r="AA39" s="2383"/>
      <c r="AB39" s="2383"/>
      <c r="AC39" s="2383"/>
      <c r="AD39" s="2383">
        <v>0.04</v>
      </c>
      <c r="AE39" s="2383"/>
      <c r="AF39" s="2383"/>
      <c r="AG39" s="2383"/>
      <c r="AH39" s="2383"/>
    </row>
    <row r="40" spans="1:76" ht="12.95" customHeight="1">
      <c r="A40" s="404"/>
      <c r="B40" s="2341" t="s">
        <v>643</v>
      </c>
      <c r="C40" s="2342"/>
      <c r="D40" s="2342"/>
      <c r="E40" s="2342"/>
      <c r="F40" s="2342"/>
      <c r="G40" s="2342"/>
      <c r="H40" s="2342"/>
      <c r="I40" s="2342"/>
      <c r="J40" s="2342"/>
      <c r="K40" s="2342"/>
      <c r="L40" s="2342"/>
      <c r="M40" s="2342"/>
      <c r="N40" s="2342"/>
      <c r="O40" s="2342"/>
      <c r="P40" s="2342"/>
      <c r="Q40" s="2342"/>
      <c r="R40" s="2342"/>
      <c r="S40" s="2342"/>
      <c r="T40" s="2342"/>
      <c r="U40" s="2342"/>
      <c r="V40" s="2342"/>
      <c r="W40" s="2342"/>
      <c r="X40" s="2343"/>
      <c r="Y40" s="2335">
        <f>ROUND(Y38*Y39,0)</f>
        <v>2597864</v>
      </c>
      <c r="Z40" s="2335"/>
      <c r="AA40" s="2335"/>
      <c r="AB40" s="2335"/>
      <c r="AC40" s="2335"/>
      <c r="AD40" s="2334">
        <f>ROUND(AD38*AD39,0)</f>
        <v>744400</v>
      </c>
      <c r="AE40" s="2335"/>
      <c r="AF40" s="2335"/>
      <c r="AG40" s="2335"/>
      <c r="AH40" s="2335"/>
    </row>
    <row r="41" spans="1:76" ht="12.95" customHeight="1">
      <c r="B41" s="2341" t="s">
        <v>644</v>
      </c>
      <c r="C41" s="2342"/>
      <c r="D41" s="2342"/>
      <c r="E41" s="2342"/>
      <c r="F41" s="2342"/>
      <c r="G41" s="2342"/>
      <c r="H41" s="2342"/>
      <c r="I41" s="2342"/>
      <c r="J41" s="2342"/>
      <c r="K41" s="2342"/>
      <c r="L41" s="2342"/>
      <c r="M41" s="2342"/>
      <c r="N41" s="2342"/>
      <c r="O41" s="2342"/>
      <c r="P41" s="2342"/>
      <c r="Q41" s="2342"/>
      <c r="R41" s="2342"/>
      <c r="S41" s="2342"/>
      <c r="T41" s="2342"/>
      <c r="U41" s="2342"/>
      <c r="V41" s="2342"/>
      <c r="W41" s="2342"/>
      <c r="X41" s="2343"/>
      <c r="Y41" s="2336">
        <f>Y40+AD40</f>
        <v>3342264</v>
      </c>
      <c r="Z41" s="2337"/>
      <c r="AA41" s="2337"/>
      <c r="AB41" s="2337"/>
      <c r="AC41" s="2337"/>
      <c r="AD41" s="2337"/>
      <c r="AE41" s="2337"/>
      <c r="AF41" s="2337"/>
      <c r="AG41" s="2337"/>
      <c r="AH41" s="2334"/>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9" t="s">
        <v>1277</v>
      </c>
      <c r="B44" s="2339"/>
      <c r="C44" s="2339"/>
      <c r="D44" s="2339"/>
      <c r="E44" s="2339"/>
      <c r="F44" s="2339"/>
      <c r="G44" s="2339"/>
      <c r="H44" s="2339"/>
      <c r="I44" s="2339"/>
      <c r="J44" s="2339"/>
      <c r="K44" s="2339"/>
      <c r="L44" s="2339"/>
      <c r="M44" s="2339"/>
      <c r="N44" s="2339"/>
      <c r="O44" s="2339"/>
      <c r="P44" s="2339"/>
      <c r="Q44" s="2339"/>
      <c r="R44" s="2339"/>
      <c r="S44" s="2339"/>
      <c r="T44" s="2339"/>
      <c r="U44" s="2339"/>
      <c r="V44" s="2339"/>
      <c r="W44" s="2339"/>
      <c r="X44" s="2339"/>
      <c r="Y44" s="2339"/>
      <c r="Z44" s="2339"/>
      <c r="AA44" s="2339"/>
      <c r="AB44" s="2339"/>
      <c r="AC44" s="2339"/>
      <c r="AD44" s="2339"/>
      <c r="AE44" s="2339"/>
      <c r="AF44" s="2339"/>
      <c r="AG44" s="2339"/>
      <c r="AH44" s="2339"/>
      <c r="AI44" s="2339"/>
      <c r="AJ44" s="2339"/>
      <c r="AK44" s="2339"/>
      <c r="AL44" s="2339"/>
      <c r="AM44" s="2339"/>
      <c r="AN44" s="2339"/>
      <c r="AO44" s="2339"/>
      <c r="AP44" s="2339"/>
      <c r="AQ44" s="2339"/>
      <c r="AR44" s="2339"/>
      <c r="AS44" s="2339"/>
      <c r="AT44" s="2339"/>
      <c r="AU44" s="2339"/>
      <c r="AV44" s="2339"/>
      <c r="AW44" s="2339"/>
      <c r="AX44" s="2339"/>
      <c r="AY44" s="2339"/>
      <c r="AZ44" s="2339"/>
      <c r="BA44" s="2339"/>
      <c r="BB44" s="2339"/>
      <c r="BC44" s="2339"/>
      <c r="BD44" s="2339"/>
      <c r="BE44" s="2339"/>
      <c r="BF44" s="2339"/>
      <c r="BG44" s="2339"/>
      <c r="BH44" s="2339"/>
      <c r="BI44" s="2339"/>
      <c r="BJ44" s="2339"/>
      <c r="BK44" s="2339"/>
      <c r="BL44" s="2339"/>
      <c r="BM44" s="2339"/>
      <c r="BN44" s="2339"/>
      <c r="BO44" s="2339"/>
      <c r="BP44" s="2339"/>
      <c r="BQ44" s="2339"/>
      <c r="BR44" s="2339"/>
      <c r="BS44" s="2339"/>
      <c r="BT44" s="2339"/>
      <c r="BU44" s="2339"/>
      <c r="BV44" s="2339"/>
      <c r="BW44" s="2339"/>
      <c r="BX44" s="2339"/>
    </row>
    <row r="45" spans="1:76" s="204" customFormat="1" ht="12.95" customHeight="1" thickTop="1"/>
    <row r="46" spans="1:76" ht="12.95" customHeight="1">
      <c r="A46" s="404" t="s">
        <v>587</v>
      </c>
      <c r="C46" s="404" t="s">
        <v>282</v>
      </c>
    </row>
    <row r="47" spans="1:76" ht="12.95" customHeight="1">
      <c r="D47" s="404" t="s">
        <v>283</v>
      </c>
      <c r="AB47" s="2351">
        <f>'Sources and Uses Budget'!B105-MAX(IF('Sources and Uses Budget'!B15="",0,'Sources and Uses Budget'!B15),IF(Application!AG394="",0,Application!AG394))</f>
        <v>71780116</v>
      </c>
      <c r="AC47" s="2352"/>
      <c r="AD47" s="2352"/>
      <c r="AE47" s="2352"/>
      <c r="AF47" s="2353"/>
    </row>
    <row r="48" spans="1:76" ht="12.95" customHeight="1">
      <c r="D48" s="404" t="s">
        <v>21</v>
      </c>
      <c r="AB48" s="2351">
        <f>Application!AO639-MAX(IF('Sources and Uses Budget'!B15="",0,'Sources and Uses Budget'!B15),IF(Application!AG394="",0,Application!AG394))</f>
        <v>44042100</v>
      </c>
      <c r="AC48" s="2352"/>
      <c r="AD48" s="2352"/>
      <c r="AE48" s="2352"/>
      <c r="AF48" s="2353"/>
    </row>
    <row r="49" spans="1:76" ht="12.95" customHeight="1">
      <c r="D49" s="404" t="s">
        <v>91</v>
      </c>
      <c r="AB49" s="2351">
        <f>AB47-AB48</f>
        <v>27738016</v>
      </c>
      <c r="AC49" s="2352"/>
      <c r="AD49" s="2352"/>
      <c r="AE49" s="2352"/>
      <c r="AF49" s="2353"/>
    </row>
    <row r="50" spans="1:76" ht="12.95" customHeight="1">
      <c r="D50" s="404" t="s">
        <v>682</v>
      </c>
      <c r="AA50" s="415"/>
      <c r="AB50" s="2378">
        <v>0.83778125000000003</v>
      </c>
      <c r="AC50" s="2379"/>
      <c r="AD50" s="2379"/>
      <c r="AE50" s="2379"/>
      <c r="AF50" s="2380"/>
    </row>
    <row r="51" spans="1:76" s="417" customFormat="1" ht="12.95" customHeight="1">
      <c r="A51" s="402"/>
      <c r="B51" s="402"/>
      <c r="C51" s="402"/>
      <c r="D51" s="402"/>
      <c r="E51" s="2381" t="s">
        <v>2611</v>
      </c>
      <c r="F51" s="2381"/>
      <c r="G51" s="2381"/>
      <c r="H51" s="2381"/>
      <c r="I51" s="2381"/>
      <c r="J51" s="2381"/>
      <c r="K51" s="2381"/>
      <c r="L51" s="2381"/>
      <c r="M51" s="2381"/>
      <c r="N51" s="2381"/>
      <c r="O51" s="2381"/>
      <c r="P51" s="2381"/>
      <c r="Q51" s="2381"/>
      <c r="R51" s="2381"/>
      <c r="S51" s="2381"/>
      <c r="T51" s="2381"/>
      <c r="U51" s="2381"/>
      <c r="V51" s="2381"/>
      <c r="W51" s="2381"/>
      <c r="X51" s="2381"/>
      <c r="Y51" s="2381"/>
      <c r="Z51" s="2381"/>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1"/>
      <c r="F52" s="2381"/>
      <c r="G52" s="2381"/>
      <c r="H52" s="2381"/>
      <c r="I52" s="2381"/>
      <c r="J52" s="2381"/>
      <c r="K52" s="2381"/>
      <c r="L52" s="2381"/>
      <c r="M52" s="2381"/>
      <c r="N52" s="2381"/>
      <c r="O52" s="2381"/>
      <c r="P52" s="2381"/>
      <c r="Q52" s="2381"/>
      <c r="R52" s="2381"/>
      <c r="S52" s="2381"/>
      <c r="T52" s="2381"/>
      <c r="U52" s="2381"/>
      <c r="V52" s="2381"/>
      <c r="W52" s="2381"/>
      <c r="X52" s="2381"/>
      <c r="Y52" s="2381"/>
      <c r="Z52" s="2381"/>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1">
        <f>ROUND(IF(ISERROR((AB49/AB50)),0,(AB49/AB50)),0)</f>
        <v>33108900</v>
      </c>
      <c r="AC54" s="2352"/>
      <c r="AD54" s="2352"/>
      <c r="AE54" s="2352"/>
      <c r="AF54" s="2353"/>
    </row>
    <row r="55" spans="1:76" ht="12.95" customHeight="1">
      <c r="D55" s="404" t="s">
        <v>333</v>
      </c>
      <c r="AB55" s="2351">
        <f>(AB54/10)</f>
        <v>3310890</v>
      </c>
      <c r="AC55" s="2352"/>
      <c r="AD55" s="2352"/>
      <c r="AE55" s="2352"/>
      <c r="AF55" s="2353"/>
    </row>
    <row r="56" spans="1:76" ht="12.95" customHeight="1">
      <c r="D56" s="404" t="s">
        <v>757</v>
      </c>
      <c r="AB56" s="2351">
        <f>ROUND((IF((Y41&lt;AB55),Y41,AB55)),0)</f>
        <v>3310890</v>
      </c>
      <c r="AC56" s="2352"/>
      <c r="AD56" s="2352"/>
      <c r="AE56" s="2352"/>
      <c r="AF56" s="2353"/>
    </row>
    <row r="57" spans="1:76" ht="12.95" customHeight="1">
      <c r="D57" s="404" t="s">
        <v>756</v>
      </c>
      <c r="AB57" s="2351">
        <f>ROUND((10*AB56*AB50),0)</f>
        <v>27738016</v>
      </c>
      <c r="AC57" s="2352"/>
      <c r="AD57" s="2352"/>
      <c r="AE57" s="2352"/>
      <c r="AF57" s="2353"/>
    </row>
    <row r="58" spans="1:76" ht="12.95" customHeight="1">
      <c r="D58" s="404"/>
      <c r="AB58" s="423"/>
      <c r="AC58" s="423"/>
      <c r="AD58" s="423"/>
      <c r="AE58" s="423"/>
      <c r="AF58" s="423"/>
    </row>
    <row r="59" spans="1:76" ht="12.95" customHeight="1">
      <c r="D59" s="404" t="s">
        <v>755</v>
      </c>
      <c r="AB59" s="2374">
        <f>AB49-AB57</f>
        <v>0</v>
      </c>
      <c r="AC59" s="2374"/>
      <c r="AD59" s="2374"/>
      <c r="AE59" s="2374"/>
      <c r="AF59" s="2374"/>
    </row>
    <row r="60" spans="1:76" ht="12.95" customHeight="1">
      <c r="D60" s="404"/>
      <c r="AB60" s="423"/>
      <c r="AC60" s="423"/>
      <c r="AD60" s="423"/>
      <c r="AE60" s="423"/>
      <c r="AF60" s="423"/>
    </row>
    <row r="61" spans="1:76" s="204" customFormat="1" ht="12.95" customHeight="1" thickBot="1">
      <c r="A61" s="2339" t="str">
        <f>IF(Application!AP205="yes","Farmworker State Credit", "State Credit" )</f>
        <v>State Credit</v>
      </c>
      <c r="B61" s="2339"/>
      <c r="C61" s="2339"/>
      <c r="D61" s="2339"/>
      <c r="E61" s="2339"/>
      <c r="F61" s="2339"/>
      <c r="G61" s="2339"/>
      <c r="H61" s="2339"/>
      <c r="I61" s="2339"/>
      <c r="J61" s="2339"/>
      <c r="K61" s="2339"/>
      <c r="L61" s="2339"/>
      <c r="M61" s="2339"/>
      <c r="N61" s="2339"/>
      <c r="O61" s="2339"/>
      <c r="P61" s="2339"/>
      <c r="Q61" s="2339"/>
      <c r="R61" s="2339"/>
      <c r="S61" s="2339"/>
      <c r="T61" s="2339"/>
      <c r="U61" s="2339"/>
      <c r="V61" s="2339"/>
      <c r="W61" s="2339"/>
      <c r="X61" s="2339"/>
      <c r="Y61" s="2339"/>
      <c r="Z61" s="2339"/>
      <c r="AA61" s="2339"/>
      <c r="AB61" s="2339"/>
      <c r="AC61" s="2339"/>
      <c r="AD61" s="2339"/>
      <c r="AE61" s="2339"/>
      <c r="AF61" s="2339"/>
      <c r="AG61" s="2339"/>
      <c r="AH61" s="2339"/>
      <c r="AI61" s="2339"/>
      <c r="AJ61" s="2339"/>
      <c r="AK61" s="2339"/>
      <c r="AL61" s="2339"/>
      <c r="AM61" s="2339"/>
      <c r="AN61" s="2339"/>
      <c r="AO61" s="2339"/>
      <c r="AP61" s="2339"/>
      <c r="AQ61" s="2339"/>
      <c r="AR61" s="2339"/>
      <c r="AS61" s="2339"/>
      <c r="AT61" s="2339"/>
      <c r="AU61" s="2339"/>
      <c r="AV61" s="2339"/>
      <c r="AW61" s="2339"/>
      <c r="AX61" s="2339"/>
      <c r="AY61" s="2339"/>
      <c r="AZ61" s="2339"/>
      <c r="BA61" s="2339"/>
      <c r="BB61" s="2339"/>
      <c r="BC61" s="2339"/>
      <c r="BD61" s="2339"/>
      <c r="BE61" s="2339"/>
      <c r="BF61" s="2339"/>
      <c r="BG61" s="2339"/>
      <c r="BH61" s="2339"/>
      <c r="BI61" s="2339"/>
      <c r="BJ61" s="2339"/>
      <c r="BK61" s="2339"/>
      <c r="BL61" s="2339"/>
      <c r="BM61" s="2339"/>
      <c r="BN61" s="2339"/>
      <c r="BO61" s="2339"/>
      <c r="BP61" s="2339"/>
      <c r="BQ61" s="2339"/>
      <c r="BR61" s="2339"/>
      <c r="BS61" s="2339"/>
      <c r="BT61" s="2339"/>
      <c r="BU61" s="2339"/>
      <c r="BV61" s="2339"/>
      <c r="BW61" s="2339"/>
      <c r="BX61" s="2339"/>
    </row>
    <row r="62" spans="1:76" s="204" customFormat="1" ht="12.95" customHeight="1" thickTop="1"/>
    <row r="63" spans="1:76" ht="12.95" customHeight="1">
      <c r="A63" s="404" t="s">
        <v>590</v>
      </c>
      <c r="C63" s="205" t="s">
        <v>1249</v>
      </c>
      <c r="Y63" s="2375" t="s">
        <v>985</v>
      </c>
      <c r="Z63" s="2375"/>
      <c r="AA63" s="2375"/>
      <c r="AB63" s="2375"/>
      <c r="AC63" s="2375"/>
      <c r="AD63" s="2375" t="s">
        <v>369</v>
      </c>
      <c r="AE63" s="2375"/>
      <c r="AF63" s="2375"/>
      <c r="AG63" s="2375"/>
      <c r="AH63" s="2375"/>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36">
        <f>IF(Application!$Z$205="(select)",0,((T23*T27)+Y28))</f>
        <v>0</v>
      </c>
      <c r="Z64" s="2376"/>
      <c r="AA64" s="2376"/>
      <c r="AB64" s="2376"/>
      <c r="AC64" s="2377"/>
      <c r="AD64" s="2336">
        <f>IF(AND(OR(Application!D211="At-Risk",Application!D211="At-Risk and Special Needs"),Application!M358="yes"),AD28+AI28,0)</f>
        <v>18610000</v>
      </c>
      <c r="AE64" s="2376"/>
      <c r="AF64" s="2376"/>
      <c r="AG64" s="2376"/>
      <c r="AH64" s="2377"/>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9">
        <f>IF(OR(Application!Z205="State Farmworker Credit",Application!Z205="$500M (Farmworker Housing)"),0.75,IF(Application!Z205="15% set-aside",0.13,IF(Application!Z205="15% set-aside with qualifying low value rehab",0.95,IF(Application!Z205="$500M",0.3,0))))</f>
        <v>0</v>
      </c>
      <c r="Z67" s="2389"/>
      <c r="AA67" s="2389"/>
      <c r="AB67" s="2389"/>
      <c r="AC67" s="2389"/>
      <c r="AD67" s="2389">
        <f>IF(Application!Z205="15% set-aside with qualifying low value rehab", 0.95,IF(OR(Application!D211="At-Risk",'Points System'!B13="Yes"),0.13,0))</f>
        <v>0.13</v>
      </c>
      <c r="AE67" s="2389"/>
      <c r="AF67" s="2389"/>
      <c r="AG67" s="2389"/>
      <c r="AH67" s="2389"/>
    </row>
    <row r="68" spans="1:36" ht="12.95" customHeight="1">
      <c r="C68" s="404"/>
      <c r="D68" s="205" t="s">
        <v>2224</v>
      </c>
      <c r="Y68" s="2335">
        <f>ROUND(Y64*Y67,0)</f>
        <v>0</v>
      </c>
      <c r="Z68" s="2390"/>
      <c r="AA68" s="2390"/>
      <c r="AB68" s="2390"/>
      <c r="AC68" s="2390"/>
      <c r="AD68" s="2335">
        <f>ROUND(AD64*AD67,0)</f>
        <v>2419300</v>
      </c>
      <c r="AE68" s="2390"/>
      <c r="AF68" s="2390"/>
      <c r="AG68" s="2390"/>
      <c r="AH68" s="2390"/>
    </row>
    <row r="69" spans="1:36" ht="12.95" customHeight="1">
      <c r="C69" s="404"/>
      <c r="D69" s="205" t="s">
        <v>2225</v>
      </c>
      <c r="Y69" s="2335">
        <f>IF(OR(Application!Z205="State Farmworker Credit",Application!Z205="$500M (Farmworker Housing)"),Y68+AD68,MIN(Y68+AD68,200000*(Application!G753+Application!O777)))</f>
        <v>2419300</v>
      </c>
      <c r="Z69" s="2335"/>
      <c r="AA69" s="2335"/>
      <c r="AB69" s="2335"/>
      <c r="AC69" s="2335"/>
      <c r="AD69" s="2335"/>
      <c r="AE69" s="2335"/>
      <c r="AF69" s="2335"/>
      <c r="AG69" s="2335"/>
      <c r="AH69" s="2335"/>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78"/>
      <c r="AC72" s="2379"/>
      <c r="AD72" s="2379"/>
      <c r="AE72" s="2379"/>
      <c r="AF72" s="2380"/>
    </row>
    <row r="73" spans="1:36" ht="12.95" customHeight="1">
      <c r="A73" s="404"/>
      <c r="C73" s="404"/>
      <c r="D73" s="404"/>
      <c r="E73" s="2391" t="s">
        <v>1252</v>
      </c>
      <c r="F73" s="2391"/>
      <c r="G73" s="2391"/>
      <c r="H73" s="2391"/>
      <c r="I73" s="2391"/>
      <c r="J73" s="2391"/>
      <c r="K73" s="2391"/>
      <c r="L73" s="2391"/>
      <c r="M73" s="2391"/>
      <c r="N73" s="2391"/>
      <c r="O73" s="2391"/>
      <c r="P73" s="2391"/>
      <c r="Q73" s="2391"/>
      <c r="R73" s="2391"/>
      <c r="S73" s="2391"/>
      <c r="T73" s="2391"/>
      <c r="U73" s="2391"/>
      <c r="V73" s="2391"/>
      <c r="W73" s="2391"/>
      <c r="X73" s="2391"/>
      <c r="Y73" s="2391"/>
      <c r="Z73" s="2391"/>
      <c r="AA73" s="2391"/>
      <c r="AB73" s="438"/>
      <c r="AC73" s="438"/>
    </row>
    <row r="74" spans="1:36" ht="12.95" customHeight="1">
      <c r="A74" s="404"/>
      <c r="C74" s="404"/>
      <c r="D74" s="404"/>
      <c r="E74" s="2391"/>
      <c r="F74" s="2391"/>
      <c r="G74" s="2391"/>
      <c r="H74" s="2391"/>
      <c r="I74" s="2391"/>
      <c r="J74" s="2391"/>
      <c r="K74" s="2391"/>
      <c r="L74" s="2391"/>
      <c r="M74" s="2391"/>
      <c r="N74" s="2391"/>
      <c r="O74" s="2391"/>
      <c r="P74" s="2391"/>
      <c r="Q74" s="2391"/>
      <c r="R74" s="2391"/>
      <c r="S74" s="2391"/>
      <c r="T74" s="2391"/>
      <c r="U74" s="2391"/>
      <c r="V74" s="2391"/>
      <c r="W74" s="2391"/>
      <c r="X74" s="2391"/>
      <c r="Y74" s="2391"/>
      <c r="Z74" s="2391"/>
      <c r="AA74" s="2391"/>
      <c r="AB74" s="438"/>
      <c r="AC74" s="438"/>
    </row>
    <row r="75" spans="1:36" ht="12.95" customHeight="1">
      <c r="A75" s="404"/>
      <c r="C75" s="404"/>
      <c r="D75" s="404"/>
      <c r="E75" s="2391"/>
      <c r="F75" s="2391"/>
      <c r="G75" s="2391"/>
      <c r="H75" s="2391"/>
      <c r="I75" s="2391"/>
      <c r="J75" s="2391"/>
      <c r="K75" s="2391"/>
      <c r="L75" s="2391"/>
      <c r="M75" s="2391"/>
      <c r="N75" s="2391"/>
      <c r="O75" s="2391"/>
      <c r="P75" s="2391"/>
      <c r="Q75" s="2391"/>
      <c r="R75" s="2391"/>
      <c r="S75" s="2391"/>
      <c r="T75" s="2391"/>
      <c r="U75" s="2391"/>
      <c r="V75" s="2391"/>
      <c r="W75" s="2391"/>
      <c r="X75" s="2391"/>
      <c r="Y75" s="2391"/>
      <c r="Z75" s="2391"/>
      <c r="AA75" s="2391"/>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84">
        <f>ROUND(IF(ISERROR((AB59/AB72)),0,(AB59/AB72)),0)</f>
        <v>0</v>
      </c>
      <c r="AC77" s="2384"/>
      <c r="AD77" s="2384"/>
      <c r="AE77" s="2384"/>
      <c r="AF77" s="2384"/>
    </row>
    <row r="78" spans="1:36" ht="12.95" customHeight="1">
      <c r="C78" s="404"/>
      <c r="D78" s="205" t="s">
        <v>1254</v>
      </c>
      <c r="AB78" s="2385">
        <f>ROUNDUP(MIN(Y69,AB77),0)</f>
        <v>0</v>
      </c>
      <c r="AC78" s="2386"/>
      <c r="AD78" s="2386"/>
      <c r="AE78" s="2386"/>
      <c r="AF78" s="2387"/>
    </row>
    <row r="79" spans="1:36" ht="12.95" customHeight="1">
      <c r="C79" s="404"/>
      <c r="D79" s="205" t="s">
        <v>1255</v>
      </c>
      <c r="AB79" s="2388">
        <f>AB78*AB72</f>
        <v>0</v>
      </c>
      <c r="AC79" s="2388"/>
      <c r="AD79" s="2388"/>
      <c r="AE79" s="2388"/>
      <c r="AF79" s="2388"/>
    </row>
    <row r="80" spans="1:36" ht="12.95" customHeight="1">
      <c r="C80" s="404"/>
      <c r="D80" s="404"/>
      <c r="AB80" s="425"/>
      <c r="AC80" s="425"/>
      <c r="AD80" s="425"/>
      <c r="AE80" s="425"/>
      <c r="AF80" s="425"/>
    </row>
    <row r="81" spans="1:78" ht="12.95" customHeight="1">
      <c r="D81" s="404" t="s">
        <v>755</v>
      </c>
      <c r="AB81" s="2374">
        <f>AB49-(AB57+AB79)</f>
        <v>0</v>
      </c>
      <c r="AC81" s="2374"/>
      <c r="AD81" s="2374"/>
      <c r="AE81" s="2374"/>
      <c r="AF81" s="2374"/>
    </row>
    <row r="82" spans="1:78" ht="12.95" customHeight="1">
      <c r="F82" s="522"/>
      <c r="J82" s="522" t="str">
        <f>IF(AB81&gt;0,"FUNDING GAP MUST NOT EXCEED ZERO","")</f>
        <v/>
      </c>
    </row>
    <row r="83" spans="1:78" ht="12.95" customHeight="1">
      <c r="D83" s="523"/>
    </row>
    <row r="84" spans="1:78" ht="12.95" customHeight="1" thickBot="1">
      <c r="A84" s="2339"/>
      <c r="B84" s="2339"/>
      <c r="C84" s="2339"/>
      <c r="D84" s="2339"/>
      <c r="E84" s="2339"/>
      <c r="F84" s="2339"/>
      <c r="G84" s="2339"/>
      <c r="H84" s="2339"/>
      <c r="I84" s="2339"/>
      <c r="J84" s="2339"/>
      <c r="K84" s="2339"/>
      <c r="L84" s="2339"/>
      <c r="M84" s="2339"/>
      <c r="N84" s="2339"/>
      <c r="O84" s="2339"/>
      <c r="P84" s="2339"/>
      <c r="Q84" s="2339"/>
      <c r="R84" s="2339"/>
      <c r="S84" s="2339"/>
      <c r="T84" s="2339"/>
      <c r="U84" s="2339"/>
      <c r="V84" s="2339"/>
      <c r="W84" s="2339"/>
      <c r="X84" s="2339"/>
      <c r="Y84" s="2339"/>
      <c r="Z84" s="2339"/>
      <c r="AA84" s="2339"/>
      <c r="AB84" s="2339"/>
      <c r="AC84" s="2339"/>
      <c r="AD84" s="2339"/>
      <c r="AE84" s="2339"/>
      <c r="AF84" s="2339"/>
      <c r="AG84" s="2339"/>
      <c r="AH84" s="2339"/>
      <c r="AI84" s="2339"/>
      <c r="AJ84" s="2339"/>
      <c r="AK84" s="2339"/>
      <c r="AL84" s="2339"/>
      <c r="AM84" s="2339"/>
      <c r="AN84" s="2339"/>
      <c r="AO84" s="2339"/>
      <c r="AP84" s="2339"/>
      <c r="AQ84" s="2339"/>
      <c r="AR84" s="2339"/>
      <c r="AS84" s="2339"/>
      <c r="AT84" s="2339"/>
      <c r="AU84" s="2339"/>
      <c r="AV84" s="2339"/>
      <c r="AW84" s="2339"/>
      <c r="AX84" s="2339"/>
      <c r="AY84" s="2339"/>
      <c r="AZ84" s="2339"/>
      <c r="BA84" s="2339"/>
      <c r="BB84" s="2339"/>
      <c r="BC84" s="2339"/>
      <c r="BD84" s="2339"/>
      <c r="BE84" s="2339"/>
      <c r="BF84" s="2339"/>
      <c r="BG84" s="2339"/>
      <c r="BH84" s="2339"/>
      <c r="BI84" s="2339"/>
      <c r="BJ84" s="2339"/>
      <c r="BK84" s="2339"/>
      <c r="BL84" s="2339"/>
      <c r="BM84" s="2339"/>
      <c r="BN84" s="2339"/>
      <c r="BO84" s="2339"/>
      <c r="BP84" s="2339"/>
      <c r="BQ84" s="2339"/>
      <c r="BR84" s="2339"/>
      <c r="BS84" s="2339"/>
      <c r="BT84" s="2339"/>
      <c r="BU84" s="2339"/>
      <c r="BV84" s="2339"/>
      <c r="BW84" s="2339"/>
      <c r="BX84" s="2339"/>
    </row>
    <row r="85" spans="1:78" ht="12.95" customHeight="1" thickTop="1"/>
    <row r="86" spans="1:78" ht="12.95" customHeight="1">
      <c r="A86" s="404"/>
      <c r="C86" s="205"/>
    </row>
    <row r="87" spans="1:78" ht="12.95" customHeight="1">
      <c r="D87" s="205"/>
      <c r="AB87" s="2340"/>
      <c r="AC87" s="2340"/>
      <c r="AD87" s="2340"/>
      <c r="AE87" s="2340"/>
      <c r="AF87" s="2340"/>
    </row>
    <row r="88" spans="1:78" ht="12.95" customHeight="1" thickBot="1">
      <c r="D88" s="205"/>
      <c r="AB88" s="2338"/>
      <c r="AC88" s="2338"/>
      <c r="AD88" s="2338"/>
      <c r="AE88" s="2338"/>
      <c r="AF88" s="233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73" zoomScaleNormal="100" workbookViewId="0">
      <selection activeCell="B288" sqref="B288"/>
    </sheetView>
  </sheetViews>
  <sheetFormatPr defaultColWidth="0" defaultRowHeight="12.75" zeroHeight="1"/>
  <cols>
    <col min="1" max="1" width="2.570312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425781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570312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22" t="s">
        <v>1301</v>
      </c>
      <c r="B1" s="2622"/>
      <c r="C1" s="2622"/>
      <c r="D1" s="2622"/>
      <c r="E1" s="2622"/>
      <c r="F1" s="2622"/>
      <c r="G1" s="2622"/>
      <c r="H1" s="2622"/>
      <c r="I1" s="2622"/>
      <c r="J1" s="2622"/>
      <c r="K1" s="2622"/>
      <c r="L1" s="2622"/>
      <c r="M1" s="2622"/>
      <c r="N1" s="2622"/>
      <c r="O1" s="2622"/>
      <c r="P1" s="2622"/>
      <c r="Q1" s="2622"/>
      <c r="R1" s="2622"/>
      <c r="S1" s="2622"/>
      <c r="T1" s="2622"/>
      <c r="U1" s="2622"/>
      <c r="V1" s="2622"/>
      <c r="W1" s="2622"/>
      <c r="X1" s="2622"/>
      <c r="Y1" s="2622"/>
      <c r="Z1" s="2622"/>
      <c r="AA1" s="2622"/>
      <c r="AB1" s="2622"/>
      <c r="AC1" s="2622"/>
      <c r="AD1" s="2622"/>
      <c r="AE1" s="2622"/>
      <c r="AF1" s="2622"/>
      <c r="AG1" s="2622"/>
      <c r="AH1" s="2622"/>
      <c r="AI1" s="2622"/>
      <c r="AJ1" s="2622"/>
      <c r="AK1" s="2622"/>
      <c r="AL1" s="2622"/>
      <c r="AM1" s="2622"/>
    </row>
    <row r="2" spans="1:42" s="536" customFormat="1" ht="12.75" customHeight="1" thickBot="1">
      <c r="A2" s="2623"/>
      <c r="B2" s="2623"/>
      <c r="C2" s="2623"/>
      <c r="D2" s="2623"/>
      <c r="E2" s="2623"/>
      <c r="F2" s="2623"/>
      <c r="G2" s="2623"/>
      <c r="H2" s="2623"/>
      <c r="I2" s="2623"/>
      <c r="J2" s="2623"/>
      <c r="K2" s="2623"/>
      <c r="L2" s="2623"/>
      <c r="M2" s="2623"/>
      <c r="N2" s="2623"/>
      <c r="O2" s="2623"/>
      <c r="P2" s="2623"/>
      <c r="Q2" s="2623"/>
      <c r="R2" s="2623"/>
      <c r="S2" s="2623"/>
      <c r="T2" s="2623"/>
      <c r="U2" s="2623"/>
      <c r="V2" s="2623"/>
      <c r="W2" s="2623"/>
      <c r="X2" s="2623"/>
      <c r="Y2" s="2623"/>
      <c r="Z2" s="2623"/>
      <c r="AA2" s="2623"/>
      <c r="AB2" s="2623"/>
      <c r="AC2" s="2623"/>
      <c r="AD2" s="2623"/>
      <c r="AE2" s="2623"/>
      <c r="AF2" s="2623"/>
      <c r="AG2" s="2623"/>
      <c r="AH2" s="2623"/>
      <c r="AI2" s="2623"/>
      <c r="AJ2" s="2623"/>
      <c r="AK2" s="2623"/>
      <c r="AL2" s="2623"/>
      <c r="AM2" s="2623"/>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3" t="s">
        <v>1306</v>
      </c>
      <c r="AF7" s="2463"/>
      <c r="AG7" s="2463"/>
      <c r="AH7" s="2463"/>
      <c r="AI7" s="2463"/>
      <c r="AJ7" s="2463"/>
      <c r="AK7" s="2463"/>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6" t="s">
        <v>546</v>
      </c>
      <c r="C13" s="2616"/>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4"/>
      <c r="AH13" s="2624"/>
      <c r="AI13" s="2624"/>
      <c r="AJ13" s="2625"/>
      <c r="AK13" s="540"/>
      <c r="AL13" s="540"/>
      <c r="AM13" s="540"/>
      <c r="AN13" s="535"/>
      <c r="AO13" s="550">
        <f>IF($B13="yes",20,0)</f>
        <v>20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20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6" t="s">
        <v>546</v>
      </c>
      <c r="C16" s="2616"/>
      <c r="D16" s="547"/>
      <c r="E16" s="2608" t="s">
        <v>1308</v>
      </c>
      <c r="F16" s="2609"/>
      <c r="G16" s="2609"/>
      <c r="H16" s="2609"/>
      <c r="I16" s="2609"/>
      <c r="J16" s="2609"/>
      <c r="K16" s="2609"/>
      <c r="L16" s="2609"/>
      <c r="M16" s="2609"/>
      <c r="N16" s="2609"/>
      <c r="O16" s="2609"/>
      <c r="P16" s="2609"/>
      <c r="Q16" s="2609"/>
      <c r="R16" s="2609"/>
      <c r="S16" s="2609"/>
      <c r="T16" s="2609"/>
      <c r="U16" s="2609"/>
      <c r="V16" s="2609"/>
      <c r="W16" s="2609"/>
      <c r="X16" s="2609"/>
      <c r="Y16" s="2609"/>
      <c r="Z16" s="2609"/>
      <c r="AA16" s="2609"/>
      <c r="AB16" s="2609"/>
      <c r="AC16" s="2609"/>
      <c r="AD16" s="2609"/>
      <c r="AE16" s="2609"/>
      <c r="AF16" s="2609"/>
      <c r="AG16" s="2609"/>
      <c r="AH16" s="2609"/>
      <c r="AI16" s="2609"/>
      <c r="AJ16" s="2610"/>
      <c r="AK16" s="540"/>
      <c r="AL16" s="540"/>
      <c r="AM16" s="540"/>
      <c r="AN16" s="535"/>
      <c r="AO16" s="550">
        <f>IF($B25="yes",20,0)</f>
        <v>0</v>
      </c>
      <c r="AP16" s="14"/>
    </row>
    <row r="17" spans="1:42" s="536" customFormat="1" ht="12.75" customHeight="1">
      <c r="A17" s="540"/>
      <c r="B17" s="540"/>
      <c r="C17" s="540"/>
      <c r="D17" s="551"/>
      <c r="E17" s="2611"/>
      <c r="F17" s="2612"/>
      <c r="G17" s="2612"/>
      <c r="H17" s="2612"/>
      <c r="I17" s="2612"/>
      <c r="J17" s="2612"/>
      <c r="K17" s="2612"/>
      <c r="L17" s="2612"/>
      <c r="M17" s="2612"/>
      <c r="N17" s="2612"/>
      <c r="O17" s="2612"/>
      <c r="P17" s="2612"/>
      <c r="Q17" s="2612"/>
      <c r="R17" s="2612"/>
      <c r="S17" s="2612"/>
      <c r="T17" s="2612"/>
      <c r="U17" s="2612"/>
      <c r="V17" s="2612"/>
      <c r="W17" s="2612"/>
      <c r="X17" s="2612"/>
      <c r="Y17" s="2612"/>
      <c r="Z17" s="2612"/>
      <c r="AA17" s="2612"/>
      <c r="AB17" s="2612"/>
      <c r="AC17" s="2612"/>
      <c r="AD17" s="2612"/>
      <c r="AE17" s="2612"/>
      <c r="AF17" s="2612"/>
      <c r="AG17" s="2612"/>
      <c r="AH17" s="2612"/>
      <c r="AI17" s="2612"/>
      <c r="AJ17" s="2613"/>
      <c r="AK17" s="540"/>
      <c r="AL17" s="540"/>
      <c r="AM17" s="540"/>
      <c r="AN17" s="535"/>
      <c r="AO17" s="550">
        <f>IF($B28="yes",20,0)</f>
        <v>0</v>
      </c>
    </row>
    <row r="18" spans="1:42" s="536" customFormat="1" ht="12.75" customHeight="1">
      <c r="A18" s="540"/>
      <c r="B18" s="540"/>
      <c r="C18" s="540"/>
      <c r="D18" s="551"/>
      <c r="E18" s="2611"/>
      <c r="F18" s="2612"/>
      <c r="G18" s="2612"/>
      <c r="H18" s="2612"/>
      <c r="I18" s="2612"/>
      <c r="J18" s="2612"/>
      <c r="K18" s="2612"/>
      <c r="L18" s="2612"/>
      <c r="M18" s="2612"/>
      <c r="N18" s="2612"/>
      <c r="O18" s="2612"/>
      <c r="P18" s="2612"/>
      <c r="Q18" s="2612"/>
      <c r="R18" s="2612"/>
      <c r="S18" s="2612"/>
      <c r="T18" s="2612"/>
      <c r="U18" s="2612"/>
      <c r="V18" s="2612"/>
      <c r="W18" s="2612"/>
      <c r="X18" s="2612"/>
      <c r="Y18" s="2612"/>
      <c r="Z18" s="2612"/>
      <c r="AA18" s="2612"/>
      <c r="AB18" s="2612"/>
      <c r="AC18" s="2612"/>
      <c r="AD18" s="2612"/>
      <c r="AE18" s="2612"/>
      <c r="AF18" s="2612"/>
      <c r="AG18" s="2612"/>
      <c r="AH18" s="2612"/>
      <c r="AI18" s="2612"/>
      <c r="AJ18" s="2613"/>
      <c r="AK18" s="540"/>
      <c r="AL18" s="540"/>
      <c r="AM18" s="540"/>
      <c r="AN18" s="535"/>
      <c r="AO18" s="536">
        <f>IF(SUM(AO13:AO17)&gt;20,20,(SUM(AO13:AO17)))</f>
        <v>20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2" t="s">
        <v>2696</v>
      </c>
      <c r="F20" s="2633"/>
      <c r="G20" s="2633"/>
      <c r="H20" s="2633"/>
      <c r="I20" s="2633"/>
      <c r="J20" s="2633"/>
      <c r="K20" s="2633"/>
      <c r="L20" s="2633"/>
      <c r="M20" s="2633"/>
      <c r="N20" s="2633"/>
      <c r="O20" s="2633"/>
      <c r="P20" s="2633"/>
      <c r="Q20" s="2633"/>
      <c r="R20" s="2633"/>
      <c r="S20" s="2633"/>
      <c r="T20" s="2633"/>
      <c r="U20" s="2633"/>
      <c r="V20" s="2633"/>
      <c r="W20" s="2633"/>
      <c r="X20" s="2633"/>
      <c r="Y20" s="2633"/>
      <c r="Z20" s="2633"/>
      <c r="AA20" s="2633"/>
      <c r="AB20" s="2633"/>
      <c r="AC20" s="2633"/>
      <c r="AD20" s="2633"/>
      <c r="AE20" s="2633"/>
      <c r="AF20" s="2633"/>
      <c r="AG20" s="2633"/>
      <c r="AH20" s="2633"/>
      <c r="AI20" s="2633"/>
      <c r="AJ20" s="2634"/>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6" t="s">
        <v>592</v>
      </c>
      <c r="C22" s="2616"/>
      <c r="D22" s="547"/>
      <c r="E22" s="2626" t="s">
        <v>1311</v>
      </c>
      <c r="F22" s="2627"/>
      <c r="G22" s="2627"/>
      <c r="H22" s="2627"/>
      <c r="I22" s="2627"/>
      <c r="J22" s="2627"/>
      <c r="K22" s="2627"/>
      <c r="L22" s="2627"/>
      <c r="M22" s="2627"/>
      <c r="N22" s="2627"/>
      <c r="O22" s="2627"/>
      <c r="P22" s="2627"/>
      <c r="Q22" s="2627"/>
      <c r="R22" s="2627"/>
      <c r="S22" s="2627"/>
      <c r="T22" s="2627"/>
      <c r="U22" s="2627"/>
      <c r="V22" s="2627"/>
      <c r="W22" s="2627"/>
      <c r="X22" s="2627"/>
      <c r="Y22" s="2627"/>
      <c r="Z22" s="2627"/>
      <c r="AA22" s="2627"/>
      <c r="AB22" s="2627"/>
      <c r="AC22" s="2627"/>
      <c r="AD22" s="2627"/>
      <c r="AE22" s="2627"/>
      <c r="AF22" s="2627"/>
      <c r="AG22" s="2627"/>
      <c r="AH22" s="2627"/>
      <c r="AI22" s="2627"/>
      <c r="AJ22" s="2628"/>
      <c r="AK22" s="540"/>
      <c r="AL22" s="540"/>
      <c r="AM22" s="540"/>
      <c r="AN22" s="535"/>
      <c r="AO22" s="550">
        <f>IF($B40="yes",14,0)</f>
        <v>0</v>
      </c>
    </row>
    <row r="23" spans="1:42" s="536" customFormat="1" ht="12.75" customHeight="1">
      <c r="A23" s="540"/>
      <c r="B23" s="540"/>
      <c r="C23" s="540"/>
      <c r="D23" s="550"/>
      <c r="E23" s="2629"/>
      <c r="F23" s="2630"/>
      <c r="G23" s="2630"/>
      <c r="H23" s="2630"/>
      <c r="I23" s="2630"/>
      <c r="J23" s="2630"/>
      <c r="K23" s="2630"/>
      <c r="L23" s="2630"/>
      <c r="M23" s="2630"/>
      <c r="N23" s="2630"/>
      <c r="O23" s="2630"/>
      <c r="P23" s="2630"/>
      <c r="Q23" s="2630"/>
      <c r="R23" s="2630"/>
      <c r="S23" s="2630"/>
      <c r="T23" s="2630"/>
      <c r="U23" s="2630"/>
      <c r="V23" s="2630"/>
      <c r="W23" s="2630"/>
      <c r="X23" s="2630"/>
      <c r="Y23" s="2630"/>
      <c r="Z23" s="2630"/>
      <c r="AA23" s="2630"/>
      <c r="AB23" s="2630"/>
      <c r="AC23" s="2630"/>
      <c r="AD23" s="2630"/>
      <c r="AE23" s="2630"/>
      <c r="AF23" s="2630"/>
      <c r="AG23" s="2630"/>
      <c r="AH23" s="2630"/>
      <c r="AI23" s="2630"/>
      <c r="AJ23" s="2631"/>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6" t="s">
        <v>592</v>
      </c>
      <c r="C25" s="2616"/>
      <c r="D25" s="547"/>
      <c r="E25" s="2543" t="s">
        <v>2034</v>
      </c>
      <c r="F25" s="2544"/>
      <c r="G25" s="2544"/>
      <c r="H25" s="2544"/>
      <c r="I25" s="2544"/>
      <c r="J25" s="2544"/>
      <c r="K25" s="2544"/>
      <c r="L25" s="2544"/>
      <c r="M25" s="2544"/>
      <c r="N25" s="2544"/>
      <c r="O25" s="2544"/>
      <c r="P25" s="2544"/>
      <c r="Q25" s="2544"/>
      <c r="R25" s="2544"/>
      <c r="S25" s="2544"/>
      <c r="T25" s="2544"/>
      <c r="U25" s="2544"/>
      <c r="V25" s="2544"/>
      <c r="W25" s="2544"/>
      <c r="X25" s="2544"/>
      <c r="Y25" s="2544"/>
      <c r="Z25" s="2544"/>
      <c r="AA25" s="2544"/>
      <c r="AB25" s="2544"/>
      <c r="AC25" s="2544"/>
      <c r="AD25" s="2544"/>
      <c r="AE25" s="2544"/>
      <c r="AF25" s="2544"/>
      <c r="AG25" s="2544"/>
      <c r="AH25" s="2544"/>
      <c r="AI25" s="2544"/>
      <c r="AJ25" s="2545"/>
      <c r="AK25" s="540"/>
      <c r="AL25" s="540"/>
      <c r="AM25" s="540"/>
      <c r="AN25" s="535"/>
      <c r="AO25" s="550">
        <f>IF($B45="yes",6,0)</f>
        <v>0</v>
      </c>
    </row>
    <row r="26" spans="1:42" s="536" customFormat="1" ht="12.75" customHeight="1">
      <c r="A26" s="540"/>
      <c r="B26" s="540"/>
      <c r="C26" s="540"/>
      <c r="D26" s="550"/>
      <c r="E26" s="2568"/>
      <c r="F26" s="2569"/>
      <c r="G26" s="2569"/>
      <c r="H26" s="2569"/>
      <c r="I26" s="2569"/>
      <c r="J26" s="2569"/>
      <c r="K26" s="2569"/>
      <c r="L26" s="2569"/>
      <c r="M26" s="2569"/>
      <c r="N26" s="2569"/>
      <c r="O26" s="2569"/>
      <c r="P26" s="2569"/>
      <c r="Q26" s="2569"/>
      <c r="R26" s="2569"/>
      <c r="S26" s="2569"/>
      <c r="T26" s="2569"/>
      <c r="U26" s="2569"/>
      <c r="V26" s="2569"/>
      <c r="W26" s="2569"/>
      <c r="X26" s="2569"/>
      <c r="Y26" s="2569"/>
      <c r="Z26" s="2569"/>
      <c r="AA26" s="2569"/>
      <c r="AB26" s="2569"/>
      <c r="AC26" s="2569"/>
      <c r="AD26" s="2569"/>
      <c r="AE26" s="2569"/>
      <c r="AF26" s="2569"/>
      <c r="AG26" s="2569"/>
      <c r="AH26" s="2569"/>
      <c r="AI26" s="2569"/>
      <c r="AJ26" s="2570"/>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6" t="s">
        <v>592</v>
      </c>
      <c r="C28" s="2616"/>
      <c r="D28" s="547"/>
      <c r="E28" s="2645" t="s">
        <v>2248</v>
      </c>
      <c r="F28" s="2646"/>
      <c r="G28" s="2646"/>
      <c r="H28" s="2646"/>
      <c r="I28" s="2646"/>
      <c r="J28" s="2646"/>
      <c r="K28" s="2646"/>
      <c r="L28" s="2646"/>
      <c r="M28" s="2646"/>
      <c r="N28" s="2646"/>
      <c r="O28" s="2646"/>
      <c r="P28" s="2646"/>
      <c r="Q28" s="2646"/>
      <c r="R28" s="2646"/>
      <c r="S28" s="2646"/>
      <c r="T28" s="2646"/>
      <c r="U28" s="2646"/>
      <c r="V28" s="2646"/>
      <c r="W28" s="2646"/>
      <c r="X28" s="2646"/>
      <c r="Y28" s="2646"/>
      <c r="Z28" s="2646"/>
      <c r="AA28" s="2646"/>
      <c r="AB28" s="2646"/>
      <c r="AC28" s="2646"/>
      <c r="AD28" s="2646"/>
      <c r="AE28" s="2646"/>
      <c r="AF28" s="2646"/>
      <c r="AG28" s="2646"/>
      <c r="AH28" s="2646"/>
      <c r="AI28" s="2646"/>
      <c r="AJ28" s="2647"/>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616" t="s">
        <v>592</v>
      </c>
      <c r="C33" s="2616"/>
      <c r="D33" s="547"/>
      <c r="E33" s="2626" t="s">
        <v>2250</v>
      </c>
      <c r="F33" s="2627"/>
      <c r="G33" s="2627"/>
      <c r="H33" s="2627"/>
      <c r="I33" s="2627"/>
      <c r="J33" s="2627"/>
      <c r="K33" s="2627"/>
      <c r="L33" s="2627"/>
      <c r="M33" s="2627"/>
      <c r="N33" s="2627"/>
      <c r="O33" s="2627"/>
      <c r="P33" s="2627"/>
      <c r="Q33" s="2627"/>
      <c r="R33" s="2627"/>
      <c r="S33" s="2627"/>
      <c r="T33" s="2627"/>
      <c r="U33" s="2627"/>
      <c r="V33" s="2627"/>
      <c r="W33" s="2627"/>
      <c r="X33" s="2627"/>
      <c r="Y33" s="2627"/>
      <c r="Z33" s="2627"/>
      <c r="AA33" s="2627"/>
      <c r="AB33" s="2627"/>
      <c r="AC33" s="2627"/>
      <c r="AD33" s="2627"/>
      <c r="AE33" s="2627"/>
      <c r="AF33" s="2627"/>
      <c r="AG33" s="2627"/>
      <c r="AH33" s="2627"/>
      <c r="AI33" s="2627"/>
      <c r="AJ33" s="2628"/>
      <c r="AK33" s="540"/>
      <c r="AL33" s="540"/>
      <c r="AM33" s="540"/>
      <c r="AN33" s="535"/>
      <c r="AO33" s="550"/>
    </row>
    <row r="34" spans="1:41" s="536" customFormat="1" ht="12.75" customHeight="1">
      <c r="A34" s="540"/>
      <c r="B34" s="540"/>
      <c r="C34" s="540"/>
      <c r="E34" s="2629"/>
      <c r="F34" s="2630"/>
      <c r="G34" s="2630"/>
      <c r="H34" s="2630"/>
      <c r="I34" s="2630"/>
      <c r="J34" s="2630"/>
      <c r="K34" s="2630"/>
      <c r="L34" s="2630"/>
      <c r="M34" s="2630"/>
      <c r="N34" s="2630"/>
      <c r="O34" s="2630"/>
      <c r="P34" s="2630"/>
      <c r="Q34" s="2630"/>
      <c r="R34" s="2630"/>
      <c r="S34" s="2630"/>
      <c r="T34" s="2630"/>
      <c r="U34" s="2630"/>
      <c r="V34" s="2630"/>
      <c r="W34" s="2630"/>
      <c r="X34" s="2630"/>
      <c r="Y34" s="2630"/>
      <c r="Z34" s="2630"/>
      <c r="AA34" s="2630"/>
      <c r="AB34" s="2630"/>
      <c r="AC34" s="2630"/>
      <c r="AD34" s="2630"/>
      <c r="AE34" s="2630"/>
      <c r="AF34" s="2630"/>
      <c r="AG34" s="2630"/>
      <c r="AH34" s="2630"/>
      <c r="AI34" s="2630"/>
      <c r="AJ34" s="2631"/>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6" t="s">
        <v>592</v>
      </c>
      <c r="C36" s="2616"/>
      <c r="D36" s="547"/>
      <c r="E36" s="2543" t="s">
        <v>2251</v>
      </c>
      <c r="F36" s="2544"/>
      <c r="G36" s="2544"/>
      <c r="H36" s="2544"/>
      <c r="I36" s="2544"/>
      <c r="J36" s="2544"/>
      <c r="K36" s="2544"/>
      <c r="L36" s="2544"/>
      <c r="M36" s="2544"/>
      <c r="N36" s="2544"/>
      <c r="O36" s="2544"/>
      <c r="P36" s="2544"/>
      <c r="Q36" s="2544"/>
      <c r="R36" s="2544"/>
      <c r="S36" s="2544"/>
      <c r="T36" s="2544"/>
      <c r="U36" s="2544"/>
      <c r="V36" s="2544"/>
      <c r="W36" s="2544"/>
      <c r="X36" s="2544"/>
      <c r="Y36" s="2544"/>
      <c r="Z36" s="2544"/>
      <c r="AA36" s="2544"/>
      <c r="AB36" s="2544"/>
      <c r="AC36" s="2544"/>
      <c r="AD36" s="2544"/>
      <c r="AE36" s="2544"/>
      <c r="AF36" s="2544"/>
      <c r="AG36" s="2544"/>
      <c r="AH36" s="2544"/>
      <c r="AI36" s="2544"/>
      <c r="AJ36" s="2545"/>
      <c r="AK36" s="540"/>
      <c r="AL36" s="540"/>
      <c r="AM36" s="540"/>
      <c r="AN36" s="535"/>
    </row>
    <row r="37" spans="1:41" s="536" customFormat="1" ht="12.75" customHeight="1">
      <c r="A37" s="540"/>
      <c r="B37" s="540"/>
      <c r="C37" s="540"/>
      <c r="E37" s="2546"/>
      <c r="F37" s="2547"/>
      <c r="G37" s="2547"/>
      <c r="H37" s="2547"/>
      <c r="I37" s="2547"/>
      <c r="J37" s="2547"/>
      <c r="K37" s="2547"/>
      <c r="L37" s="2547"/>
      <c r="M37" s="2547"/>
      <c r="N37" s="2547"/>
      <c r="O37" s="2547"/>
      <c r="P37" s="2547"/>
      <c r="Q37" s="2547"/>
      <c r="R37" s="2547"/>
      <c r="S37" s="2547"/>
      <c r="T37" s="2547"/>
      <c r="U37" s="2547"/>
      <c r="V37" s="2547"/>
      <c r="W37" s="2547"/>
      <c r="X37" s="2547"/>
      <c r="Y37" s="2547"/>
      <c r="Z37" s="2547"/>
      <c r="AA37" s="2547"/>
      <c r="AB37" s="2547"/>
      <c r="AC37" s="2547"/>
      <c r="AD37" s="2547"/>
      <c r="AE37" s="2547"/>
      <c r="AF37" s="2547"/>
      <c r="AG37" s="2547"/>
      <c r="AH37" s="2547"/>
      <c r="AI37" s="2547"/>
      <c r="AJ37" s="2548"/>
      <c r="AK37" s="540"/>
      <c r="AL37" s="540"/>
      <c r="AM37" s="540"/>
      <c r="AN37" s="535"/>
    </row>
    <row r="38" spans="1:41" s="536" customFormat="1" ht="12.75" customHeight="1">
      <c r="A38" s="540"/>
      <c r="B38" s="540"/>
      <c r="C38" s="540"/>
      <c r="E38" s="2568"/>
      <c r="F38" s="2569"/>
      <c r="G38" s="2569"/>
      <c r="H38" s="2569"/>
      <c r="I38" s="2569"/>
      <c r="J38" s="2569"/>
      <c r="K38" s="2569"/>
      <c r="L38" s="2569"/>
      <c r="M38" s="2569"/>
      <c r="N38" s="2569"/>
      <c r="O38" s="2569"/>
      <c r="P38" s="2569"/>
      <c r="Q38" s="2569"/>
      <c r="R38" s="2569"/>
      <c r="S38" s="2569"/>
      <c r="T38" s="2569"/>
      <c r="U38" s="2569"/>
      <c r="V38" s="2569"/>
      <c r="W38" s="2569"/>
      <c r="X38" s="2569"/>
      <c r="Y38" s="2569"/>
      <c r="Z38" s="2569"/>
      <c r="AA38" s="2569"/>
      <c r="AB38" s="2569"/>
      <c r="AC38" s="2569"/>
      <c r="AD38" s="2569"/>
      <c r="AE38" s="2569"/>
      <c r="AF38" s="2569"/>
      <c r="AG38" s="2569"/>
      <c r="AH38" s="2569"/>
      <c r="AI38" s="2569"/>
      <c r="AJ38" s="2570"/>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616" t="s">
        <v>592</v>
      </c>
      <c r="C40" s="2616"/>
      <c r="D40" s="547"/>
      <c r="E40" s="2543" t="s">
        <v>2249</v>
      </c>
      <c r="F40" s="2544"/>
      <c r="G40" s="2544"/>
      <c r="H40" s="2544"/>
      <c r="I40" s="2544"/>
      <c r="J40" s="2544"/>
      <c r="K40" s="2544"/>
      <c r="L40" s="2544"/>
      <c r="M40" s="2544"/>
      <c r="N40" s="2544"/>
      <c r="O40" s="2544"/>
      <c r="P40" s="2544"/>
      <c r="Q40" s="2544"/>
      <c r="R40" s="2544"/>
      <c r="S40" s="2544"/>
      <c r="T40" s="2544"/>
      <c r="U40" s="2544"/>
      <c r="V40" s="2544"/>
      <c r="W40" s="2544"/>
      <c r="X40" s="2544"/>
      <c r="Y40" s="2544"/>
      <c r="Z40" s="2544"/>
      <c r="AA40" s="2544"/>
      <c r="AB40" s="2544"/>
      <c r="AC40" s="2544"/>
      <c r="AD40" s="2544"/>
      <c r="AE40" s="2544"/>
      <c r="AF40" s="2544"/>
      <c r="AG40" s="2544"/>
      <c r="AH40" s="2544"/>
      <c r="AI40" s="2544"/>
      <c r="AJ40" s="2545"/>
      <c r="AK40" s="540"/>
      <c r="AL40" s="540"/>
      <c r="AM40" s="540"/>
      <c r="AN40" s="535"/>
    </row>
    <row r="41" spans="1:41" s="536" customFormat="1" ht="12.75" customHeight="1">
      <c r="A41" s="540"/>
      <c r="B41" s="540"/>
      <c r="C41" s="540"/>
      <c r="E41" s="2568"/>
      <c r="F41" s="2569"/>
      <c r="G41" s="2569"/>
      <c r="H41" s="2569"/>
      <c r="I41" s="2569"/>
      <c r="J41" s="2569"/>
      <c r="K41" s="2569"/>
      <c r="L41" s="2569"/>
      <c r="M41" s="2569"/>
      <c r="N41" s="2569"/>
      <c r="O41" s="2569"/>
      <c r="P41" s="2569"/>
      <c r="Q41" s="2569"/>
      <c r="R41" s="2569"/>
      <c r="S41" s="2569"/>
      <c r="T41" s="2569"/>
      <c r="U41" s="2569"/>
      <c r="V41" s="2569"/>
      <c r="W41" s="2569"/>
      <c r="X41" s="2569"/>
      <c r="Y41" s="2569"/>
      <c r="Z41" s="2569"/>
      <c r="AA41" s="2569"/>
      <c r="AB41" s="2569"/>
      <c r="AC41" s="2569"/>
      <c r="AD41" s="2569"/>
      <c r="AE41" s="2569"/>
      <c r="AF41" s="2569"/>
      <c r="AG41" s="2569"/>
      <c r="AH41" s="2569"/>
      <c r="AI41" s="2569"/>
      <c r="AJ41" s="2570"/>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6" t="s">
        <v>592</v>
      </c>
      <c r="C45" s="2616"/>
      <c r="D45" s="1142"/>
      <c r="E45" s="2543" t="s">
        <v>2009</v>
      </c>
      <c r="F45" s="2544"/>
      <c r="G45" s="2544"/>
      <c r="H45" s="2544"/>
      <c r="I45" s="2544"/>
      <c r="J45" s="2544"/>
      <c r="K45" s="2544"/>
      <c r="L45" s="2544"/>
      <c r="M45" s="2544"/>
      <c r="N45" s="2544"/>
      <c r="O45" s="2544"/>
      <c r="P45" s="2544"/>
      <c r="Q45" s="2544"/>
      <c r="R45" s="2544"/>
      <c r="S45" s="2544"/>
      <c r="T45" s="2544"/>
      <c r="U45" s="2544"/>
      <c r="V45" s="2544"/>
      <c r="W45" s="2544"/>
      <c r="X45" s="2544"/>
      <c r="Y45" s="2544"/>
      <c r="Z45" s="2544"/>
      <c r="AA45" s="2544"/>
      <c r="AB45" s="2544"/>
      <c r="AC45" s="2544"/>
      <c r="AD45" s="2544"/>
      <c r="AE45" s="2544"/>
      <c r="AF45" s="2544"/>
      <c r="AG45" s="2544"/>
      <c r="AH45" s="2544"/>
      <c r="AI45" s="2544"/>
      <c r="AJ45" s="2545"/>
      <c r="AK45" s="1142"/>
      <c r="AL45" s="540"/>
      <c r="AM45" s="540"/>
      <c r="AN45" s="535"/>
    </row>
    <row r="46" spans="1:41" s="536" customFormat="1" ht="12.75" customHeight="1">
      <c r="A46" s="540"/>
      <c r="B46" s="540"/>
      <c r="C46" s="540"/>
      <c r="E46" s="2546"/>
      <c r="F46" s="2547"/>
      <c r="G46" s="2547"/>
      <c r="H46" s="2547"/>
      <c r="I46" s="2547"/>
      <c r="J46" s="2547"/>
      <c r="K46" s="2547"/>
      <c r="L46" s="2547"/>
      <c r="M46" s="2547"/>
      <c r="N46" s="2547"/>
      <c r="O46" s="2547"/>
      <c r="P46" s="2547"/>
      <c r="Q46" s="2547"/>
      <c r="R46" s="2547"/>
      <c r="S46" s="2547"/>
      <c r="T46" s="2547"/>
      <c r="U46" s="2547"/>
      <c r="V46" s="2547"/>
      <c r="W46" s="2547"/>
      <c r="X46" s="2547"/>
      <c r="Y46" s="2547"/>
      <c r="Z46" s="2547"/>
      <c r="AA46" s="2547"/>
      <c r="AB46" s="2547"/>
      <c r="AC46" s="2547"/>
      <c r="AD46" s="2547"/>
      <c r="AE46" s="2547"/>
      <c r="AF46" s="2547"/>
      <c r="AG46" s="2547"/>
      <c r="AH46" s="2547"/>
      <c r="AI46" s="2547"/>
      <c r="AJ46" s="2548"/>
      <c r="AK46" s="540"/>
      <c r="AL46" s="540"/>
      <c r="AM46" s="540"/>
      <c r="AN46" s="535"/>
    </row>
    <row r="47" spans="1:41" s="536" customFormat="1" ht="12.75" customHeight="1">
      <c r="A47" s="540"/>
      <c r="D47" s="547"/>
      <c r="E47" s="2568"/>
      <c r="F47" s="2569"/>
      <c r="G47" s="2569"/>
      <c r="H47" s="2569"/>
      <c r="I47" s="2569"/>
      <c r="J47" s="2569"/>
      <c r="K47" s="2569"/>
      <c r="L47" s="2569"/>
      <c r="M47" s="2569"/>
      <c r="N47" s="2569"/>
      <c r="O47" s="2569"/>
      <c r="P47" s="2569"/>
      <c r="Q47" s="2569"/>
      <c r="R47" s="2569"/>
      <c r="S47" s="2569"/>
      <c r="T47" s="2569"/>
      <c r="U47" s="2569"/>
      <c r="V47" s="2569"/>
      <c r="W47" s="2569"/>
      <c r="X47" s="2569"/>
      <c r="Y47" s="2569"/>
      <c r="Z47" s="2569"/>
      <c r="AA47" s="2569"/>
      <c r="AB47" s="2569"/>
      <c r="AC47" s="2569"/>
      <c r="AD47" s="2569"/>
      <c r="AE47" s="2569"/>
      <c r="AF47" s="2569"/>
      <c r="AG47" s="2569"/>
      <c r="AH47" s="2569"/>
      <c r="AI47" s="2569"/>
      <c r="AJ47" s="2570"/>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6" t="s">
        <v>592</v>
      </c>
      <c r="C52" s="2616"/>
      <c r="D52" s="540"/>
      <c r="E52" s="2543" t="s">
        <v>2014</v>
      </c>
      <c r="F52" s="2544"/>
      <c r="G52" s="2544"/>
      <c r="H52" s="2544"/>
      <c r="I52" s="2544"/>
      <c r="J52" s="2544"/>
      <c r="K52" s="2544"/>
      <c r="L52" s="2544"/>
      <c r="M52" s="2544"/>
      <c r="N52" s="2544"/>
      <c r="O52" s="2544"/>
      <c r="P52" s="2544"/>
      <c r="Q52" s="2544"/>
      <c r="R52" s="2544"/>
      <c r="S52" s="2544"/>
      <c r="T52" s="2544"/>
      <c r="U52" s="2544"/>
      <c r="V52" s="2544"/>
      <c r="W52" s="2544"/>
      <c r="X52" s="2544"/>
      <c r="Y52" s="2544"/>
      <c r="Z52" s="2544"/>
      <c r="AA52" s="2544"/>
      <c r="AB52" s="2544"/>
      <c r="AC52" s="2544"/>
      <c r="AD52" s="2544"/>
      <c r="AE52" s="2544"/>
      <c r="AF52" s="2544"/>
      <c r="AG52" s="2544"/>
      <c r="AH52" s="2544"/>
      <c r="AI52" s="2544"/>
      <c r="AJ52" s="2545"/>
      <c r="AK52" s="540"/>
      <c r="AL52" s="540"/>
      <c r="AM52" s="540"/>
      <c r="AN52" s="535"/>
      <c r="AO52" s="559"/>
    </row>
    <row r="53" spans="1:50" s="536" customFormat="1" ht="12.75" customHeight="1">
      <c r="A53" s="540"/>
      <c r="D53" s="547"/>
      <c r="E53" s="2546"/>
      <c r="F53" s="2547"/>
      <c r="G53" s="2547"/>
      <c r="H53" s="2547"/>
      <c r="I53" s="2547"/>
      <c r="J53" s="2547"/>
      <c r="K53" s="2547"/>
      <c r="L53" s="2547"/>
      <c r="M53" s="2547"/>
      <c r="N53" s="2547"/>
      <c r="O53" s="2547"/>
      <c r="P53" s="2547"/>
      <c r="Q53" s="2547"/>
      <c r="R53" s="2547"/>
      <c r="S53" s="2547"/>
      <c r="T53" s="2547"/>
      <c r="U53" s="2547"/>
      <c r="V53" s="2547"/>
      <c r="W53" s="2547"/>
      <c r="X53" s="2547"/>
      <c r="Y53" s="2547"/>
      <c r="Z53" s="2547"/>
      <c r="AA53" s="2547"/>
      <c r="AB53" s="2547"/>
      <c r="AC53" s="2547"/>
      <c r="AD53" s="2547"/>
      <c r="AE53" s="2547"/>
      <c r="AF53" s="2547"/>
      <c r="AG53" s="2547"/>
      <c r="AH53" s="2547"/>
      <c r="AI53" s="2547"/>
      <c r="AJ53" s="2548"/>
      <c r="AK53" s="540"/>
      <c r="AL53" s="540"/>
      <c r="AM53" s="540"/>
      <c r="AN53" s="535"/>
      <c r="AO53" s="559"/>
    </row>
    <row r="54" spans="1:50" s="536" customFormat="1" ht="12.75" customHeight="1">
      <c r="A54" s="540"/>
      <c r="D54" s="540"/>
      <c r="E54" s="2568"/>
      <c r="F54" s="2569"/>
      <c r="G54" s="2569"/>
      <c r="H54" s="2569"/>
      <c r="I54" s="2569"/>
      <c r="J54" s="2569"/>
      <c r="K54" s="2569"/>
      <c r="L54" s="2569"/>
      <c r="M54" s="2569"/>
      <c r="N54" s="2569"/>
      <c r="O54" s="2569"/>
      <c r="P54" s="2569"/>
      <c r="Q54" s="2569"/>
      <c r="R54" s="2569"/>
      <c r="S54" s="2569"/>
      <c r="T54" s="2569"/>
      <c r="U54" s="2569"/>
      <c r="V54" s="2569"/>
      <c r="W54" s="2569"/>
      <c r="X54" s="2569"/>
      <c r="Y54" s="2569"/>
      <c r="Z54" s="2569"/>
      <c r="AA54" s="2569"/>
      <c r="AB54" s="2569"/>
      <c r="AC54" s="2569"/>
      <c r="AD54" s="2569"/>
      <c r="AE54" s="2569"/>
      <c r="AF54" s="2569"/>
      <c r="AG54" s="2569"/>
      <c r="AH54" s="2569"/>
      <c r="AI54" s="2569"/>
      <c r="AJ54" s="2570"/>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6" t="s">
        <v>592</v>
      </c>
      <c r="C56" s="2616"/>
      <c r="D56" s="540"/>
      <c r="E56" s="2642" t="s">
        <v>2015</v>
      </c>
      <c r="F56" s="2643"/>
      <c r="G56" s="2643"/>
      <c r="H56" s="2643"/>
      <c r="I56" s="2643"/>
      <c r="J56" s="2643"/>
      <c r="K56" s="2643"/>
      <c r="L56" s="2643"/>
      <c r="M56" s="2643"/>
      <c r="N56" s="2643"/>
      <c r="O56" s="2643"/>
      <c r="P56" s="2643"/>
      <c r="Q56" s="2643"/>
      <c r="R56" s="2643"/>
      <c r="S56" s="2643"/>
      <c r="T56" s="2643"/>
      <c r="U56" s="2643"/>
      <c r="V56" s="2643"/>
      <c r="W56" s="2643"/>
      <c r="X56" s="2643"/>
      <c r="Y56" s="2643"/>
      <c r="Z56" s="2643"/>
      <c r="AA56" s="2643"/>
      <c r="AB56" s="2643"/>
      <c r="AC56" s="2643"/>
      <c r="AD56" s="2643"/>
      <c r="AE56" s="2643"/>
      <c r="AF56" s="2643"/>
      <c r="AG56" s="2643"/>
      <c r="AH56" s="2643"/>
      <c r="AI56" s="2643"/>
      <c r="AJ56" s="2644"/>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6" t="s">
        <v>592</v>
      </c>
      <c r="C58" s="2616"/>
      <c r="D58" s="540"/>
      <c r="E58" s="2543" t="s">
        <v>2016</v>
      </c>
      <c r="F58" s="2544"/>
      <c r="G58" s="2544"/>
      <c r="H58" s="2544"/>
      <c r="I58" s="2544"/>
      <c r="J58" s="2544"/>
      <c r="K58" s="2544"/>
      <c r="L58" s="2544"/>
      <c r="M58" s="2544"/>
      <c r="N58" s="2544"/>
      <c r="O58" s="2544"/>
      <c r="P58" s="2544"/>
      <c r="Q58" s="2544"/>
      <c r="R58" s="2544"/>
      <c r="S58" s="2544"/>
      <c r="T58" s="2544"/>
      <c r="U58" s="2544"/>
      <c r="V58" s="2544"/>
      <c r="W58" s="2544"/>
      <c r="X58" s="2544"/>
      <c r="Y58" s="2544"/>
      <c r="Z58" s="2544"/>
      <c r="AA58" s="2544"/>
      <c r="AB58" s="2544"/>
      <c r="AC58" s="2544"/>
      <c r="AD58" s="2544"/>
      <c r="AE58" s="2544"/>
      <c r="AF58" s="2544"/>
      <c r="AG58" s="2544"/>
      <c r="AH58" s="2544"/>
      <c r="AI58" s="2544"/>
      <c r="AJ58" s="2545"/>
      <c r="AK58" s="540"/>
      <c r="AL58" s="540"/>
      <c r="AM58" s="540"/>
      <c r="AN58" s="535"/>
    </row>
    <row r="59" spans="1:50" s="536" customFormat="1" ht="12.75" customHeight="1">
      <c r="A59" s="540"/>
      <c r="B59" s="547"/>
      <c r="C59" s="547"/>
      <c r="D59" s="547"/>
      <c r="E59" s="2568"/>
      <c r="F59" s="2569"/>
      <c r="G59" s="2569"/>
      <c r="H59" s="2569"/>
      <c r="I59" s="2569"/>
      <c r="J59" s="2569"/>
      <c r="K59" s="2569"/>
      <c r="L59" s="2569"/>
      <c r="M59" s="2569"/>
      <c r="N59" s="2569"/>
      <c r="O59" s="2569"/>
      <c r="P59" s="2569"/>
      <c r="Q59" s="2569"/>
      <c r="R59" s="2569"/>
      <c r="S59" s="2569"/>
      <c r="T59" s="2569"/>
      <c r="U59" s="2569"/>
      <c r="V59" s="2569"/>
      <c r="W59" s="2569"/>
      <c r="X59" s="2569"/>
      <c r="Y59" s="2569"/>
      <c r="Z59" s="2569"/>
      <c r="AA59" s="2569"/>
      <c r="AB59" s="2569"/>
      <c r="AC59" s="2569"/>
      <c r="AD59" s="2569"/>
      <c r="AE59" s="2569"/>
      <c r="AF59" s="2569"/>
      <c r="AG59" s="2569"/>
      <c r="AH59" s="2569"/>
      <c r="AI59" s="2569"/>
      <c r="AJ59" s="2570"/>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89">
        <f>AO39</f>
        <v>20</v>
      </c>
      <c r="AL62" s="2590"/>
      <c r="AM62" s="2591"/>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3" t="s">
        <v>1315</v>
      </c>
      <c r="AF65" s="2463"/>
      <c r="AG65" s="2463"/>
      <c r="AH65" s="2463"/>
      <c r="AI65" s="2463"/>
      <c r="AJ65" s="2463"/>
      <c r="AK65" s="2463"/>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6" t="s">
        <v>592</v>
      </c>
      <c r="C68" s="2616"/>
      <c r="D68" s="547" t="s">
        <v>1316</v>
      </c>
      <c r="E68" s="2608" t="s">
        <v>2017</v>
      </c>
      <c r="F68" s="2609"/>
      <c r="G68" s="2609"/>
      <c r="H68" s="2609"/>
      <c r="I68" s="2609"/>
      <c r="J68" s="2609"/>
      <c r="K68" s="2609"/>
      <c r="L68" s="2609"/>
      <c r="M68" s="2609"/>
      <c r="N68" s="2609"/>
      <c r="O68" s="2609"/>
      <c r="P68" s="2609"/>
      <c r="Q68" s="2609"/>
      <c r="R68" s="2609"/>
      <c r="S68" s="2609"/>
      <c r="T68" s="2609"/>
      <c r="U68" s="2609"/>
      <c r="V68" s="2609"/>
      <c r="W68" s="2609"/>
      <c r="X68" s="2609"/>
      <c r="Y68" s="2609"/>
      <c r="Z68" s="2609"/>
      <c r="AA68" s="2609"/>
      <c r="AB68" s="2609"/>
      <c r="AC68" s="2609"/>
      <c r="AD68" s="2609"/>
      <c r="AE68" s="2609"/>
      <c r="AF68" s="2609"/>
      <c r="AG68" s="2609"/>
      <c r="AH68" s="2609"/>
      <c r="AI68" s="2609"/>
      <c r="AJ68" s="2610"/>
      <c r="AK68" s="543"/>
      <c r="AL68" s="540"/>
      <c r="AM68" s="540"/>
      <c r="AN68" s="535"/>
      <c r="AO68" s="550">
        <f>IF($B68="yes",10,0)</f>
        <v>0</v>
      </c>
    </row>
    <row r="69" spans="1:42" s="536" customFormat="1" ht="12.75" customHeight="1">
      <c r="A69" s="538"/>
      <c r="B69" s="540"/>
      <c r="C69" s="540"/>
      <c r="D69" s="551"/>
      <c r="E69" s="2611"/>
      <c r="F69" s="2612"/>
      <c r="G69" s="2612"/>
      <c r="H69" s="2612"/>
      <c r="I69" s="2612"/>
      <c r="J69" s="2612"/>
      <c r="K69" s="2612"/>
      <c r="L69" s="2612"/>
      <c r="M69" s="2612"/>
      <c r="N69" s="2612"/>
      <c r="O69" s="2612"/>
      <c r="P69" s="2612"/>
      <c r="Q69" s="2612"/>
      <c r="R69" s="2612"/>
      <c r="S69" s="2612"/>
      <c r="T69" s="2612"/>
      <c r="U69" s="2612"/>
      <c r="V69" s="2612"/>
      <c r="W69" s="2612"/>
      <c r="X69" s="2612"/>
      <c r="Y69" s="2612"/>
      <c r="Z69" s="2612"/>
      <c r="AA69" s="2612"/>
      <c r="AB69" s="2612"/>
      <c r="AC69" s="2612"/>
      <c r="AD69" s="2612"/>
      <c r="AE69" s="2612"/>
      <c r="AF69" s="2612"/>
      <c r="AG69" s="2612"/>
      <c r="AH69" s="2612"/>
      <c r="AI69" s="2612"/>
      <c r="AJ69" s="2613"/>
      <c r="AK69" s="543"/>
      <c r="AL69" s="540"/>
      <c r="AM69" s="540"/>
      <c r="AN69" s="535"/>
      <c r="AO69" s="550">
        <f>IF($B74="yes",10,0)</f>
        <v>0</v>
      </c>
    </row>
    <row r="70" spans="1:42" s="536" customFormat="1" ht="12.75" customHeight="1">
      <c r="A70" s="538"/>
      <c r="B70" s="540"/>
      <c r="C70" s="540"/>
      <c r="D70" s="551"/>
      <c r="E70" s="2611"/>
      <c r="F70" s="2612"/>
      <c r="G70" s="2612"/>
      <c r="H70" s="2612"/>
      <c r="I70" s="2612"/>
      <c r="J70" s="2612"/>
      <c r="K70" s="2612"/>
      <c r="L70" s="2612"/>
      <c r="M70" s="2612"/>
      <c r="N70" s="2612"/>
      <c r="O70" s="2612"/>
      <c r="P70" s="2612"/>
      <c r="Q70" s="2612"/>
      <c r="R70" s="2612"/>
      <c r="S70" s="2612"/>
      <c r="T70" s="2612"/>
      <c r="U70" s="2612"/>
      <c r="V70" s="2612"/>
      <c r="W70" s="2612"/>
      <c r="X70" s="2612"/>
      <c r="Y70" s="2612"/>
      <c r="Z70" s="2612"/>
      <c r="AA70" s="2612"/>
      <c r="AB70" s="2612"/>
      <c r="AC70" s="2612"/>
      <c r="AD70" s="2612"/>
      <c r="AE70" s="2612"/>
      <c r="AF70" s="2612"/>
      <c r="AG70" s="2612"/>
      <c r="AH70" s="2612"/>
      <c r="AI70" s="2612"/>
      <c r="AJ70" s="2613"/>
      <c r="AK70" s="543"/>
      <c r="AL70" s="540"/>
      <c r="AM70" s="540"/>
      <c r="AN70" s="535"/>
      <c r="AO70" s="550">
        <f>IF($B81="yes",10,0)</f>
        <v>10</v>
      </c>
    </row>
    <row r="71" spans="1:42" s="536" customFormat="1" ht="12.75" customHeight="1">
      <c r="A71" s="538"/>
      <c r="B71" s="540"/>
      <c r="C71" s="540"/>
      <c r="D71" s="551"/>
      <c r="E71" s="2611"/>
      <c r="F71" s="2612"/>
      <c r="G71" s="2612"/>
      <c r="H71" s="2612"/>
      <c r="I71" s="2612"/>
      <c r="J71" s="2612"/>
      <c r="K71" s="2612"/>
      <c r="L71" s="2612"/>
      <c r="M71" s="2612"/>
      <c r="N71" s="2612"/>
      <c r="O71" s="2612"/>
      <c r="P71" s="2612"/>
      <c r="Q71" s="2612"/>
      <c r="R71" s="2612"/>
      <c r="S71" s="2612"/>
      <c r="T71" s="2612"/>
      <c r="U71" s="2612"/>
      <c r="V71" s="2612"/>
      <c r="W71" s="2612"/>
      <c r="X71" s="2612"/>
      <c r="Y71" s="2612"/>
      <c r="Z71" s="2612"/>
      <c r="AA71" s="2612"/>
      <c r="AB71" s="2612"/>
      <c r="AC71" s="2612"/>
      <c r="AD71" s="2612"/>
      <c r="AE71" s="2612"/>
      <c r="AF71" s="2612"/>
      <c r="AG71" s="2612"/>
      <c r="AH71" s="2612"/>
      <c r="AI71" s="2612"/>
      <c r="AJ71" s="2613"/>
      <c r="AK71" s="543"/>
      <c r="AL71" s="540"/>
      <c r="AM71" s="540"/>
      <c r="AN71" s="535"/>
      <c r="AO71" s="536">
        <f>IF(SUM(AO68:AO70)&gt;10,10,(SUM(AO68:AO70)))</f>
        <v>10</v>
      </c>
      <c r="AP71" s="574" t="s">
        <v>1317</v>
      </c>
    </row>
    <row r="72" spans="1:42" s="536" customFormat="1" ht="12.75" customHeight="1">
      <c r="A72" s="538"/>
      <c r="B72" s="540"/>
      <c r="C72" s="540"/>
      <c r="D72" s="551"/>
      <c r="E72" s="2638"/>
      <c r="F72" s="2639"/>
      <c r="G72" s="2639"/>
      <c r="H72" s="2639"/>
      <c r="I72" s="2639"/>
      <c r="J72" s="2639"/>
      <c r="K72" s="2639"/>
      <c r="L72" s="2639"/>
      <c r="M72" s="2639"/>
      <c r="N72" s="2639"/>
      <c r="O72" s="2639"/>
      <c r="P72" s="2639"/>
      <c r="Q72" s="2639"/>
      <c r="R72" s="2639"/>
      <c r="S72" s="2639"/>
      <c r="T72" s="2639"/>
      <c r="U72" s="2639"/>
      <c r="V72" s="2639"/>
      <c r="W72" s="2639"/>
      <c r="X72" s="2639"/>
      <c r="Y72" s="2639"/>
      <c r="Z72" s="2639"/>
      <c r="AA72" s="2639"/>
      <c r="AB72" s="2639"/>
      <c r="AC72" s="2639"/>
      <c r="AD72" s="2639"/>
      <c r="AE72" s="2639"/>
      <c r="AF72" s="2639"/>
      <c r="AG72" s="2639"/>
      <c r="AH72" s="2639"/>
      <c r="AI72" s="2639"/>
      <c r="AJ72" s="2640"/>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6" t="s">
        <v>592</v>
      </c>
      <c r="C74" s="2616"/>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1" t="s">
        <v>592</v>
      </c>
      <c r="F75" s="2616"/>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6" t="s">
        <v>592</v>
      </c>
      <c r="F76" s="2637"/>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6" t="s">
        <v>592</v>
      </c>
      <c r="F77" s="2637"/>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1" t="s">
        <v>592</v>
      </c>
      <c r="F79" s="2616"/>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6" t="s">
        <v>546</v>
      </c>
      <c r="C81" s="2616"/>
      <c r="D81" s="547" t="s">
        <v>1321</v>
      </c>
      <c r="E81" s="2543" t="s">
        <v>1741</v>
      </c>
      <c r="F81" s="2544"/>
      <c r="G81" s="2544"/>
      <c r="H81" s="2544"/>
      <c r="I81" s="2544"/>
      <c r="J81" s="2544"/>
      <c r="K81" s="2544"/>
      <c r="L81" s="2544"/>
      <c r="M81" s="2544"/>
      <c r="N81" s="2544"/>
      <c r="O81" s="2544"/>
      <c r="P81" s="2544"/>
      <c r="Q81" s="2544"/>
      <c r="R81" s="2544"/>
      <c r="S81" s="2544"/>
      <c r="T81" s="2544"/>
      <c r="U81" s="2544"/>
      <c r="V81" s="2544"/>
      <c r="W81" s="2544"/>
      <c r="X81" s="2544"/>
      <c r="Y81" s="2544"/>
      <c r="Z81" s="2544"/>
      <c r="AA81" s="2544"/>
      <c r="AB81" s="2544"/>
      <c r="AC81" s="2544"/>
      <c r="AD81" s="2544"/>
      <c r="AE81" s="2544"/>
      <c r="AF81" s="2544"/>
      <c r="AG81" s="2544"/>
      <c r="AH81" s="2544"/>
      <c r="AI81" s="2544"/>
      <c r="AJ81" s="2545"/>
      <c r="AK81" s="543"/>
      <c r="AL81" s="540"/>
      <c r="AM81" s="540"/>
      <c r="AN81" s="535"/>
    </row>
    <row r="82" spans="1:43" s="536" customFormat="1" ht="12.75" customHeight="1">
      <c r="A82" s="538"/>
      <c r="B82" s="540"/>
      <c r="C82" s="540"/>
      <c r="D82" s="550"/>
      <c r="E82" s="2568"/>
      <c r="F82" s="2569"/>
      <c r="G82" s="2569"/>
      <c r="H82" s="2569"/>
      <c r="I82" s="2569"/>
      <c r="J82" s="2569"/>
      <c r="K82" s="2569"/>
      <c r="L82" s="2569"/>
      <c r="M82" s="2569"/>
      <c r="N82" s="2569"/>
      <c r="O82" s="2569"/>
      <c r="P82" s="2569"/>
      <c r="Q82" s="2569"/>
      <c r="R82" s="2569"/>
      <c r="S82" s="2569"/>
      <c r="T82" s="2569"/>
      <c r="U82" s="2569"/>
      <c r="V82" s="2569"/>
      <c r="W82" s="2569"/>
      <c r="X82" s="2569"/>
      <c r="Y82" s="2569"/>
      <c r="Z82" s="2569"/>
      <c r="AA82" s="2569"/>
      <c r="AB82" s="2569"/>
      <c r="AC82" s="2569"/>
      <c r="AD82" s="2569"/>
      <c r="AE82" s="2569"/>
      <c r="AF82" s="2569"/>
      <c r="AG82" s="2569"/>
      <c r="AH82" s="2569"/>
      <c r="AI82" s="2569"/>
      <c r="AJ82" s="2570"/>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89">
        <f>IF(AK62&gt;0,0,AO71)</f>
        <v>0</v>
      </c>
      <c r="AL84" s="2590"/>
      <c r="AM84" s="2591"/>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3" t="s">
        <v>1306</v>
      </c>
      <c r="AF87" s="2463"/>
      <c r="AG87" s="2463"/>
      <c r="AH87" s="2463"/>
      <c r="AI87" s="2463"/>
      <c r="AJ87" s="2463"/>
      <c r="AK87" s="2463"/>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6" t="s">
        <v>592</v>
      </c>
      <c r="C90" s="2616"/>
      <c r="D90" s="547" t="s">
        <v>1316</v>
      </c>
      <c r="E90" s="2608" t="s">
        <v>1326</v>
      </c>
      <c r="F90" s="2609"/>
      <c r="G90" s="2609"/>
      <c r="H90" s="2609"/>
      <c r="I90" s="2609"/>
      <c r="J90" s="2609"/>
      <c r="K90" s="2609"/>
      <c r="L90" s="2609"/>
      <c r="M90" s="2609"/>
      <c r="N90" s="2609"/>
      <c r="O90" s="2609"/>
      <c r="P90" s="2609"/>
      <c r="Q90" s="2609"/>
      <c r="R90" s="2609"/>
      <c r="S90" s="2609"/>
      <c r="T90" s="2609"/>
      <c r="U90" s="2609"/>
      <c r="V90" s="2609"/>
      <c r="W90" s="2609"/>
      <c r="X90" s="2609"/>
      <c r="Y90" s="2609"/>
      <c r="Z90" s="2609"/>
      <c r="AA90" s="2609"/>
      <c r="AB90" s="2609"/>
      <c r="AC90" s="2609"/>
      <c r="AD90" s="2609"/>
      <c r="AE90" s="2609"/>
      <c r="AF90" s="2609"/>
      <c r="AG90" s="2609"/>
      <c r="AH90" s="2609"/>
      <c r="AI90" s="2609"/>
      <c r="AJ90" s="2610"/>
      <c r="AK90" s="543"/>
      <c r="AL90" s="540"/>
      <c r="AM90" s="540"/>
      <c r="AN90" s="535"/>
    </row>
    <row r="91" spans="1:43" s="536" customFormat="1" ht="12.75" customHeight="1">
      <c r="A91" s="538"/>
      <c r="B91" s="539"/>
      <c r="C91" s="539"/>
      <c r="D91" s="539"/>
      <c r="E91" s="2611"/>
      <c r="F91" s="2612"/>
      <c r="G91" s="2612"/>
      <c r="H91" s="2612"/>
      <c r="I91" s="2612"/>
      <c r="J91" s="2612"/>
      <c r="K91" s="2612"/>
      <c r="L91" s="2612"/>
      <c r="M91" s="2612"/>
      <c r="N91" s="2612"/>
      <c r="O91" s="2612"/>
      <c r="P91" s="2612"/>
      <c r="Q91" s="2612"/>
      <c r="R91" s="2612"/>
      <c r="S91" s="2612"/>
      <c r="T91" s="2612"/>
      <c r="U91" s="2612"/>
      <c r="V91" s="2612"/>
      <c r="W91" s="2612"/>
      <c r="X91" s="2612"/>
      <c r="Y91" s="2612"/>
      <c r="Z91" s="2612"/>
      <c r="AA91" s="2612"/>
      <c r="AB91" s="2612"/>
      <c r="AC91" s="2612"/>
      <c r="AD91" s="2612"/>
      <c r="AE91" s="2612"/>
      <c r="AF91" s="2612"/>
      <c r="AG91" s="2612"/>
      <c r="AH91" s="2612"/>
      <c r="AI91" s="2612"/>
      <c r="AJ91" s="2613"/>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4">
        <f>Application!AC753</f>
        <v>0.52624113475177303</v>
      </c>
      <c r="F93" s="2605"/>
      <c r="G93" s="2605"/>
      <c r="H93" s="2605"/>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5">
        <f>0.6-ROUNDUP(E93,2)</f>
        <v>6.9999999999999951E-2</v>
      </c>
      <c r="F94" s="2410"/>
      <c r="G94" s="2410"/>
      <c r="H94" s="2410"/>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0">
        <f>IF(E94*200&gt;20,20,E94*200)</f>
        <v>13.999999999999989</v>
      </c>
      <c r="F95" s="2621"/>
      <c r="G95" s="2621"/>
      <c r="H95" s="2621"/>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6" t="s">
        <v>546</v>
      </c>
      <c r="C98" s="2616"/>
      <c r="D98" s="547" t="s">
        <v>1318</v>
      </c>
      <c r="E98" s="2608" t="s">
        <v>1726</v>
      </c>
      <c r="F98" s="2609"/>
      <c r="G98" s="2609"/>
      <c r="H98" s="2609"/>
      <c r="I98" s="2609"/>
      <c r="J98" s="2609"/>
      <c r="K98" s="2609"/>
      <c r="L98" s="2609"/>
      <c r="M98" s="2609"/>
      <c r="N98" s="2609"/>
      <c r="O98" s="2609"/>
      <c r="P98" s="2609"/>
      <c r="Q98" s="2609"/>
      <c r="R98" s="2609"/>
      <c r="S98" s="2609"/>
      <c r="T98" s="2609"/>
      <c r="U98" s="2609"/>
      <c r="V98" s="2609"/>
      <c r="W98" s="2609"/>
      <c r="X98" s="2609"/>
      <c r="Y98" s="2609"/>
      <c r="Z98" s="2609"/>
      <c r="AA98" s="2609"/>
      <c r="AB98" s="2609"/>
      <c r="AC98" s="2609"/>
      <c r="AD98" s="2609"/>
      <c r="AE98" s="2609"/>
      <c r="AF98" s="2609"/>
      <c r="AG98" s="2609"/>
      <c r="AH98" s="2609"/>
      <c r="AI98" s="2609"/>
      <c r="AJ98" s="2610"/>
      <c r="AK98" s="543"/>
      <c r="AL98" s="540"/>
      <c r="AM98" s="540"/>
      <c r="AN98" s="535"/>
    </row>
    <row r="99" spans="1:47" s="536" customFormat="1" ht="12.75" customHeight="1">
      <c r="A99" s="538"/>
      <c r="B99" s="539"/>
      <c r="C99" s="539"/>
      <c r="D99" s="539"/>
      <c r="E99" s="2611"/>
      <c r="F99" s="2612"/>
      <c r="G99" s="2612"/>
      <c r="H99" s="2612"/>
      <c r="I99" s="2612"/>
      <c r="J99" s="2612"/>
      <c r="K99" s="2612"/>
      <c r="L99" s="2612"/>
      <c r="M99" s="2612"/>
      <c r="N99" s="2612"/>
      <c r="O99" s="2612"/>
      <c r="P99" s="2612"/>
      <c r="Q99" s="2612"/>
      <c r="R99" s="2612"/>
      <c r="S99" s="2612"/>
      <c r="T99" s="2612"/>
      <c r="U99" s="2612"/>
      <c r="V99" s="2612"/>
      <c r="W99" s="2612"/>
      <c r="X99" s="2612"/>
      <c r="Y99" s="2612"/>
      <c r="Z99" s="2612"/>
      <c r="AA99" s="2612"/>
      <c r="AB99" s="2612"/>
      <c r="AC99" s="2612"/>
      <c r="AD99" s="2612"/>
      <c r="AE99" s="2612"/>
      <c r="AF99" s="2612"/>
      <c r="AG99" s="2612"/>
      <c r="AH99" s="2612"/>
      <c r="AI99" s="2612"/>
      <c r="AJ99" s="2613"/>
      <c r="AK99" s="543"/>
      <c r="AL99" s="540"/>
      <c r="AM99" s="540"/>
      <c r="AN99" s="535"/>
    </row>
    <row r="100" spans="1:47" s="536" customFormat="1" ht="12.75" customHeight="1">
      <c r="A100" s="538"/>
      <c r="B100" s="539"/>
      <c r="C100" s="539"/>
      <c r="D100" s="539"/>
      <c r="E100" s="2611"/>
      <c r="F100" s="2612"/>
      <c r="G100" s="2612"/>
      <c r="H100" s="2612"/>
      <c r="I100" s="2612"/>
      <c r="J100" s="2612"/>
      <c r="K100" s="2612"/>
      <c r="L100" s="2612"/>
      <c r="M100" s="2612"/>
      <c r="N100" s="2612"/>
      <c r="O100" s="2612"/>
      <c r="P100" s="2612"/>
      <c r="Q100" s="2612"/>
      <c r="R100" s="2612"/>
      <c r="S100" s="2612"/>
      <c r="T100" s="2612"/>
      <c r="U100" s="2612"/>
      <c r="V100" s="2612"/>
      <c r="W100" s="2612"/>
      <c r="X100" s="2612"/>
      <c r="Y100" s="2612"/>
      <c r="Z100" s="2612"/>
      <c r="AA100" s="2612"/>
      <c r="AB100" s="2612"/>
      <c r="AC100" s="2612"/>
      <c r="AD100" s="2612"/>
      <c r="AE100" s="2612"/>
      <c r="AF100" s="2612"/>
      <c r="AG100" s="2612"/>
      <c r="AH100" s="2612"/>
      <c r="AI100" s="2612"/>
      <c r="AJ100" s="2613"/>
      <c r="AK100" s="543"/>
      <c r="AL100" s="540"/>
      <c r="AM100" s="540"/>
      <c r="AN100" s="535"/>
    </row>
    <row r="101" spans="1:47" s="536" customFormat="1" ht="12.75" customHeight="1">
      <c r="A101" s="538"/>
      <c r="B101" s="539"/>
      <c r="C101" s="539"/>
      <c r="D101" s="539"/>
      <c r="E101" s="2611"/>
      <c r="F101" s="2612"/>
      <c r="G101" s="2612"/>
      <c r="H101" s="2612"/>
      <c r="I101" s="2612"/>
      <c r="J101" s="2612"/>
      <c r="K101" s="2612"/>
      <c r="L101" s="2612"/>
      <c r="M101" s="2612"/>
      <c r="N101" s="2612"/>
      <c r="O101" s="2612"/>
      <c r="P101" s="2612"/>
      <c r="Q101" s="2612"/>
      <c r="R101" s="2612"/>
      <c r="S101" s="2612"/>
      <c r="T101" s="2612"/>
      <c r="U101" s="2612"/>
      <c r="V101" s="2612"/>
      <c r="W101" s="2612"/>
      <c r="X101" s="2612"/>
      <c r="Y101" s="2612"/>
      <c r="Z101" s="2612"/>
      <c r="AA101" s="2612"/>
      <c r="AB101" s="2612"/>
      <c r="AC101" s="2612"/>
      <c r="AD101" s="2612"/>
      <c r="AE101" s="2612"/>
      <c r="AF101" s="2612"/>
      <c r="AG101" s="2612"/>
      <c r="AH101" s="2612"/>
      <c r="AI101" s="2612"/>
      <c r="AJ101" s="2613"/>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4">
        <f>Application!AC753</f>
        <v>0.52624113475177303</v>
      </c>
      <c r="F103" s="2605"/>
      <c r="G103" s="2605"/>
      <c r="H103" s="2605"/>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4">
        <f ca="1">SUMIF(Application!AC718:AG752,0.2,Application!G718:J752)/Application!G753+SUMIF(Application!AC718:AG752,0.25,Application!G718:J752)/Application!G753+SUMIF(Application!AC718:AG752,0.3,Application!G718:J752)/Application!G753</f>
        <v>0.19858156028368795</v>
      </c>
      <c r="F104" s="2605"/>
      <c r="G104" s="2605"/>
      <c r="H104" s="2605"/>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4">
        <f ca="1">SUMIF(Application!AC718:AG752,0.35,Application!G718:J752)/Application!G753+SUMIF(Application!AC718:AG752,0.4,Application!G718:J752)/Application!G753+SUMIF(Application!AC718:AG752,0.45,Application!G718:J752)/Application!G753+SUMIF(Application!AC718:AG752,0.5,Application!G718:J752)/Application!G753</f>
        <v>7.0921985815602842E-2</v>
      </c>
      <c r="F105" s="2605"/>
      <c r="G105" s="2605"/>
      <c r="H105" s="2605"/>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2">
        <f ca="1">IF(AND(E103&lt;=0.6,OR(AND(E104&gt;=0.1,E105&gt;=0.1),AND(E104&gt;0.1,(E104+E105)&gt;=0.2))),20,0)</f>
        <v>20</v>
      </c>
      <c r="F106" s="2603"/>
      <c r="G106" s="2603"/>
      <c r="H106" s="2603"/>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89">
        <f ca="1">MAX(AP95,AP106)</f>
        <v>20</v>
      </c>
      <c r="AL109" s="2590"/>
      <c r="AM109" s="2591"/>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3" t="s">
        <v>1315</v>
      </c>
      <c r="AF112" s="2463"/>
      <c r="AG112" s="2463"/>
      <c r="AH112" s="2463"/>
      <c r="AI112" s="2463"/>
      <c r="AJ112" s="2463"/>
      <c r="AK112" s="2463"/>
      <c r="AL112" s="540"/>
      <c r="AM112" s="540"/>
      <c r="AN112" s="535"/>
      <c r="AO112" s="536" t="str">
        <f>Application!B718</f>
        <v>1 Bedroom</v>
      </c>
      <c r="AQ112" s="536">
        <f>Application!O718</f>
        <v>528</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634</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3 Bedrooms</v>
      </c>
      <c r="AQ114" s="536">
        <f>Application!O720</f>
        <v>732</v>
      </c>
    </row>
    <row r="115" spans="1:52" s="536" customFormat="1" ht="12.75" customHeight="1">
      <c r="A115" s="540"/>
      <c r="B115" s="2616" t="s">
        <v>546</v>
      </c>
      <c r="C115" s="2616"/>
      <c r="D115" s="547" t="s">
        <v>1316</v>
      </c>
      <c r="E115" s="2608" t="s">
        <v>1858</v>
      </c>
      <c r="F115" s="2609"/>
      <c r="G115" s="2609"/>
      <c r="H115" s="2609"/>
      <c r="I115" s="2609"/>
      <c r="J115" s="2609"/>
      <c r="K115" s="2609"/>
      <c r="L115" s="2609"/>
      <c r="M115" s="2609"/>
      <c r="N115" s="2609"/>
      <c r="O115" s="2609"/>
      <c r="P115" s="2609"/>
      <c r="Q115" s="2609"/>
      <c r="R115" s="2609"/>
      <c r="S115" s="2609"/>
      <c r="T115" s="2609"/>
      <c r="U115" s="2609"/>
      <c r="V115" s="2609"/>
      <c r="W115" s="2609"/>
      <c r="X115" s="2609"/>
      <c r="Y115" s="2609"/>
      <c r="Z115" s="2609"/>
      <c r="AA115" s="2609"/>
      <c r="AB115" s="2609"/>
      <c r="AC115" s="2609"/>
      <c r="AD115" s="2609"/>
      <c r="AE115" s="2609"/>
      <c r="AF115" s="2609"/>
      <c r="AG115" s="2609"/>
      <c r="AH115" s="2609"/>
      <c r="AI115" s="2609"/>
      <c r="AJ115" s="2610"/>
      <c r="AK115" s="540"/>
      <c r="AL115" s="540"/>
      <c r="AM115" s="540"/>
      <c r="AN115" s="535"/>
      <c r="AO115" s="536" t="str">
        <f>Application!B721</f>
        <v>1 Bedroom</v>
      </c>
      <c r="AQ115" s="536">
        <f>Application!O721</f>
        <v>705</v>
      </c>
      <c r="AU115" s="536" t="s">
        <v>1841</v>
      </c>
      <c r="AV115" s="595" t="s">
        <v>1842</v>
      </c>
      <c r="AW115" s="536" t="s">
        <v>1843</v>
      </c>
    </row>
    <row r="116" spans="1:52" s="536" customFormat="1" ht="12.75" customHeight="1">
      <c r="A116" s="540"/>
      <c r="B116" s="539"/>
      <c r="C116" s="539"/>
      <c r="D116" s="539"/>
      <c r="E116" s="2611"/>
      <c r="F116" s="2612"/>
      <c r="G116" s="2612"/>
      <c r="H116" s="2612"/>
      <c r="I116" s="2612"/>
      <c r="J116" s="2612"/>
      <c r="K116" s="2612"/>
      <c r="L116" s="2612"/>
      <c r="M116" s="2612"/>
      <c r="N116" s="2612"/>
      <c r="O116" s="2612"/>
      <c r="P116" s="2612"/>
      <c r="Q116" s="2612"/>
      <c r="R116" s="2612"/>
      <c r="S116" s="2612"/>
      <c r="T116" s="2612"/>
      <c r="U116" s="2612"/>
      <c r="V116" s="2612"/>
      <c r="W116" s="2612"/>
      <c r="X116" s="2612"/>
      <c r="Y116" s="2612"/>
      <c r="Z116" s="2612"/>
      <c r="AA116" s="2612"/>
      <c r="AB116" s="2612"/>
      <c r="AC116" s="2612"/>
      <c r="AD116" s="2612"/>
      <c r="AE116" s="2612"/>
      <c r="AF116" s="2612"/>
      <c r="AG116" s="2612"/>
      <c r="AH116" s="2612"/>
      <c r="AI116" s="2612"/>
      <c r="AJ116" s="2613"/>
      <c r="AK116" s="540"/>
      <c r="AL116" s="540"/>
      <c r="AM116" s="540"/>
      <c r="AN116" s="535"/>
      <c r="AO116" s="536" t="str">
        <f>Application!B722</f>
        <v>2 Bedrooms</v>
      </c>
      <c r="AQ116" s="536">
        <f>Application!O722</f>
        <v>846</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1"/>
      <c r="F117" s="2612"/>
      <c r="G117" s="2612"/>
      <c r="H117" s="2612"/>
      <c r="I117" s="2612"/>
      <c r="J117" s="2612"/>
      <c r="K117" s="2612"/>
      <c r="L117" s="2612"/>
      <c r="M117" s="2612"/>
      <c r="N117" s="2612"/>
      <c r="O117" s="2612"/>
      <c r="P117" s="2612"/>
      <c r="Q117" s="2612"/>
      <c r="R117" s="2612"/>
      <c r="S117" s="2612"/>
      <c r="T117" s="2612"/>
      <c r="U117" s="2612"/>
      <c r="V117" s="2612"/>
      <c r="W117" s="2612"/>
      <c r="X117" s="2612"/>
      <c r="Y117" s="2612"/>
      <c r="Z117" s="2612"/>
      <c r="AA117" s="2612"/>
      <c r="AB117" s="2612"/>
      <c r="AC117" s="2612"/>
      <c r="AD117" s="2612"/>
      <c r="AE117" s="2612"/>
      <c r="AF117" s="2612"/>
      <c r="AG117" s="2612"/>
      <c r="AH117" s="2612"/>
      <c r="AI117" s="2612"/>
      <c r="AJ117" s="2613"/>
      <c r="AK117" s="540"/>
      <c r="AL117" s="540"/>
      <c r="AM117" s="540"/>
      <c r="AN117" s="535"/>
      <c r="AO117" s="536" t="str">
        <f>Application!B723</f>
        <v>3 Bedrooms</v>
      </c>
      <c r="AQ117" s="536">
        <f>Application!O723</f>
        <v>977</v>
      </c>
      <c r="AU117" s="856" t="str">
        <f>J124</f>
        <v>1-bedroom</v>
      </c>
      <c r="AV117" s="536">
        <f t="array" ref="AV117">SUM(IF(Application!B718:F752="1 Bedroom",Application!G718:J752))</f>
        <v>40</v>
      </c>
      <c r="AW117" s="1011">
        <f>AV117/AV122</f>
        <v>0.28368794326241137</v>
      </c>
    </row>
    <row r="118" spans="1:52" s="536" customFormat="1" ht="12.75" customHeight="1">
      <c r="A118" s="540"/>
      <c r="B118" s="539"/>
      <c r="C118" s="539"/>
      <c r="D118" s="539"/>
      <c r="E118" s="2611"/>
      <c r="F118" s="2612"/>
      <c r="G118" s="2612"/>
      <c r="H118" s="2612"/>
      <c r="I118" s="2612"/>
      <c r="J118" s="2612"/>
      <c r="K118" s="2612"/>
      <c r="L118" s="2612"/>
      <c r="M118" s="2612"/>
      <c r="N118" s="2612"/>
      <c r="O118" s="2612"/>
      <c r="P118" s="2612"/>
      <c r="Q118" s="2612"/>
      <c r="R118" s="2612"/>
      <c r="S118" s="2612"/>
      <c r="T118" s="2612"/>
      <c r="U118" s="2612"/>
      <c r="V118" s="2612"/>
      <c r="W118" s="2612"/>
      <c r="X118" s="2612"/>
      <c r="Y118" s="2612"/>
      <c r="Z118" s="2612"/>
      <c r="AA118" s="2612"/>
      <c r="AB118" s="2612"/>
      <c r="AC118" s="2612"/>
      <c r="AD118" s="2612"/>
      <c r="AE118" s="2612"/>
      <c r="AF118" s="2612"/>
      <c r="AG118" s="2612"/>
      <c r="AH118" s="2612"/>
      <c r="AI118" s="2612"/>
      <c r="AJ118" s="2613"/>
      <c r="AK118" s="540"/>
      <c r="AL118" s="540"/>
      <c r="AM118" s="540"/>
      <c r="AN118" s="535"/>
      <c r="AO118" s="536" t="str">
        <f>Application!B724</f>
        <v>1 Bedroom</v>
      </c>
      <c r="AQ118" s="536">
        <f>Application!O724</f>
        <v>1057</v>
      </c>
      <c r="AU118" s="856" t="str">
        <f>O124</f>
        <v>2-bedroom</v>
      </c>
      <c r="AV118" s="536">
        <f t="array" ref="AV118">SUM(IF(Application!B718:F752="2 Bedrooms",Application!G718:J752))</f>
        <v>54</v>
      </c>
      <c r="AW118" s="1011">
        <f>AV118/AV122</f>
        <v>0.38297872340425532</v>
      </c>
    </row>
    <row r="119" spans="1:52" s="536" customFormat="1" ht="12.75" customHeight="1">
      <c r="A119" s="540"/>
      <c r="B119" s="539"/>
      <c r="C119" s="539"/>
      <c r="D119" s="539"/>
      <c r="E119" s="2611"/>
      <c r="F119" s="2612"/>
      <c r="G119" s="2612"/>
      <c r="H119" s="2612"/>
      <c r="I119" s="2612"/>
      <c r="J119" s="2612"/>
      <c r="K119" s="2612"/>
      <c r="L119" s="2612"/>
      <c r="M119" s="2612"/>
      <c r="N119" s="2612"/>
      <c r="O119" s="2612"/>
      <c r="P119" s="2612"/>
      <c r="Q119" s="2612"/>
      <c r="R119" s="2612"/>
      <c r="S119" s="2612"/>
      <c r="T119" s="2612"/>
      <c r="U119" s="2612"/>
      <c r="V119" s="2612"/>
      <c r="W119" s="2612"/>
      <c r="X119" s="2612"/>
      <c r="Y119" s="2612"/>
      <c r="Z119" s="2612"/>
      <c r="AA119" s="2612"/>
      <c r="AB119" s="2612"/>
      <c r="AC119" s="2612"/>
      <c r="AD119" s="2612"/>
      <c r="AE119" s="2612"/>
      <c r="AF119" s="2612"/>
      <c r="AG119" s="2612"/>
      <c r="AH119" s="2612"/>
      <c r="AI119" s="2612"/>
      <c r="AJ119" s="2613"/>
      <c r="AK119" s="540"/>
      <c r="AL119" s="540"/>
      <c r="AM119" s="540"/>
      <c r="AN119" s="535"/>
      <c r="AO119" s="536" t="str">
        <f>Application!B725</f>
        <v>2 Bedrooms</v>
      </c>
      <c r="AQ119" s="536">
        <f>Application!O725</f>
        <v>1269</v>
      </c>
      <c r="AU119" s="856" t="str">
        <f>T124</f>
        <v>3-bedroom</v>
      </c>
      <c r="AV119" s="536">
        <f t="array" ref="AV119">SUM(IF(Application!B718:F752="3 Bedrooms",Application!G718:J752))</f>
        <v>35</v>
      </c>
      <c r="AW119" s="1011">
        <f>AV119/AV122</f>
        <v>0.24822695035460993</v>
      </c>
    </row>
    <row r="120" spans="1:52" s="536" customFormat="1" ht="12.75" customHeight="1">
      <c r="A120" s="540"/>
      <c r="B120" s="539"/>
      <c r="C120" s="539"/>
      <c r="D120" s="539"/>
      <c r="E120" s="2611"/>
      <c r="F120" s="2612"/>
      <c r="G120" s="2612"/>
      <c r="H120" s="2612"/>
      <c r="I120" s="2612"/>
      <c r="J120" s="2612"/>
      <c r="K120" s="2612"/>
      <c r="L120" s="2612"/>
      <c r="M120" s="2612"/>
      <c r="N120" s="2612"/>
      <c r="O120" s="2612"/>
      <c r="P120" s="2612"/>
      <c r="Q120" s="2612"/>
      <c r="R120" s="2612"/>
      <c r="S120" s="2612"/>
      <c r="T120" s="2612"/>
      <c r="U120" s="2612"/>
      <c r="V120" s="2612"/>
      <c r="W120" s="2612"/>
      <c r="X120" s="2612"/>
      <c r="Y120" s="2612"/>
      <c r="Z120" s="2612"/>
      <c r="AA120" s="2612"/>
      <c r="AB120" s="2612"/>
      <c r="AC120" s="2612"/>
      <c r="AD120" s="2612"/>
      <c r="AE120" s="2612"/>
      <c r="AF120" s="2612"/>
      <c r="AG120" s="2612"/>
      <c r="AH120" s="2612"/>
      <c r="AI120" s="2612"/>
      <c r="AJ120" s="2613"/>
      <c r="AK120" s="540"/>
      <c r="AL120" s="540"/>
      <c r="AM120" s="540"/>
      <c r="AN120" s="535"/>
      <c r="AO120" s="536" t="str">
        <f>Application!B726</f>
        <v>3 Bedrooms</v>
      </c>
      <c r="AQ120" s="536">
        <f>Application!O726</f>
        <v>1465</v>
      </c>
      <c r="AU120" s="856" t="str">
        <f>Y124</f>
        <v>4-bedroom</v>
      </c>
      <c r="AV120" s="536">
        <f t="array" ref="AV120">SUM(IF(Application!B718:F752="4 Bedrooms",Application!G718:J752))</f>
        <v>12</v>
      </c>
      <c r="AW120" s="1011">
        <f>AV120/AV122</f>
        <v>8.5106382978723402E-2</v>
      </c>
    </row>
    <row r="121" spans="1:52" s="536" customFormat="1" ht="12.75" customHeight="1">
      <c r="A121" s="540"/>
      <c r="B121" s="539"/>
      <c r="C121" s="539"/>
      <c r="D121" s="539"/>
      <c r="E121" s="2611"/>
      <c r="F121" s="2612"/>
      <c r="G121" s="2612"/>
      <c r="H121" s="2612"/>
      <c r="I121" s="2612"/>
      <c r="J121" s="2612"/>
      <c r="K121" s="2612"/>
      <c r="L121" s="2612"/>
      <c r="M121" s="2612"/>
      <c r="N121" s="2612"/>
      <c r="O121" s="2612"/>
      <c r="P121" s="2612"/>
      <c r="Q121" s="2612"/>
      <c r="R121" s="2612"/>
      <c r="S121" s="2612"/>
      <c r="T121" s="2612"/>
      <c r="U121" s="2612"/>
      <c r="V121" s="2612"/>
      <c r="W121" s="2612"/>
      <c r="X121" s="2612"/>
      <c r="Y121" s="2612"/>
      <c r="Z121" s="2612"/>
      <c r="AA121" s="2612"/>
      <c r="AB121" s="2612"/>
      <c r="AC121" s="2612"/>
      <c r="AD121" s="2612"/>
      <c r="AE121" s="2612"/>
      <c r="AF121" s="2612"/>
      <c r="AG121" s="2612"/>
      <c r="AH121" s="2612"/>
      <c r="AI121" s="2612"/>
      <c r="AJ121" s="2613"/>
      <c r="AK121" s="540"/>
      <c r="AL121" s="540"/>
      <c r="AM121" s="540"/>
      <c r="AN121" s="535"/>
      <c r="AO121" s="536" t="str">
        <f>Application!B727</f>
        <v>1 Bedroom</v>
      </c>
      <c r="AQ121" s="536">
        <f>Application!O727</f>
        <v>1057</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1"/>
      <c r="F122" s="2612"/>
      <c r="G122" s="2612"/>
      <c r="H122" s="2612"/>
      <c r="I122" s="2612"/>
      <c r="J122" s="2612"/>
      <c r="K122" s="2612"/>
      <c r="L122" s="2612"/>
      <c r="M122" s="2612"/>
      <c r="N122" s="2612"/>
      <c r="O122" s="2612"/>
      <c r="P122" s="2612"/>
      <c r="Q122" s="2612"/>
      <c r="R122" s="2612"/>
      <c r="S122" s="2612"/>
      <c r="T122" s="2612"/>
      <c r="U122" s="2612"/>
      <c r="V122" s="2612"/>
      <c r="W122" s="2612"/>
      <c r="X122" s="2612"/>
      <c r="Y122" s="2612"/>
      <c r="Z122" s="2612"/>
      <c r="AA122" s="2612"/>
      <c r="AB122" s="2612"/>
      <c r="AC122" s="2612"/>
      <c r="AD122" s="2612"/>
      <c r="AE122" s="2612"/>
      <c r="AF122" s="2612"/>
      <c r="AG122" s="2612"/>
      <c r="AH122" s="2612"/>
      <c r="AI122" s="2612"/>
      <c r="AJ122" s="2613"/>
      <c r="AK122" s="540"/>
      <c r="AL122" s="540"/>
      <c r="AM122" s="540"/>
      <c r="AN122" s="535"/>
      <c r="AO122" s="536" t="str">
        <f>Application!B728</f>
        <v>2 Bedrooms</v>
      </c>
      <c r="AQ122" s="536">
        <f>Application!O728</f>
        <v>1269</v>
      </c>
      <c r="AV122" s="536">
        <f>SUM(AV116:AV121)</f>
        <v>141</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1465</v>
      </c>
    </row>
    <row r="124" spans="1:52" s="536" customFormat="1" ht="12.75" customHeight="1">
      <c r="A124" s="540"/>
      <c r="B124" s="539"/>
      <c r="C124" s="540"/>
      <c r="D124" s="540"/>
      <c r="E124" s="2604" t="s">
        <v>1589</v>
      </c>
      <c r="F124" s="2605"/>
      <c r="G124" s="2605"/>
      <c r="H124" s="2605"/>
      <c r="I124" s="577"/>
      <c r="J124" s="2605" t="s">
        <v>1632</v>
      </c>
      <c r="K124" s="2605"/>
      <c r="L124" s="2605"/>
      <c r="M124" s="2605"/>
      <c r="N124" s="577"/>
      <c r="O124" s="2605" t="s">
        <v>1633</v>
      </c>
      <c r="P124" s="2605"/>
      <c r="Q124" s="2605"/>
      <c r="R124" s="2605"/>
      <c r="S124" s="577"/>
      <c r="T124" s="2605" t="s">
        <v>1335</v>
      </c>
      <c r="U124" s="2605"/>
      <c r="V124" s="2605"/>
      <c r="W124" s="2605"/>
      <c r="X124" s="577"/>
      <c r="Y124" s="2605" t="s">
        <v>1634</v>
      </c>
      <c r="Z124" s="2605"/>
      <c r="AA124" s="2605"/>
      <c r="AB124" s="2605"/>
      <c r="AC124" s="577"/>
      <c r="AD124" s="2605" t="s">
        <v>1635</v>
      </c>
      <c r="AE124" s="2605"/>
      <c r="AF124" s="2605"/>
      <c r="AG124" s="2605"/>
      <c r="AH124" s="577"/>
      <c r="AI124" s="577"/>
      <c r="AJ124" s="579"/>
      <c r="AK124" s="540"/>
      <c r="AL124" s="540"/>
      <c r="AM124" s="540"/>
      <c r="AN124" s="535"/>
      <c r="AO124" s="536" t="str">
        <f>Application!B730</f>
        <v>4 Bedrooms</v>
      </c>
      <c r="AQ124" s="536">
        <f>Application!O730</f>
        <v>1635</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1 Bedroom</v>
      </c>
      <c r="AQ125" s="536">
        <f>Application!O731</f>
        <v>705</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6"/>
      <c r="F127" s="2607"/>
      <c r="G127" s="2607"/>
      <c r="H127" s="2607"/>
      <c r="I127" s="864"/>
      <c r="J127" s="2607">
        <v>1453</v>
      </c>
      <c r="K127" s="2607"/>
      <c r="L127" s="2607"/>
      <c r="M127" s="2607"/>
      <c r="N127" s="864"/>
      <c r="O127" s="2607">
        <v>1747</v>
      </c>
      <c r="P127" s="2607"/>
      <c r="Q127" s="2607"/>
      <c r="R127" s="2607"/>
      <c r="S127" s="864"/>
      <c r="T127" s="2607">
        <v>2189</v>
      </c>
      <c r="U127" s="2607"/>
      <c r="V127" s="2607"/>
      <c r="W127" s="2607"/>
      <c r="X127" s="864"/>
      <c r="Y127" s="2607">
        <v>2533</v>
      </c>
      <c r="Z127" s="2607"/>
      <c r="AA127" s="2607"/>
      <c r="AB127" s="2607"/>
      <c r="AC127" s="864"/>
      <c r="AD127" s="2607"/>
      <c r="AE127" s="2607"/>
      <c r="AF127" s="2607"/>
      <c r="AG127" s="2607"/>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4">
        <f>Application!DX670</f>
        <v>0</v>
      </c>
      <c r="F130" s="2615"/>
      <c r="G130" s="2615"/>
      <c r="H130" s="2615"/>
      <c r="I130" s="864"/>
      <c r="J130" s="2615">
        <f>Application!EC670</f>
        <v>783.75</v>
      </c>
      <c r="K130" s="2615"/>
      <c r="L130" s="2615"/>
      <c r="M130" s="2615"/>
      <c r="N130" s="864"/>
      <c r="O130" s="2615">
        <f>Application!EH670</f>
        <v>1186.7037037037037</v>
      </c>
      <c r="P130" s="2615"/>
      <c r="Q130" s="2615"/>
      <c r="R130" s="2615"/>
      <c r="S130" s="868"/>
      <c r="T130" s="2615">
        <f>Application!EM670</f>
        <v>1318.4571428571428</v>
      </c>
      <c r="U130" s="2615"/>
      <c r="V130" s="2615"/>
      <c r="W130" s="2615"/>
      <c r="X130" s="868"/>
      <c r="Y130" s="2615">
        <f>Application!ER670</f>
        <v>1635</v>
      </c>
      <c r="Z130" s="2615"/>
      <c r="AA130" s="2615"/>
      <c r="AB130" s="2615"/>
      <c r="AC130" s="868"/>
      <c r="AD130" s="2615">
        <f>Application!EW670</f>
        <v>0</v>
      </c>
      <c r="AE130" s="2615"/>
      <c r="AF130" s="2615"/>
      <c r="AG130" s="2615"/>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9" t="e">
        <f>(E127-E130)/E127</f>
        <v>#DIV/0!</v>
      </c>
      <c r="F133" s="2410"/>
      <c r="G133" s="2410"/>
      <c r="H133" s="2411"/>
      <c r="I133" s="577"/>
      <c r="J133" s="2409">
        <f>(J127-J130)/J127</f>
        <v>0.46059876118375775</v>
      </c>
      <c r="K133" s="2410"/>
      <c r="L133" s="2410"/>
      <c r="M133" s="2411"/>
      <c r="N133" s="577"/>
      <c r="O133" s="2409">
        <f>(O127-O130)/O127</f>
        <v>0.32071911636880157</v>
      </c>
      <c r="P133" s="2410"/>
      <c r="Q133" s="2410"/>
      <c r="R133" s="2411"/>
      <c r="S133" s="577"/>
      <c r="T133" s="2409">
        <f>(T127-T130)/T127</f>
        <v>0.39768974743849117</v>
      </c>
      <c r="U133" s="2410"/>
      <c r="V133" s="2410"/>
      <c r="W133" s="2411"/>
      <c r="X133" s="577"/>
      <c r="Y133" s="2409">
        <f>(Y127-Y130)/Y127</f>
        <v>0.3545203316225819</v>
      </c>
      <c r="Z133" s="2410"/>
      <c r="AA133" s="2410"/>
      <c r="AB133" s="2411"/>
      <c r="AC133" s="577"/>
      <c r="AD133" s="2409" t="e">
        <f>(AD127-AD130)/AD127</f>
        <v>#DIV/0!</v>
      </c>
      <c r="AE133" s="2410"/>
      <c r="AF133" s="2410"/>
      <c r="AG133" s="2411"/>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7" t="e">
        <f>IF(((E133-0.1)*AW116)&gt;0,((E133-0.1)*AW116),0)</f>
        <v>#DIV/0!</v>
      </c>
      <c r="F136" s="2618"/>
      <c r="G136" s="2618"/>
      <c r="H136" s="2619"/>
      <c r="I136" s="577"/>
      <c r="J136" s="2617">
        <f>IF(((J133-0.1)*AW117)&gt;0,((J133-0.1)*AW117),0)</f>
        <v>0.1022975209031937</v>
      </c>
      <c r="K136" s="2618"/>
      <c r="L136" s="2618"/>
      <c r="M136" s="2619"/>
      <c r="N136" s="577"/>
      <c r="O136" s="2617">
        <f>IF(((O133-0.1)*AW118)&gt;0,((O133-0.1)*AW118),0)</f>
        <v>8.4530725417838903E-2</v>
      </c>
      <c r="P136" s="2618"/>
      <c r="Q136" s="2618"/>
      <c r="R136" s="2619"/>
      <c r="S136" s="577"/>
      <c r="T136" s="2617">
        <f>IF(((T133-0.1)*AW119)&gt;0,((T133-0.1)*AW119),0)</f>
        <v>7.3894618158490716E-2</v>
      </c>
      <c r="U136" s="2618"/>
      <c r="V136" s="2618"/>
      <c r="W136" s="2619"/>
      <c r="X136" s="577"/>
      <c r="Y136" s="2617">
        <f>IF(((Y133-0.1)*AW120)&gt;0,((Y133-0.1)*AW120),0)</f>
        <v>2.1661304818943142E-2</v>
      </c>
      <c r="Z136" s="2618"/>
      <c r="AA136" s="2618"/>
      <c r="AB136" s="2619"/>
      <c r="AC136" s="577"/>
      <c r="AD136" s="2617" t="e">
        <f>IF(((AD133-0.1)*AW121)&gt;0,((AD133-0.1)*AW121),0)</f>
        <v>#DIV/0!</v>
      </c>
      <c r="AE136" s="2618"/>
      <c r="AF136" s="2618"/>
      <c r="AG136" s="2619"/>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9">
        <f>ROUNDDOWN(SUMIF(E136:AG136,"&gt;0"),2)</f>
        <v>0.28000000000000003</v>
      </c>
      <c r="F138" s="2410"/>
      <c r="G138" s="2410"/>
      <c r="H138" s="2411"/>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9">
        <f>IF((E138*100)&gt;10,10,E138*100)</f>
        <v>10</v>
      </c>
      <c r="F139" s="2590"/>
      <c r="G139" s="2590"/>
      <c r="H139" s="2591"/>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89">
        <f>E139</f>
        <v>10</v>
      </c>
      <c r="AL143" s="2590"/>
      <c r="AM143" s="2591"/>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63" t="s">
        <v>1315</v>
      </c>
      <c r="AF146" s="2463"/>
      <c r="AG146" s="2463"/>
      <c r="AH146" s="2463"/>
      <c r="AI146" s="2463"/>
      <c r="AJ146" s="2463"/>
      <c r="AK146" s="2463"/>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3" t="s">
        <v>1339</v>
      </c>
      <c r="AG148" s="2523"/>
      <c r="AH148" s="2523"/>
      <c r="AI148" s="2523"/>
      <c r="AJ148" s="2523"/>
      <c r="AK148" s="2523"/>
      <c r="AL148" s="2523"/>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3" t="s">
        <v>2627</v>
      </c>
      <c r="C150" s="2593"/>
      <c r="D150" s="2593"/>
      <c r="E150" s="2593"/>
      <c r="F150" s="2593"/>
      <c r="G150" s="2593"/>
      <c r="H150" s="2593"/>
      <c r="I150" s="2593"/>
      <c r="J150" s="2593"/>
      <c r="K150" s="2593"/>
      <c r="L150" s="2593"/>
      <c r="M150" s="2593"/>
      <c r="N150" s="2593"/>
      <c r="O150" s="2593"/>
      <c r="P150" s="2593"/>
      <c r="Q150" s="2593"/>
      <c r="R150" s="2593"/>
      <c r="S150" s="2593"/>
      <c r="T150" s="2593"/>
      <c r="U150" s="2593"/>
      <c r="V150" s="2593"/>
      <c r="W150" s="2593"/>
      <c r="X150" s="2593"/>
      <c r="Y150" s="2593"/>
      <c r="Z150" s="2593"/>
      <c r="AA150" s="2593"/>
      <c r="AB150" s="2593"/>
      <c r="AC150" s="2593"/>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94" t="s">
        <v>1342</v>
      </c>
      <c r="C153" s="2594"/>
      <c r="D153" s="2594"/>
      <c r="E153" s="2594"/>
      <c r="F153" s="2594"/>
      <c r="G153" s="2594"/>
      <c r="H153" s="2594"/>
      <c r="I153" s="2594"/>
      <c r="J153" s="2594"/>
      <c r="K153" s="2594"/>
      <c r="L153" s="2594"/>
      <c r="M153" s="2594"/>
      <c r="N153" s="2594"/>
      <c r="O153" s="2594"/>
      <c r="P153" s="2594"/>
      <c r="Q153" s="2594"/>
      <c r="R153" s="2594"/>
      <c r="S153" s="2594"/>
      <c r="T153" s="2594"/>
      <c r="U153" s="2594"/>
      <c r="V153" s="2594"/>
      <c r="W153" s="2594"/>
      <c r="X153" s="2594"/>
      <c r="Y153" s="2594"/>
      <c r="Z153" s="2594"/>
      <c r="AA153" s="2594"/>
      <c r="AB153" s="2594"/>
      <c r="AC153" s="2594"/>
      <c r="AD153" s="2594"/>
      <c r="AE153" s="2594"/>
      <c r="AF153" s="2594"/>
      <c r="AG153" s="2594"/>
      <c r="AH153" s="2594"/>
      <c r="AI153" s="2594"/>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1343</v>
      </c>
      <c r="AB155" s="2395" t="s">
        <v>592</v>
      </c>
      <c r="AC155" s="2395"/>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94" t="s">
        <v>1344</v>
      </c>
      <c r="C158" s="2594"/>
      <c r="D158" s="2594"/>
      <c r="E158" s="2594"/>
      <c r="F158" s="2594"/>
      <c r="G158" s="2594"/>
      <c r="H158" s="2594"/>
      <c r="I158" s="2594"/>
      <c r="J158" s="2594"/>
      <c r="K158" s="2594"/>
      <c r="L158" s="2594"/>
      <c r="M158" s="2594"/>
      <c r="N158" s="2594"/>
      <c r="O158" s="2594"/>
      <c r="P158" s="2594"/>
      <c r="Q158" s="2594"/>
      <c r="R158" s="2594"/>
      <c r="S158" s="2594"/>
      <c r="T158" s="2594"/>
      <c r="U158" s="2594"/>
      <c r="V158" s="2594"/>
      <c r="W158" s="2594"/>
      <c r="X158" s="2594"/>
      <c r="Y158" s="2594"/>
      <c r="Z158" s="2594"/>
      <c r="AA158" s="2594"/>
      <c r="AB158" s="2594"/>
      <c r="AC158" s="2594"/>
      <c r="AD158" s="2594"/>
      <c r="AE158" s="2594"/>
      <c r="AF158" s="2594"/>
      <c r="AG158" s="2594"/>
      <c r="AH158" s="2594"/>
      <c r="AI158" s="2594"/>
      <c r="AJ158" s="2594"/>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2" t="s">
        <v>2475</v>
      </c>
      <c r="C161" s="2392"/>
      <c r="D161" s="2392"/>
      <c r="E161" s="2392"/>
      <c r="F161" s="2392"/>
      <c r="G161" s="2392"/>
      <c r="H161" s="2392"/>
      <c r="I161" s="2392"/>
      <c r="J161" s="2392"/>
      <c r="K161" s="2392"/>
      <c r="L161" s="2392"/>
      <c r="M161" s="2392"/>
      <c r="N161" s="2392"/>
      <c r="O161" s="2392"/>
      <c r="P161" s="2392"/>
      <c r="Q161" s="2392"/>
      <c r="R161" s="2392"/>
      <c r="S161" s="2392"/>
      <c r="T161" s="2392"/>
      <c r="U161" s="2392"/>
      <c r="V161" s="2392"/>
      <c r="W161" s="2392"/>
      <c r="X161" s="2392"/>
      <c r="Y161" s="2392"/>
      <c r="Z161" s="2392"/>
      <c r="AA161" s="2392"/>
      <c r="AB161" s="2392"/>
      <c r="AC161" s="2392"/>
      <c r="AD161" s="2392"/>
      <c r="AE161" s="2392"/>
      <c r="AF161" s="2392"/>
      <c r="AG161" s="2392"/>
      <c r="AH161" s="2392"/>
      <c r="AI161" s="2392"/>
      <c r="AJ161" s="2392"/>
      <c r="AK161" s="1180"/>
      <c r="AM161" s="539"/>
      <c r="AN161" s="535"/>
      <c r="AO161" s="476"/>
      <c r="AP161" s="489"/>
    </row>
    <row r="162" spans="1:42" s="536" customFormat="1" ht="12.75" customHeight="1">
      <c r="B162" s="2392"/>
      <c r="C162" s="2392"/>
      <c r="D162" s="2392"/>
      <c r="E162" s="2392"/>
      <c r="F162" s="2392"/>
      <c r="G162" s="2392"/>
      <c r="H162" s="2392"/>
      <c r="I162" s="2392"/>
      <c r="J162" s="2392"/>
      <c r="K162" s="2392"/>
      <c r="L162" s="2392"/>
      <c r="M162" s="2392"/>
      <c r="N162" s="2392"/>
      <c r="O162" s="2392"/>
      <c r="P162" s="2392"/>
      <c r="Q162" s="2392"/>
      <c r="R162" s="2392"/>
      <c r="S162" s="2392"/>
      <c r="T162" s="2392"/>
      <c r="U162" s="2392"/>
      <c r="V162" s="2392"/>
      <c r="W162" s="2392"/>
      <c r="X162" s="2392"/>
      <c r="Y162" s="2392"/>
      <c r="Z162" s="2392"/>
      <c r="AA162" s="2392"/>
      <c r="AB162" s="2392"/>
      <c r="AC162" s="2392"/>
      <c r="AD162" s="2392"/>
      <c r="AE162" s="2392"/>
      <c r="AF162" s="2392"/>
      <c r="AG162" s="2392"/>
      <c r="AH162" s="2392"/>
      <c r="AI162" s="2392"/>
      <c r="AJ162" s="2392"/>
      <c r="AK162" s="1180"/>
      <c r="AM162" s="539"/>
      <c r="AN162" s="535"/>
      <c r="AO162" s="476"/>
      <c r="AP162" s="489"/>
    </row>
    <row r="163" spans="1:42" s="536" customFormat="1" ht="12.75" customHeight="1">
      <c r="C163" s="2393" t="s">
        <v>2476</v>
      </c>
      <c r="D163" s="2393"/>
      <c r="E163" s="2393"/>
      <c r="F163" s="2393"/>
      <c r="G163" s="2393"/>
      <c r="H163" s="2393"/>
      <c r="I163" s="2393"/>
      <c r="J163" s="2393"/>
      <c r="K163" s="2393"/>
      <c r="L163" s="2393"/>
      <c r="M163" s="2393"/>
      <c r="N163" s="2393"/>
      <c r="O163" s="2393"/>
      <c r="P163" s="2393"/>
      <c r="Q163" s="2393"/>
      <c r="R163" s="2393"/>
      <c r="S163" s="2393"/>
      <c r="T163" s="2393"/>
      <c r="U163" s="2393"/>
      <c r="V163" s="2393"/>
      <c r="W163" s="2393"/>
      <c r="X163" s="2393"/>
      <c r="Y163" s="2393"/>
      <c r="Z163" s="2393"/>
      <c r="AA163" s="2393"/>
      <c r="AB163" s="2393"/>
      <c r="AC163" s="2393"/>
      <c r="AD163" s="2393"/>
      <c r="AE163" s="2393"/>
      <c r="AF163" s="2393"/>
      <c r="AG163" s="2393"/>
      <c r="AH163" s="2393"/>
      <c r="AI163" s="2393"/>
      <c r="AJ163" s="2393"/>
      <c r="AK163" s="1180"/>
      <c r="AM163" s="539"/>
      <c r="AN163" s="535"/>
      <c r="AO163" s="476"/>
      <c r="AP163" s="489"/>
    </row>
    <row r="164" spans="1:42" s="536" customFormat="1" ht="12.75" customHeight="1">
      <c r="B164" s="1180"/>
      <c r="C164" s="2394" t="s">
        <v>2474</v>
      </c>
      <c r="D164" s="2394"/>
      <c r="E164" s="2394"/>
      <c r="F164" s="2394"/>
      <c r="G164" s="2394"/>
      <c r="H164" s="2394"/>
      <c r="I164" s="2394"/>
      <c r="J164" s="2394"/>
      <c r="K164" s="2394"/>
      <c r="L164" s="2394"/>
      <c r="M164" s="2394"/>
      <c r="N164" s="2394"/>
      <c r="O164" s="2394"/>
      <c r="P164" s="2394"/>
      <c r="Q164" s="2394"/>
      <c r="R164" s="2394"/>
      <c r="S164" s="2394"/>
      <c r="T164" s="2394"/>
      <c r="U164" s="2394"/>
      <c r="V164" s="2394"/>
      <c r="W164" s="2394"/>
      <c r="X164" s="2394"/>
      <c r="Y164" s="2394"/>
      <c r="Z164" s="2394"/>
      <c r="AA164" s="1170"/>
      <c r="AB164" s="1170"/>
      <c r="AC164" s="1170"/>
      <c r="AD164" s="1170"/>
      <c r="AE164" s="1170"/>
      <c r="AF164" s="1170"/>
      <c r="AG164" s="1170"/>
      <c r="AH164" s="1170"/>
      <c r="AJ164" s="2395" t="s">
        <v>592</v>
      </c>
      <c r="AK164" s="2395"/>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83">
        <f>IF($AB$155="N/A",VLOOKUP($B$153,$AO$151:$AP$154,2,FALSE),VLOOKUP($B$158,$AO$156:$AP$158,2,FALSE))</f>
        <v>7</v>
      </c>
      <c r="AK166" s="2483"/>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3" t="s">
        <v>1353</v>
      </c>
      <c r="AG168" s="2523"/>
      <c r="AH168" s="2523"/>
      <c r="AI168" s="2523"/>
      <c r="AJ168" s="2523"/>
      <c r="AK168" s="2523"/>
      <c r="AL168" s="2523"/>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4" t="s">
        <v>1351</v>
      </c>
      <c r="D170" s="2594"/>
      <c r="E170" s="2594"/>
      <c r="F170" s="2594"/>
      <c r="G170" s="2594"/>
      <c r="H170" s="2594"/>
      <c r="I170" s="2594"/>
      <c r="J170" s="2594"/>
      <c r="K170" s="2594"/>
      <c r="L170" s="2594"/>
      <c r="M170" s="2594"/>
      <c r="N170" s="2594"/>
      <c r="O170" s="2594"/>
      <c r="P170" s="2594"/>
      <c r="Q170" s="2594"/>
      <c r="R170" s="2594"/>
      <c r="S170" s="2594"/>
      <c r="T170" s="2594"/>
      <c r="U170" s="2594"/>
      <c r="V170" s="2594"/>
      <c r="W170" s="2594"/>
      <c r="X170" s="2594"/>
      <c r="Y170" s="2594"/>
      <c r="Z170" s="2594"/>
      <c r="AA170" s="2594"/>
      <c r="AB170" s="2594"/>
      <c r="AC170" s="2594"/>
      <c r="AD170" s="2594"/>
      <c r="AE170" s="2594"/>
      <c r="AF170" s="2594"/>
      <c r="AG170" s="2594"/>
      <c r="AH170" s="2594"/>
      <c r="AI170" s="2594"/>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5" t="s">
        <v>592</v>
      </c>
      <c r="AG172" s="2395"/>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4" t="s">
        <v>1344</v>
      </c>
      <c r="D174" s="2594"/>
      <c r="E174" s="2594"/>
      <c r="F174" s="2594"/>
      <c r="G174" s="2594"/>
      <c r="H174" s="2594"/>
      <c r="I174" s="2594"/>
      <c r="J174" s="2594"/>
      <c r="K174" s="2594"/>
      <c r="L174" s="2594"/>
      <c r="M174" s="2594"/>
      <c r="N174" s="2594"/>
      <c r="O174" s="2594"/>
      <c r="P174" s="2594"/>
      <c r="Q174" s="2594"/>
      <c r="R174" s="2594"/>
      <c r="S174" s="2594"/>
      <c r="T174" s="2594"/>
      <c r="U174" s="2594"/>
      <c r="V174" s="2594"/>
      <c r="W174" s="2594"/>
      <c r="X174" s="2594"/>
      <c r="Y174" s="2594"/>
      <c r="Z174" s="2594"/>
      <c r="AA174" s="2594"/>
      <c r="AB174" s="2594"/>
      <c r="AC174" s="2594"/>
      <c r="AD174" s="2594"/>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95" t="str">
        <f>Application!AA335</f>
        <v>Housing Authority of the City of Eureka</v>
      </c>
      <c r="D178" s="2595"/>
      <c r="E178" s="2595"/>
      <c r="F178" s="2595"/>
      <c r="G178" s="2595"/>
      <c r="H178" s="2595"/>
      <c r="I178" s="2595"/>
      <c r="J178" s="2595"/>
      <c r="K178" s="2595"/>
      <c r="L178" s="2595"/>
      <c r="M178" s="2595"/>
      <c r="N178" s="2595"/>
      <c r="O178" s="2595"/>
      <c r="P178" s="2595"/>
      <c r="Q178" s="2595"/>
      <c r="R178" s="2595"/>
      <c r="S178" s="2595"/>
      <c r="T178" s="2595"/>
      <c r="U178" s="2595"/>
      <c r="V178" s="2595"/>
      <c r="W178" s="2595"/>
      <c r="X178" s="2595"/>
      <c r="Y178" s="2595"/>
      <c r="Z178" s="2595"/>
      <c r="AA178" s="2595"/>
      <c r="AB178" s="2595"/>
      <c r="AC178" s="2595"/>
      <c r="AD178" s="2595"/>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82">
        <f>IF($AF$172="N/A",VLOOKUP($C$170,$AO$170:$AP$173,2,FALSE),VLOOKUP($C$174,$AO$177:$AP$179,2,FALSE))</f>
        <v>3</v>
      </c>
      <c r="AK180" s="2482"/>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89">
        <f>$AJ$166+$AJ$180</f>
        <v>10</v>
      </c>
      <c r="AL183" s="2590"/>
      <c r="AM183" s="2591"/>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3" t="s">
        <v>1315</v>
      </c>
      <c r="AF186" s="2463"/>
      <c r="AG186" s="2463"/>
      <c r="AH186" s="2463"/>
      <c r="AI186" s="2463"/>
      <c r="AJ186" s="2463"/>
      <c r="AK186" s="2463"/>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92" t="s">
        <v>1368</v>
      </c>
      <c r="C188" s="2592"/>
      <c r="D188" s="2592"/>
      <c r="E188" s="2592"/>
      <c r="F188" s="2592"/>
      <c r="G188" s="2592"/>
      <c r="H188" s="2592"/>
      <c r="I188" s="2592"/>
      <c r="J188" s="2592"/>
      <c r="K188" s="2592"/>
      <c r="L188" s="2592"/>
      <c r="M188" s="2592"/>
      <c r="N188" s="2592"/>
      <c r="O188" s="2592"/>
      <c r="P188" s="2592"/>
      <c r="Q188" s="2592"/>
      <c r="R188" s="2592"/>
      <c r="S188" s="2592"/>
      <c r="T188" s="2592"/>
      <c r="U188" s="2592"/>
      <c r="V188" s="2592"/>
      <c r="W188" s="2592"/>
      <c r="X188" s="2592"/>
      <c r="Y188" s="2592"/>
      <c r="Z188" s="2592"/>
      <c r="AA188" s="2592"/>
      <c r="AB188" s="2592"/>
      <c r="AC188" s="2592"/>
      <c r="AD188" s="536"/>
      <c r="AE188" s="536"/>
      <c r="AF188" s="2523" t="s">
        <v>1364</v>
      </c>
      <c r="AG188" s="2523"/>
      <c r="AH188" s="2523"/>
      <c r="AI188" s="2523"/>
      <c r="AJ188" s="2523"/>
      <c r="AK188" s="2523"/>
      <c r="AL188" s="2523"/>
      <c r="AN188" s="597"/>
      <c r="AP188" s="550" t="s">
        <v>1044</v>
      </c>
      <c r="AQ188" s="550">
        <v>10</v>
      </c>
    </row>
    <row r="189" spans="1:73" s="550" customFormat="1" ht="12.75" customHeight="1">
      <c r="A189" s="536"/>
      <c r="B189" s="2394" t="s">
        <v>1727</v>
      </c>
      <c r="C189" s="2394"/>
      <c r="D189" s="2394"/>
      <c r="E189" s="2394"/>
      <c r="F189" s="2394"/>
      <c r="G189" s="2394"/>
      <c r="H189" s="2394"/>
      <c r="I189" s="2394"/>
      <c r="J189" s="2394"/>
      <c r="K189" s="2394"/>
      <c r="L189" s="2394"/>
      <c r="M189" s="2394"/>
      <c r="N189" s="2394"/>
      <c r="O189" s="2394"/>
      <c r="P189" s="2394"/>
      <c r="Q189" s="2394"/>
      <c r="R189" s="2394"/>
      <c r="S189" s="2394"/>
      <c r="T189" s="2593" t="s">
        <v>592</v>
      </c>
      <c r="U189" s="2593"/>
      <c r="V189" s="2593"/>
      <c r="W189" s="2593"/>
      <c r="X189" s="2593"/>
      <c r="Y189" s="2593"/>
      <c r="Z189" s="2593"/>
      <c r="AA189" s="2593"/>
      <c r="AB189" s="2593"/>
      <c r="AC189" s="2593"/>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30">
        <f>IF(AK84&gt;0,VLOOKUP($B$188,AP185:AQ191,2,FALSE),0)</f>
        <v>0</v>
      </c>
      <c r="AL191" s="2431"/>
      <c r="AM191" s="2432"/>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3" t="s">
        <v>1373</v>
      </c>
      <c r="AF194" s="2463"/>
      <c r="AG194" s="2463"/>
      <c r="AH194" s="2463"/>
      <c r="AI194" s="2463"/>
      <c r="AJ194" s="2463"/>
      <c r="AK194" s="2463"/>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6" t="s">
        <v>2770</v>
      </c>
      <c r="C199" s="2586"/>
      <c r="D199" s="2586"/>
      <c r="E199" s="2586"/>
      <c r="F199" s="2586"/>
      <c r="G199" s="2586"/>
      <c r="H199" s="2586"/>
      <c r="I199" s="2586"/>
      <c r="J199" s="2586"/>
      <c r="K199" s="2586"/>
      <c r="L199" s="2586"/>
      <c r="M199" s="2586"/>
      <c r="N199" s="2586"/>
      <c r="O199" s="2586"/>
      <c r="P199" s="2586"/>
      <c r="Q199" s="2586"/>
      <c r="R199" s="2586"/>
      <c r="S199" s="2586"/>
      <c r="T199" s="2586"/>
      <c r="U199" s="2586"/>
      <c r="V199" s="2586"/>
      <c r="W199" s="2586"/>
      <c r="X199" s="2586"/>
      <c r="Y199" s="2586"/>
      <c r="Z199" s="2586"/>
      <c r="AA199" s="2586"/>
      <c r="AB199" s="2586"/>
      <c r="AC199" s="846"/>
      <c r="AD199" s="2576">
        <v>2402000</v>
      </c>
      <c r="AE199" s="2576"/>
      <c r="AF199" s="2576"/>
      <c r="AG199" s="2576"/>
      <c r="AH199" s="2576"/>
      <c r="AI199" s="2576"/>
      <c r="AJ199" s="2576"/>
      <c r="AK199" s="610"/>
    </row>
    <row r="200" spans="1:40">
      <c r="A200" s="605"/>
      <c r="B200" s="2586" t="s">
        <v>2773</v>
      </c>
      <c r="C200" s="2586"/>
      <c r="D200" s="2586"/>
      <c r="E200" s="2586"/>
      <c r="F200" s="2586"/>
      <c r="G200" s="2586"/>
      <c r="H200" s="2586"/>
      <c r="I200" s="2586"/>
      <c r="J200" s="2586"/>
      <c r="K200" s="2586"/>
      <c r="L200" s="2586"/>
      <c r="M200" s="2586"/>
      <c r="N200" s="2586"/>
      <c r="O200" s="2586"/>
      <c r="P200" s="2586"/>
      <c r="Q200" s="2586"/>
      <c r="R200" s="2586"/>
      <c r="S200" s="2586"/>
      <c r="T200" s="2586"/>
      <c r="U200" s="2586"/>
      <c r="V200" s="2586"/>
      <c r="W200" s="2586"/>
      <c r="X200" s="2586"/>
      <c r="Y200" s="2586"/>
      <c r="Z200" s="2586"/>
      <c r="AA200" s="2586"/>
      <c r="AB200" s="2586"/>
      <c r="AC200" s="846"/>
      <c r="AD200" s="2576">
        <f>4360000+2200000</f>
        <v>6560000</v>
      </c>
      <c r="AE200" s="2576"/>
      <c r="AF200" s="2576"/>
      <c r="AG200" s="2576"/>
      <c r="AH200" s="2576"/>
      <c r="AI200" s="2576"/>
      <c r="AJ200" s="2576"/>
      <c r="AK200" s="610"/>
    </row>
    <row r="201" spans="1:40">
      <c r="A201" s="605"/>
      <c r="B201" s="2586" t="s">
        <v>2769</v>
      </c>
      <c r="C201" s="2586"/>
      <c r="D201" s="2586"/>
      <c r="E201" s="2586"/>
      <c r="F201" s="2586"/>
      <c r="G201" s="2586"/>
      <c r="H201" s="2586"/>
      <c r="I201" s="2586"/>
      <c r="J201" s="2586"/>
      <c r="K201" s="2586"/>
      <c r="L201" s="2586"/>
      <c r="M201" s="2586"/>
      <c r="N201" s="2586"/>
      <c r="O201" s="2586"/>
      <c r="P201" s="2586"/>
      <c r="Q201" s="2586"/>
      <c r="R201" s="2586"/>
      <c r="S201" s="2586"/>
      <c r="T201" s="2586"/>
      <c r="U201" s="2586"/>
      <c r="V201" s="2586"/>
      <c r="W201" s="2586"/>
      <c r="X201" s="2586"/>
      <c r="Y201" s="2586"/>
      <c r="Z201" s="2586"/>
      <c r="AA201" s="2586"/>
      <c r="AB201" s="2586"/>
      <c r="AC201" s="846"/>
      <c r="AD201" s="2576">
        <v>2103700</v>
      </c>
      <c r="AE201" s="2576"/>
      <c r="AF201" s="2576"/>
      <c r="AG201" s="2576"/>
      <c r="AH201" s="2576"/>
      <c r="AI201" s="2576"/>
      <c r="AJ201" s="2576"/>
      <c r="AK201" s="610"/>
    </row>
    <row r="202" spans="1:40">
      <c r="A202" s="605"/>
      <c r="B202" s="2586" t="s">
        <v>2771</v>
      </c>
      <c r="C202" s="2586"/>
      <c r="D202" s="2586"/>
      <c r="E202" s="2586"/>
      <c r="F202" s="2586"/>
      <c r="G202" s="2586"/>
      <c r="H202" s="2586"/>
      <c r="I202" s="2586"/>
      <c r="J202" s="2586"/>
      <c r="K202" s="2586"/>
      <c r="L202" s="2586"/>
      <c r="M202" s="2586"/>
      <c r="N202" s="2586"/>
      <c r="O202" s="2586"/>
      <c r="P202" s="2586"/>
      <c r="Q202" s="2586"/>
      <c r="R202" s="2586"/>
      <c r="S202" s="2586"/>
      <c r="T202" s="2586"/>
      <c r="U202" s="2586"/>
      <c r="V202" s="2586"/>
      <c r="W202" s="2586"/>
      <c r="X202" s="2586"/>
      <c r="Y202" s="2586"/>
      <c r="Z202" s="2586"/>
      <c r="AA202" s="2586"/>
      <c r="AB202" s="2586"/>
      <c r="AC202" s="846"/>
      <c r="AD202" s="2576">
        <v>3300000</v>
      </c>
      <c r="AE202" s="2576"/>
      <c r="AF202" s="2576"/>
      <c r="AG202" s="2576"/>
      <c r="AH202" s="2576"/>
      <c r="AI202" s="2576"/>
      <c r="AJ202" s="2576"/>
      <c r="AK202" s="610"/>
    </row>
    <row r="203" spans="1:40">
      <c r="A203" s="605"/>
      <c r="B203" s="2586" t="s">
        <v>2772</v>
      </c>
      <c r="C203" s="2586"/>
      <c r="D203" s="2586"/>
      <c r="E203" s="2586"/>
      <c r="F203" s="2586"/>
      <c r="G203" s="2586"/>
      <c r="H203" s="2586"/>
      <c r="I203" s="2586"/>
      <c r="J203" s="2586"/>
      <c r="K203" s="2586"/>
      <c r="L203" s="2586"/>
      <c r="M203" s="2586"/>
      <c r="N203" s="2586"/>
      <c r="O203" s="2586"/>
      <c r="P203" s="2586"/>
      <c r="Q203" s="2586"/>
      <c r="R203" s="2586"/>
      <c r="S203" s="2586"/>
      <c r="T203" s="2586"/>
      <c r="U203" s="2586"/>
      <c r="V203" s="2586"/>
      <c r="W203" s="2586"/>
      <c r="X203" s="2586"/>
      <c r="Y203" s="2586"/>
      <c r="Z203" s="2586"/>
      <c r="AA203" s="2586"/>
      <c r="AB203" s="2586"/>
      <c r="AC203" s="846"/>
      <c r="AD203" s="2576">
        <v>4850000</v>
      </c>
      <c r="AE203" s="2576"/>
      <c r="AF203" s="2576"/>
      <c r="AG203" s="2576"/>
      <c r="AH203" s="2576"/>
      <c r="AI203" s="2576"/>
      <c r="AJ203" s="2576"/>
      <c r="AK203" s="610"/>
    </row>
    <row r="204" spans="1:40">
      <c r="A204" s="605"/>
      <c r="B204" s="2586"/>
      <c r="C204" s="2586"/>
      <c r="D204" s="2586"/>
      <c r="E204" s="2586"/>
      <c r="F204" s="2586"/>
      <c r="G204" s="2586"/>
      <c r="H204" s="2586"/>
      <c r="I204" s="2586"/>
      <c r="J204" s="2586"/>
      <c r="K204" s="2586"/>
      <c r="L204" s="2586"/>
      <c r="M204" s="2586"/>
      <c r="N204" s="2586"/>
      <c r="O204" s="2586"/>
      <c r="P204" s="2586"/>
      <c r="Q204" s="2586"/>
      <c r="R204" s="2586"/>
      <c r="S204" s="2586"/>
      <c r="T204" s="2586"/>
      <c r="U204" s="2586"/>
      <c r="V204" s="2586"/>
      <c r="W204" s="2586"/>
      <c r="X204" s="2586"/>
      <c r="Y204" s="2586"/>
      <c r="Z204" s="2586"/>
      <c r="AA204" s="2586"/>
      <c r="AB204" s="2586"/>
      <c r="AC204" s="846"/>
      <c r="AD204" s="2576"/>
      <c r="AE204" s="2576"/>
      <c r="AF204" s="2576"/>
      <c r="AG204" s="2576"/>
      <c r="AH204" s="2576"/>
      <c r="AI204" s="2576"/>
      <c r="AJ204" s="2576"/>
      <c r="AK204" s="610"/>
    </row>
    <row r="205" spans="1:40">
      <c r="A205" s="605"/>
      <c r="B205" s="2586"/>
      <c r="C205" s="2586"/>
      <c r="D205" s="2586"/>
      <c r="E205" s="2586"/>
      <c r="F205" s="2586"/>
      <c r="G205" s="2586"/>
      <c r="H205" s="2586"/>
      <c r="I205" s="2586"/>
      <c r="J205" s="2586"/>
      <c r="K205" s="2586"/>
      <c r="L205" s="2586"/>
      <c r="M205" s="2586"/>
      <c r="N205" s="2586"/>
      <c r="O205" s="2586"/>
      <c r="P205" s="2586"/>
      <c r="Q205" s="2586"/>
      <c r="R205" s="2586"/>
      <c r="S205" s="2586"/>
      <c r="T205" s="2586"/>
      <c r="U205" s="2586"/>
      <c r="V205" s="2586"/>
      <c r="W205" s="2586"/>
      <c r="X205" s="2586"/>
      <c r="Y205" s="2586"/>
      <c r="Z205" s="2586"/>
      <c r="AA205" s="2586"/>
      <c r="AB205" s="2586"/>
      <c r="AC205" s="846"/>
      <c r="AD205" s="2576"/>
      <c r="AE205" s="2576"/>
      <c r="AF205" s="2576"/>
      <c r="AG205" s="2576"/>
      <c r="AH205" s="2576"/>
      <c r="AI205" s="2576"/>
      <c r="AJ205" s="2576"/>
      <c r="AK205" s="610"/>
    </row>
    <row r="206" spans="1:40">
      <c r="A206" s="605"/>
      <c r="B206" s="2586"/>
      <c r="C206" s="2586"/>
      <c r="D206" s="2586"/>
      <c r="E206" s="2586"/>
      <c r="F206" s="2586"/>
      <c r="G206" s="2586"/>
      <c r="H206" s="2586"/>
      <c r="I206" s="2586"/>
      <c r="J206" s="2586"/>
      <c r="K206" s="2586"/>
      <c r="L206" s="2586"/>
      <c r="M206" s="2586"/>
      <c r="N206" s="2586"/>
      <c r="O206" s="2586"/>
      <c r="P206" s="2586"/>
      <c r="Q206" s="2586"/>
      <c r="R206" s="2586"/>
      <c r="S206" s="2586"/>
      <c r="T206" s="2586"/>
      <c r="U206" s="2586"/>
      <c r="V206" s="2586"/>
      <c r="W206" s="2586"/>
      <c r="X206" s="2586"/>
      <c r="Y206" s="2586"/>
      <c r="Z206" s="2586"/>
      <c r="AA206" s="2586"/>
      <c r="AB206" s="2586"/>
      <c r="AC206" s="846"/>
      <c r="AD206" s="2576"/>
      <c r="AE206" s="2576"/>
      <c r="AF206" s="2576"/>
      <c r="AG206" s="2576"/>
      <c r="AH206" s="2576"/>
      <c r="AI206" s="2576"/>
      <c r="AJ206" s="2576"/>
      <c r="AK206" s="610"/>
    </row>
    <row r="207" spans="1:40">
      <c r="A207" s="605"/>
      <c r="B207" s="2586"/>
      <c r="C207" s="2586"/>
      <c r="D207" s="2586"/>
      <c r="E207" s="2586"/>
      <c r="F207" s="2586"/>
      <c r="G207" s="2586"/>
      <c r="H207" s="2586"/>
      <c r="I207" s="2586"/>
      <c r="J207" s="2586"/>
      <c r="K207" s="2586"/>
      <c r="L207" s="2586"/>
      <c r="M207" s="2586"/>
      <c r="N207" s="2586"/>
      <c r="O207" s="2586"/>
      <c r="P207" s="2586"/>
      <c r="Q207" s="2586"/>
      <c r="R207" s="2586"/>
      <c r="S207" s="2586"/>
      <c r="T207" s="2586"/>
      <c r="U207" s="2586"/>
      <c r="V207" s="2586"/>
      <c r="W207" s="2586"/>
      <c r="X207" s="2586"/>
      <c r="Y207" s="2586"/>
      <c r="Z207" s="2586"/>
      <c r="AA207" s="2586"/>
      <c r="AB207" s="2586"/>
      <c r="AC207" s="846"/>
      <c r="AD207" s="2576"/>
      <c r="AE207" s="2576"/>
      <c r="AF207" s="2576"/>
      <c r="AG207" s="2576"/>
      <c r="AH207" s="2576"/>
      <c r="AI207" s="2576"/>
      <c r="AJ207" s="2576"/>
      <c r="AK207" s="610"/>
    </row>
    <row r="208" spans="1:40">
      <c r="A208" s="605"/>
      <c r="B208" s="2586"/>
      <c r="C208" s="2586"/>
      <c r="D208" s="2586"/>
      <c r="E208" s="2586"/>
      <c r="F208" s="2586"/>
      <c r="G208" s="2586"/>
      <c r="H208" s="2586"/>
      <c r="I208" s="2586"/>
      <c r="J208" s="2586"/>
      <c r="K208" s="2586"/>
      <c r="L208" s="2586"/>
      <c r="M208" s="2586"/>
      <c r="N208" s="2586"/>
      <c r="O208" s="2586"/>
      <c r="P208" s="2586"/>
      <c r="Q208" s="2586"/>
      <c r="R208" s="2586"/>
      <c r="S208" s="2586"/>
      <c r="T208" s="2586"/>
      <c r="U208" s="2586"/>
      <c r="V208" s="2586"/>
      <c r="W208" s="2586"/>
      <c r="X208" s="2586"/>
      <c r="Y208" s="2586"/>
      <c r="Z208" s="2586"/>
      <c r="AA208" s="2586"/>
      <c r="AB208" s="2586"/>
      <c r="AC208" s="846"/>
      <c r="AD208" s="2576"/>
      <c r="AE208" s="2576"/>
      <c r="AF208" s="2576"/>
      <c r="AG208" s="2576"/>
      <c r="AH208" s="2576"/>
      <c r="AI208" s="2576"/>
      <c r="AJ208" s="2576"/>
      <c r="AK208" s="610"/>
    </row>
    <row r="209" spans="1:37">
      <c r="A209" s="605"/>
      <c r="B209" s="2601" t="s">
        <v>1628</v>
      </c>
      <c r="C209" s="2601"/>
      <c r="D209" s="2601"/>
      <c r="E209" s="2601"/>
      <c r="F209" s="2601"/>
      <c r="G209" s="2601"/>
      <c r="H209" s="2601"/>
      <c r="I209" s="2601"/>
      <c r="J209" s="2601"/>
      <c r="K209" s="2601"/>
      <c r="L209" s="2601"/>
      <c r="M209" s="2601"/>
      <c r="N209" s="2601"/>
      <c r="O209" s="2601"/>
      <c r="P209" s="2601"/>
      <c r="Q209" s="2601"/>
      <c r="R209" s="2601"/>
      <c r="S209" s="2601"/>
      <c r="T209" s="2601"/>
      <c r="U209" s="2601"/>
      <c r="V209" s="2601"/>
      <c r="W209" s="2601"/>
      <c r="X209" s="2601"/>
      <c r="Y209" s="2601"/>
      <c r="Z209" s="2601"/>
      <c r="AA209" s="2601"/>
      <c r="AB209" s="2601"/>
      <c r="AC209" s="536"/>
      <c r="AD209" s="2574">
        <f>AB260</f>
        <v>25051269.72820032</v>
      </c>
      <c r="AE209" s="2574"/>
      <c r="AF209" s="2574"/>
      <c r="AG209" s="2574"/>
      <c r="AH209" s="2574"/>
      <c r="AI209" s="2574"/>
      <c r="AJ209" s="2574"/>
      <c r="AK209" s="610"/>
    </row>
    <row r="210" spans="1:37">
      <c r="A210" s="605"/>
      <c r="B210" s="2448" t="s">
        <v>1591</v>
      </c>
      <c r="C210" s="2448"/>
      <c r="D210" s="2448"/>
      <c r="E210" s="2448"/>
      <c r="F210" s="2448"/>
      <c r="G210" s="2448"/>
      <c r="H210" s="2448"/>
      <c r="I210" s="2448"/>
      <c r="J210" s="2448"/>
      <c r="K210" s="2448"/>
      <c r="L210" s="2448"/>
      <c r="M210" s="2448"/>
      <c r="N210" s="2448"/>
      <c r="O210" s="2448"/>
      <c r="P210" s="2448"/>
      <c r="Q210" s="2448"/>
      <c r="R210" s="2448"/>
      <c r="S210" s="2448"/>
      <c r="T210" s="2448"/>
      <c r="U210" s="2448"/>
      <c r="V210" s="2448"/>
      <c r="W210" s="2448"/>
      <c r="X210" s="2448"/>
      <c r="Y210" s="2448"/>
      <c r="Z210" s="2448"/>
      <c r="AA210" s="2448"/>
      <c r="AB210" s="2448"/>
      <c r="AC210" s="846"/>
      <c r="AD210" s="2575">
        <f>'Sources and Uses Budget'!B15</f>
        <v>0</v>
      </c>
      <c r="AE210" s="2575"/>
      <c r="AF210" s="2575"/>
      <c r="AG210" s="2575"/>
      <c r="AH210" s="2575"/>
      <c r="AI210" s="2575"/>
      <c r="AJ210" s="2575"/>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80">
        <f>SUM(AD199:AJ209)-AD210</f>
        <v>44266969.728200316</v>
      </c>
      <c r="AE211" s="2580"/>
      <c r="AF211" s="2580"/>
      <c r="AG211" s="2580"/>
      <c r="AH211" s="2580"/>
      <c r="AI211" s="2580"/>
      <c r="AJ211" s="2580"/>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9" t="s">
        <v>1608</v>
      </c>
      <c r="J222" s="2599"/>
      <c r="K222" s="2599"/>
      <c r="L222" s="536"/>
      <c r="M222" s="536"/>
      <c r="N222" s="536"/>
      <c r="O222" s="536"/>
      <c r="P222" s="536"/>
      <c r="Q222" s="536"/>
      <c r="R222" s="536"/>
      <c r="S222" s="536"/>
      <c r="T222" s="2414" t="s">
        <v>1602</v>
      </c>
      <c r="U222" s="2414"/>
      <c r="V222" s="2414"/>
      <c r="W222" s="2414"/>
      <c r="X222" s="2414"/>
      <c r="Y222" s="2414"/>
      <c r="Z222" s="849"/>
      <c r="AA222" s="489"/>
      <c r="AB222" s="2596" t="s">
        <v>1603</v>
      </c>
      <c r="AC222" s="2596"/>
      <c r="AD222" s="2596"/>
      <c r="AE222" s="2596"/>
      <c r="AF222" s="2596"/>
      <c r="AG222" s="2596"/>
      <c r="AH222" s="827"/>
      <c r="AI222" s="827"/>
      <c r="AJ222" s="827"/>
      <c r="AK222" s="610"/>
    </row>
    <row r="223" spans="1:37">
      <c r="A223" s="605"/>
      <c r="B223" s="2597" t="s">
        <v>1588</v>
      </c>
      <c r="C223" s="2597"/>
      <c r="D223" s="2597"/>
      <c r="E223" s="2597"/>
      <c r="F223" s="2597"/>
      <c r="G223" s="2597"/>
      <c r="I223" s="2598" t="s">
        <v>1609</v>
      </c>
      <c r="J223" s="2598"/>
      <c r="K223" s="2598"/>
      <c r="L223" s="1008"/>
      <c r="N223" s="2449" t="s">
        <v>1604</v>
      </c>
      <c r="O223" s="2449"/>
      <c r="P223" s="2449"/>
      <c r="Q223" s="2449"/>
      <c r="R223" s="2449"/>
      <c r="T223" s="2449" t="s">
        <v>1605</v>
      </c>
      <c r="U223" s="2449"/>
      <c r="V223" s="2449"/>
      <c r="W223" s="2449"/>
      <c r="X223" s="2449"/>
      <c r="Y223" s="2449"/>
      <c r="Z223" s="850"/>
      <c r="AA223" s="489"/>
      <c r="AB223" s="2464" t="s">
        <v>1606</v>
      </c>
      <c r="AC223" s="2464"/>
      <c r="AD223" s="2464"/>
      <c r="AE223" s="2464"/>
      <c r="AF223" s="2464"/>
      <c r="AG223" s="2464"/>
      <c r="AH223" s="827"/>
      <c r="AI223" s="827"/>
      <c r="AJ223" s="827"/>
      <c r="AK223" s="610"/>
    </row>
    <row r="224" spans="1:37">
      <c r="A224" s="605"/>
      <c r="B224" s="2465" t="s">
        <v>2738</v>
      </c>
      <c r="C224" s="2465"/>
      <c r="D224" s="2465"/>
      <c r="E224" s="2465"/>
      <c r="F224" s="2465"/>
      <c r="G224" s="2465"/>
      <c r="H224" s="852"/>
      <c r="I224" s="2418">
        <v>40</v>
      </c>
      <c r="J224" s="2418">
        <v>20</v>
      </c>
      <c r="K224" s="2418">
        <v>20</v>
      </c>
      <c r="L224" s="1008"/>
      <c r="N224" s="2416">
        <v>396</v>
      </c>
      <c r="O224" s="2416">
        <v>663</v>
      </c>
      <c r="P224" s="2416">
        <v>663</v>
      </c>
      <c r="Q224" s="2416">
        <v>663</v>
      </c>
      <c r="R224" s="2416">
        <v>663</v>
      </c>
      <c r="T224" s="2415">
        <v>1245</v>
      </c>
      <c r="U224" s="2415">
        <v>1245</v>
      </c>
      <c r="V224" s="2415">
        <v>1245</v>
      </c>
      <c r="W224" s="2415">
        <v>1245</v>
      </c>
      <c r="X224" s="2415">
        <v>1245</v>
      </c>
      <c r="Y224" s="2415">
        <v>1245</v>
      </c>
      <c r="Z224" s="851"/>
      <c r="AA224" s="851"/>
      <c r="AB224" s="2413">
        <f t="shared" ref="AB224:AB233" si="0">MAX(($T224-$N224)*$I224*12,0)</f>
        <v>407520</v>
      </c>
      <c r="AC224" s="2413"/>
      <c r="AD224" s="2413"/>
      <c r="AE224" s="2413"/>
      <c r="AF224" s="2413"/>
      <c r="AG224" s="2413"/>
      <c r="AH224" s="827"/>
      <c r="AI224" s="827"/>
      <c r="AJ224" s="827"/>
      <c r="AK224" s="610"/>
    </row>
    <row r="225" spans="1:37">
      <c r="A225" s="605"/>
      <c r="B225" s="2465" t="s">
        <v>2739</v>
      </c>
      <c r="C225" s="2465"/>
      <c r="D225" s="2465"/>
      <c r="E225" s="2465"/>
      <c r="F225" s="2465"/>
      <c r="G225" s="2465"/>
      <c r="I225" s="2418">
        <v>54</v>
      </c>
      <c r="J225" s="2418">
        <v>12</v>
      </c>
      <c r="K225" s="2418">
        <v>12</v>
      </c>
      <c r="L225" s="1008"/>
      <c r="N225" s="2416">
        <v>457</v>
      </c>
      <c r="O225" s="2416">
        <v>795</v>
      </c>
      <c r="P225" s="2416">
        <v>795</v>
      </c>
      <c r="Q225" s="2416">
        <v>795</v>
      </c>
      <c r="R225" s="2416">
        <v>795</v>
      </c>
      <c r="T225" s="2415">
        <v>1625</v>
      </c>
      <c r="U225" s="2415">
        <v>1626</v>
      </c>
      <c r="V225" s="2415">
        <v>1626</v>
      </c>
      <c r="W225" s="2415">
        <v>1626</v>
      </c>
      <c r="X225" s="2415">
        <v>1626</v>
      </c>
      <c r="Y225" s="2415">
        <v>1626</v>
      </c>
      <c r="Z225" s="851"/>
      <c r="AA225" s="851"/>
      <c r="AB225" s="2413">
        <f t="shared" si="0"/>
        <v>756864</v>
      </c>
      <c r="AC225" s="2413"/>
      <c r="AD225" s="2413"/>
      <c r="AE225" s="2413"/>
      <c r="AF225" s="2413"/>
      <c r="AG225" s="2413"/>
      <c r="AH225" s="827"/>
      <c r="AI225" s="827"/>
      <c r="AJ225" s="827"/>
      <c r="AK225" s="610"/>
    </row>
    <row r="226" spans="1:37">
      <c r="A226" s="605"/>
      <c r="B226" s="2465" t="s">
        <v>2740</v>
      </c>
      <c r="C226" s="2465"/>
      <c r="D226" s="2465"/>
      <c r="E226" s="2465"/>
      <c r="F226" s="2465"/>
      <c r="G226" s="2465"/>
      <c r="I226" s="2418">
        <v>35</v>
      </c>
      <c r="J226" s="2418">
        <v>11</v>
      </c>
      <c r="K226" s="2418">
        <v>11</v>
      </c>
      <c r="L226" s="1008"/>
      <c r="N226" s="2416">
        <v>590</v>
      </c>
      <c r="O226" s="2416">
        <v>918</v>
      </c>
      <c r="P226" s="2416">
        <v>918</v>
      </c>
      <c r="Q226" s="2416">
        <v>918</v>
      </c>
      <c r="R226" s="2416">
        <v>918</v>
      </c>
      <c r="T226" s="2415">
        <v>2278</v>
      </c>
      <c r="U226" s="2415">
        <v>2278</v>
      </c>
      <c r="V226" s="2415">
        <v>2278</v>
      </c>
      <c r="W226" s="2415">
        <v>2278</v>
      </c>
      <c r="X226" s="2415">
        <v>2278</v>
      </c>
      <c r="Y226" s="2415">
        <v>2278</v>
      </c>
      <c r="Z226" s="851"/>
      <c r="AA226" s="851"/>
      <c r="AB226" s="2413">
        <f t="shared" si="0"/>
        <v>708960</v>
      </c>
      <c r="AC226" s="2413"/>
      <c r="AD226" s="2413"/>
      <c r="AE226" s="2413"/>
      <c r="AF226" s="2413"/>
      <c r="AG226" s="2413"/>
      <c r="AH226" s="827"/>
      <c r="AI226" s="827"/>
      <c r="AJ226" s="827"/>
      <c r="AK226" s="610"/>
    </row>
    <row r="227" spans="1:37">
      <c r="A227" s="605"/>
      <c r="B227" s="2465" t="s">
        <v>2748</v>
      </c>
      <c r="C227" s="2465"/>
      <c r="D227" s="2465"/>
      <c r="E227" s="2465"/>
      <c r="F227" s="2465"/>
      <c r="G227" s="2465"/>
      <c r="I227" s="2418">
        <v>12</v>
      </c>
      <c r="J227" s="2418"/>
      <c r="K227" s="2418"/>
      <c r="L227" s="1008"/>
      <c r="N227" s="2416">
        <v>799</v>
      </c>
      <c r="O227" s="2416"/>
      <c r="P227" s="2416"/>
      <c r="Q227" s="2416"/>
      <c r="R227" s="2416"/>
      <c r="T227" s="2415">
        <v>2730</v>
      </c>
      <c r="U227" s="2415"/>
      <c r="V227" s="2415"/>
      <c r="W227" s="2415"/>
      <c r="X227" s="2415"/>
      <c r="Y227" s="2415"/>
      <c r="Z227" s="851"/>
      <c r="AA227" s="851"/>
      <c r="AB227" s="2413">
        <f t="shared" si="0"/>
        <v>278064</v>
      </c>
      <c r="AC227" s="2413"/>
      <c r="AD227" s="2413"/>
      <c r="AE227" s="2413"/>
      <c r="AF227" s="2413"/>
      <c r="AG227" s="2413"/>
      <c r="AH227" s="827"/>
      <c r="AI227" s="827"/>
      <c r="AJ227" s="827"/>
      <c r="AK227" s="610"/>
    </row>
    <row r="228" spans="1:37">
      <c r="A228" s="605"/>
      <c r="B228" s="2465" t="s">
        <v>2738</v>
      </c>
      <c r="C228" s="2465"/>
      <c r="D228" s="2465"/>
      <c r="E228" s="2465"/>
      <c r="F228" s="2465"/>
      <c r="G228" s="2465"/>
      <c r="I228" s="2418">
        <v>44</v>
      </c>
      <c r="J228" s="2418"/>
      <c r="K228" s="2418"/>
      <c r="L228" s="1015"/>
      <c r="N228" s="2416">
        <v>328</v>
      </c>
      <c r="O228" s="2416"/>
      <c r="P228" s="2416"/>
      <c r="Q228" s="2416"/>
      <c r="R228" s="2416"/>
      <c r="T228" s="2415">
        <v>1245</v>
      </c>
      <c r="U228" s="2415"/>
      <c r="V228" s="2415"/>
      <c r="W228" s="2415"/>
      <c r="X228" s="2415"/>
      <c r="Y228" s="2415"/>
      <c r="Z228" s="851"/>
      <c r="AA228" s="851"/>
      <c r="AB228" s="2413">
        <f t="shared" si="0"/>
        <v>484176</v>
      </c>
      <c r="AC228" s="2413"/>
      <c r="AD228" s="2413"/>
      <c r="AE228" s="2413"/>
      <c r="AF228" s="2413"/>
      <c r="AG228" s="2413"/>
      <c r="AH228" s="827"/>
      <c r="AI228" s="827"/>
      <c r="AJ228" s="827"/>
      <c r="AK228" s="610"/>
    </row>
    <row r="229" spans="1:37">
      <c r="A229" s="605"/>
      <c r="B229" s="2465" t="s">
        <v>2739</v>
      </c>
      <c r="C229" s="2465"/>
      <c r="D229" s="2465"/>
      <c r="E229" s="2465"/>
      <c r="F229" s="2465"/>
      <c r="G229" s="2465"/>
      <c r="I229" s="2418">
        <v>4</v>
      </c>
      <c r="J229" s="2418"/>
      <c r="K229" s="2418"/>
      <c r="L229" s="1015"/>
      <c r="N229" s="2416">
        <v>455</v>
      </c>
      <c r="O229" s="2416"/>
      <c r="P229" s="2416"/>
      <c r="Q229" s="2416"/>
      <c r="R229" s="2416"/>
      <c r="T229" s="2415">
        <v>1625</v>
      </c>
      <c r="U229" s="2415"/>
      <c r="V229" s="2415"/>
      <c r="W229" s="2415"/>
      <c r="X229" s="2415"/>
      <c r="Y229" s="2415"/>
      <c r="Z229" s="851"/>
      <c r="AA229" s="851"/>
      <c r="AB229" s="2413">
        <f t="shared" si="0"/>
        <v>56160</v>
      </c>
      <c r="AC229" s="2413"/>
      <c r="AD229" s="2413"/>
      <c r="AE229" s="2413"/>
      <c r="AF229" s="2413"/>
      <c r="AG229" s="2413"/>
      <c r="AH229" s="827"/>
      <c r="AI229" s="827"/>
      <c r="AJ229" s="827"/>
      <c r="AK229" s="610"/>
    </row>
    <row r="230" spans="1:37">
      <c r="A230" s="605"/>
      <c r="B230" s="2465"/>
      <c r="C230" s="2465"/>
      <c r="D230" s="2465"/>
      <c r="E230" s="2465"/>
      <c r="F230" s="2465"/>
      <c r="G230" s="2465"/>
      <c r="I230" s="2418"/>
      <c r="J230" s="2418"/>
      <c r="K230" s="2418"/>
      <c r="L230" s="1015"/>
      <c r="N230" s="2416"/>
      <c r="O230" s="2416"/>
      <c r="P230" s="2416"/>
      <c r="Q230" s="2416"/>
      <c r="R230" s="2416"/>
      <c r="T230" s="2415"/>
      <c r="U230" s="2415"/>
      <c r="V230" s="2415"/>
      <c r="W230" s="2415"/>
      <c r="X230" s="2415"/>
      <c r="Y230" s="2415"/>
      <c r="Z230" s="851"/>
      <c r="AA230" s="851"/>
      <c r="AB230" s="2413">
        <f t="shared" si="0"/>
        <v>0</v>
      </c>
      <c r="AC230" s="2413"/>
      <c r="AD230" s="2413"/>
      <c r="AE230" s="2413"/>
      <c r="AF230" s="2413"/>
      <c r="AG230" s="2413"/>
      <c r="AH230" s="827"/>
      <c r="AI230" s="827"/>
      <c r="AJ230" s="827"/>
      <c r="AK230" s="610"/>
    </row>
    <row r="231" spans="1:37">
      <c r="A231" s="605"/>
      <c r="B231" s="2465"/>
      <c r="C231" s="2465"/>
      <c r="D231" s="2465"/>
      <c r="E231" s="2465"/>
      <c r="F231" s="2465"/>
      <c r="G231" s="2465"/>
      <c r="I231" s="2418"/>
      <c r="J231" s="2418"/>
      <c r="K231" s="2418"/>
      <c r="L231" s="1015"/>
      <c r="N231" s="2416"/>
      <c r="O231" s="2416"/>
      <c r="P231" s="2416"/>
      <c r="Q231" s="2416"/>
      <c r="R231" s="2416"/>
      <c r="T231" s="2415"/>
      <c r="U231" s="2415"/>
      <c r="V231" s="2415"/>
      <c r="W231" s="2415"/>
      <c r="X231" s="2415"/>
      <c r="Y231" s="2415"/>
      <c r="Z231" s="851"/>
      <c r="AA231" s="851"/>
      <c r="AB231" s="2413">
        <f t="shared" si="0"/>
        <v>0</v>
      </c>
      <c r="AC231" s="2413"/>
      <c r="AD231" s="2413"/>
      <c r="AE231" s="2413"/>
      <c r="AF231" s="2413"/>
      <c r="AG231" s="2413"/>
      <c r="AH231" s="827"/>
      <c r="AI231" s="827"/>
      <c r="AJ231" s="827"/>
      <c r="AK231" s="610"/>
    </row>
    <row r="232" spans="1:37">
      <c r="A232" s="605"/>
      <c r="B232" s="2465" t="s">
        <v>1185</v>
      </c>
      <c r="C232" s="2465"/>
      <c r="D232" s="2465"/>
      <c r="E232" s="2465"/>
      <c r="F232" s="2465"/>
      <c r="G232" s="2465"/>
      <c r="I232" s="2418"/>
      <c r="J232" s="2418"/>
      <c r="K232" s="2418"/>
      <c r="L232" s="1015"/>
      <c r="N232" s="2416"/>
      <c r="O232" s="2416"/>
      <c r="P232" s="2416"/>
      <c r="Q232" s="2416"/>
      <c r="R232" s="2416"/>
      <c r="T232" s="2415"/>
      <c r="U232" s="2415"/>
      <c r="V232" s="2415"/>
      <c r="W232" s="2415"/>
      <c r="X232" s="2415"/>
      <c r="Y232" s="2415"/>
      <c r="Z232" s="851"/>
      <c r="AA232" s="851"/>
      <c r="AB232" s="2413">
        <f t="shared" si="0"/>
        <v>0</v>
      </c>
      <c r="AC232" s="2413"/>
      <c r="AD232" s="2413"/>
      <c r="AE232" s="2413"/>
      <c r="AF232" s="2413"/>
      <c r="AG232" s="2413"/>
      <c r="AH232" s="827"/>
      <c r="AI232" s="827"/>
      <c r="AJ232" s="827"/>
      <c r="AK232" s="610"/>
    </row>
    <row r="233" spans="1:37">
      <c r="A233" s="605"/>
      <c r="B233" s="2465" t="s">
        <v>1185</v>
      </c>
      <c r="C233" s="2465"/>
      <c r="D233" s="2465"/>
      <c r="E233" s="2465"/>
      <c r="F233" s="2465"/>
      <c r="G233" s="2465"/>
      <c r="I233" s="2600"/>
      <c r="J233" s="2600"/>
      <c r="K233" s="2600"/>
      <c r="L233" s="1015"/>
      <c r="N233" s="2416"/>
      <c r="O233" s="2416"/>
      <c r="P233" s="2416"/>
      <c r="Q233" s="2416"/>
      <c r="R233" s="2416"/>
      <c r="T233" s="2415"/>
      <c r="U233" s="2415"/>
      <c r="V233" s="2415"/>
      <c r="W233" s="2415"/>
      <c r="X233" s="2415"/>
      <c r="Y233" s="2415"/>
      <c r="Z233" s="851"/>
      <c r="AA233" s="851"/>
      <c r="AB233" s="2419">
        <f t="shared" si="0"/>
        <v>0</v>
      </c>
      <c r="AC233" s="2419"/>
      <c r="AD233" s="2419"/>
      <c r="AE233" s="2419"/>
      <c r="AF233" s="2419"/>
      <c r="AG233" s="2419"/>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13">
        <f>SUM(AB224:AB233)</f>
        <v>2691744</v>
      </c>
      <c r="AC234" s="2413"/>
      <c r="AD234" s="2413"/>
      <c r="AE234" s="2413"/>
      <c r="AF234" s="2413"/>
      <c r="AG234" s="2413"/>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0">
        <v>0</v>
      </c>
      <c r="AC240" s="2450"/>
      <c r="AD240" s="2450">
        <f>110*267*2</f>
        <v>58740</v>
      </c>
      <c r="AE240" s="2450"/>
      <c r="AF240" s="2450">
        <f>110*267*2</f>
        <v>58740</v>
      </c>
      <c r="AG240" s="2450"/>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0"/>
      <c r="AC243" s="2450"/>
      <c r="AD243" s="2450"/>
      <c r="AE243" s="2450"/>
      <c r="AF243" s="2450"/>
      <c r="AG243" s="2450"/>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2"/>
      <c r="AC244" s="2412"/>
      <c r="AD244" s="2412"/>
      <c r="AE244" s="2412"/>
      <c r="AF244" s="2412"/>
      <c r="AG244" s="2412"/>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0">
        <f>IFERROR(AB243/AB244,0)</f>
        <v>0</v>
      </c>
      <c r="AC245" s="2420"/>
      <c r="AD245" s="2420"/>
      <c r="AE245" s="2420"/>
      <c r="AF245" s="2420"/>
      <c r="AG245" s="2420"/>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9">
        <f>MAX(AB240,AB245)</f>
        <v>0</v>
      </c>
      <c r="AC247" s="2419"/>
      <c r="AD247" s="2419"/>
      <c r="AE247" s="2419"/>
      <c r="AF247" s="2419"/>
      <c r="AG247" s="2419"/>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3">
        <f>AB234+AB247</f>
        <v>2691744</v>
      </c>
      <c r="AC250" s="2413"/>
      <c r="AD250" s="2413"/>
      <c r="AE250" s="2413"/>
      <c r="AF250" s="2413"/>
      <c r="AG250" s="2413"/>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4">
        <v>0.05</v>
      </c>
      <c r="AC251" s="2584"/>
      <c r="AD251" s="2584"/>
      <c r="AE251" s="2584"/>
      <c r="AF251" s="2584"/>
      <c r="AG251" s="2584"/>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5">
        <f>AB250-(AB250*AB251)</f>
        <v>2557156.7999999998</v>
      </c>
      <c r="AC252" s="2585"/>
      <c r="AD252" s="2585"/>
      <c r="AE252" s="2585"/>
      <c r="AF252" s="2585"/>
      <c r="AG252" s="2585"/>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3">
        <f>AB252/AB258</f>
        <v>2223614.6086956523</v>
      </c>
      <c r="AC254" s="2413"/>
      <c r="AD254" s="2413"/>
      <c r="AE254" s="2413"/>
      <c r="AF254" s="2413"/>
      <c r="AG254" s="2413"/>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6">
        <v>15</v>
      </c>
      <c r="AC256" s="2596"/>
      <c r="AD256" s="2596"/>
      <c r="AE256" s="2596"/>
      <c r="AF256" s="2596"/>
      <c r="AG256" s="2596"/>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7">
        <v>0.04</v>
      </c>
      <c r="AC257" s="2587"/>
      <c r="AD257" s="2587"/>
      <c r="AE257" s="2587"/>
      <c r="AF257" s="2587"/>
      <c r="AG257" s="2587"/>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8">
        <v>1.1499999999999999</v>
      </c>
      <c r="AC258" s="2588"/>
      <c r="AD258" s="2588"/>
      <c r="AE258" s="2588"/>
      <c r="AF258" s="2588"/>
      <c r="AG258" s="2588"/>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7">
        <f>PV(AB257/12,AB256*12,-AB254/12, ,0)</f>
        <v>25051269.72820032</v>
      </c>
      <c r="AC260" s="2578"/>
      <c r="AD260" s="2578"/>
      <c r="AE260" s="2578"/>
      <c r="AF260" s="2578"/>
      <c r="AG260" s="2579"/>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1">
        <f>IFERROR(('Sources and Uses Budget'!D105/'Sources and Uses Budget'!B105),0)</f>
        <v>0</v>
      </c>
      <c r="AC266" s="2582"/>
      <c r="AD266" s="2582"/>
      <c r="AE266" s="2582"/>
      <c r="AF266" s="2582"/>
      <c r="AG266" s="2583"/>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7">
        <f>AD211*(1-AB266)</f>
        <v>44266969.728200316</v>
      </c>
      <c r="AH268" s="2427"/>
      <c r="AI268" s="2427"/>
      <c r="AJ268" s="2427"/>
      <c r="AK268" s="2427"/>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7">
        <f>'Sources and Uses Budget'!C105</f>
        <v>71780116</v>
      </c>
      <c r="AH269" s="2427"/>
      <c r="AI269" s="2427"/>
      <c r="AJ269" s="2427"/>
      <c r="AK269" s="2427"/>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3">
        <f>ROUNDDOWN(IF(AND(C292="Yes",AK84=10),((AG268*2)/AG269),AG268/AG269),2)</f>
        <v>0.61</v>
      </c>
      <c r="AH270" s="2573"/>
      <c r="AI270" s="2573"/>
      <c r="AJ270" s="2573"/>
      <c r="AK270" s="2573"/>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62">
        <f>IFERROR(IF(AG270=0,0,IF((AG270*100)&gt;8,8,(AG270*100))),0)</f>
        <v>8</v>
      </c>
      <c r="AL273" s="2562"/>
      <c r="AM273" s="2563"/>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4" t="s">
        <v>546</v>
      </c>
      <c r="D278" s="2444"/>
      <c r="E278" s="547"/>
      <c r="F278" s="2396" t="s">
        <v>2025</v>
      </c>
      <c r="G278" s="2397"/>
      <c r="H278" s="2397"/>
      <c r="I278" s="2397"/>
      <c r="J278" s="2397"/>
      <c r="K278" s="2397"/>
      <c r="L278" s="2397"/>
      <c r="M278" s="2397"/>
      <c r="N278" s="2397"/>
      <c r="O278" s="2397"/>
      <c r="P278" s="2397"/>
      <c r="Q278" s="2397"/>
      <c r="R278" s="2397"/>
      <c r="S278" s="2397"/>
      <c r="T278" s="2397"/>
      <c r="U278" s="2397"/>
      <c r="V278" s="2397"/>
      <c r="W278" s="2397"/>
      <c r="X278" s="2397"/>
      <c r="Y278" s="2397"/>
      <c r="Z278" s="2397"/>
      <c r="AA278" s="2397"/>
      <c r="AB278" s="2397"/>
      <c r="AC278" s="2397"/>
      <c r="AD278" s="2398"/>
      <c r="AE278" s="550"/>
      <c r="AF278" s="635"/>
      <c r="AG278" s="2571" t="s">
        <v>1364</v>
      </c>
      <c r="AH278" s="2571"/>
      <c r="AI278" s="2571"/>
      <c r="AJ278" s="2571"/>
      <c r="AK278" s="550"/>
      <c r="AL278" s="550"/>
      <c r="AM278" s="550"/>
      <c r="AO278" s="550"/>
    </row>
    <row r="279" spans="1:52" ht="13.7" customHeight="1">
      <c r="A279" s="550"/>
      <c r="B279" s="596"/>
      <c r="C279" s="636"/>
      <c r="D279" s="550"/>
      <c r="E279" s="547"/>
      <c r="F279" s="2399"/>
      <c r="G279" s="2400"/>
      <c r="H279" s="2400"/>
      <c r="I279" s="2400"/>
      <c r="J279" s="2400"/>
      <c r="K279" s="2400"/>
      <c r="L279" s="2400"/>
      <c r="M279" s="2400"/>
      <c r="N279" s="2400"/>
      <c r="O279" s="2400"/>
      <c r="P279" s="2400"/>
      <c r="Q279" s="2400"/>
      <c r="R279" s="2400"/>
      <c r="S279" s="2400"/>
      <c r="T279" s="2400"/>
      <c r="U279" s="2400"/>
      <c r="V279" s="2400"/>
      <c r="W279" s="2400"/>
      <c r="X279" s="2400"/>
      <c r="Y279" s="2400"/>
      <c r="Z279" s="2400"/>
      <c r="AA279" s="2400"/>
      <c r="AB279" s="2400"/>
      <c r="AC279" s="2400"/>
      <c r="AD279" s="2401"/>
      <c r="AE279" s="550"/>
      <c r="AF279" s="635"/>
      <c r="AG279" s="635"/>
      <c r="AH279" s="635"/>
      <c r="AI279" s="635"/>
      <c r="AJ279" s="550"/>
      <c r="AK279" s="550"/>
      <c r="AL279" s="550"/>
      <c r="AM279" s="550"/>
      <c r="AO279" s="550"/>
    </row>
    <row r="280" spans="1:52">
      <c r="A280" s="550"/>
      <c r="B280" s="596"/>
      <c r="C280" s="636"/>
      <c r="D280" s="550"/>
      <c r="E280" s="547"/>
      <c r="F280" s="2399"/>
      <c r="G280" s="2400"/>
      <c r="H280" s="2400"/>
      <c r="I280" s="2400"/>
      <c r="J280" s="2400"/>
      <c r="K280" s="2400"/>
      <c r="L280" s="2400"/>
      <c r="M280" s="2400"/>
      <c r="N280" s="2400"/>
      <c r="O280" s="2400"/>
      <c r="P280" s="2400"/>
      <c r="Q280" s="2400"/>
      <c r="R280" s="2400"/>
      <c r="S280" s="2400"/>
      <c r="T280" s="2400"/>
      <c r="U280" s="2400"/>
      <c r="V280" s="2400"/>
      <c r="W280" s="2400"/>
      <c r="X280" s="2400"/>
      <c r="Y280" s="2400"/>
      <c r="Z280" s="2400"/>
      <c r="AA280" s="2400"/>
      <c r="AB280" s="2400"/>
      <c r="AC280" s="2400"/>
      <c r="AD280" s="2401"/>
      <c r="AE280" s="550"/>
      <c r="AF280" s="635"/>
      <c r="AG280" s="635"/>
      <c r="AH280" s="635"/>
      <c r="AI280" s="635"/>
      <c r="AJ280" s="550"/>
      <c r="AK280" s="550"/>
      <c r="AL280" s="550"/>
      <c r="AM280" s="550"/>
      <c r="AO280" s="550"/>
      <c r="AP280" s="637"/>
    </row>
    <row r="281" spans="1:52">
      <c r="A281" s="550"/>
      <c r="B281" s="596"/>
      <c r="C281" s="636"/>
      <c r="D281" s="550"/>
      <c r="E281" s="547"/>
      <c r="F281" s="2399"/>
      <c r="G281" s="2400"/>
      <c r="H281" s="2400"/>
      <c r="I281" s="2400"/>
      <c r="J281" s="2400"/>
      <c r="K281" s="2400"/>
      <c r="L281" s="2400"/>
      <c r="M281" s="2400"/>
      <c r="N281" s="2400"/>
      <c r="O281" s="2400"/>
      <c r="P281" s="2400"/>
      <c r="Q281" s="2400"/>
      <c r="R281" s="2400"/>
      <c r="S281" s="2400"/>
      <c r="T281" s="2400"/>
      <c r="U281" s="2400"/>
      <c r="V281" s="2400"/>
      <c r="W281" s="2400"/>
      <c r="X281" s="2400"/>
      <c r="Y281" s="2400"/>
      <c r="Z281" s="2400"/>
      <c r="AA281" s="2400"/>
      <c r="AB281" s="2400"/>
      <c r="AC281" s="2400"/>
      <c r="AD281" s="2401"/>
      <c r="AE281" s="550"/>
      <c r="AF281" s="635"/>
      <c r="AG281" s="635"/>
      <c r="AH281" s="635"/>
      <c r="AI281" s="635"/>
      <c r="AJ281" s="550"/>
      <c r="AK281" s="550"/>
      <c r="AL281" s="550"/>
      <c r="AM281" s="550"/>
      <c r="AO281" s="550"/>
      <c r="AP281" s="637"/>
    </row>
    <row r="282" spans="1:52" ht="13.7" customHeight="1">
      <c r="A282" s="550"/>
      <c r="B282" s="596"/>
      <c r="C282" s="2572"/>
      <c r="D282" s="2572"/>
      <c r="E282" s="547"/>
      <c r="F282" s="2402"/>
      <c r="G282" s="2403"/>
      <c r="H282" s="2403"/>
      <c r="I282" s="2403"/>
      <c r="J282" s="2403"/>
      <c r="K282" s="2403"/>
      <c r="L282" s="2403"/>
      <c r="M282" s="2403"/>
      <c r="N282" s="2403"/>
      <c r="O282" s="2403"/>
      <c r="P282" s="2403"/>
      <c r="Q282" s="2403"/>
      <c r="R282" s="2403"/>
      <c r="S282" s="2403"/>
      <c r="T282" s="2403"/>
      <c r="U282" s="2403"/>
      <c r="V282" s="2403"/>
      <c r="W282" s="2403"/>
      <c r="X282" s="2403"/>
      <c r="Y282" s="2403"/>
      <c r="Z282" s="2403"/>
      <c r="AA282" s="2403"/>
      <c r="AB282" s="2403"/>
      <c r="AC282" s="2403"/>
      <c r="AD282" s="2404"/>
      <c r="AE282" s="550"/>
      <c r="AF282" s="635"/>
      <c r="AG282" s="2571"/>
      <c r="AH282" s="2571"/>
      <c r="AI282" s="2571"/>
      <c r="AJ282" s="2571"/>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62">
        <f>IF($C$278="yes",10,0)</f>
        <v>10</v>
      </c>
      <c r="AL285" s="2562"/>
      <c r="AM285" s="2563"/>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1" t="s">
        <v>1383</v>
      </c>
      <c r="B292" s="1631"/>
      <c r="C292" s="2395" t="s">
        <v>592</v>
      </c>
      <c r="D292" s="2444"/>
      <c r="E292" s="547"/>
      <c r="F292" s="2564" t="s">
        <v>1384</v>
      </c>
      <c r="G292" s="2565"/>
      <c r="H292" s="2565"/>
      <c r="I292" s="2565"/>
      <c r="J292" s="2565"/>
      <c r="K292" s="2565"/>
      <c r="L292" s="2565"/>
      <c r="M292" s="2565"/>
      <c r="N292" s="2565"/>
      <c r="O292" s="2565"/>
      <c r="P292" s="2565"/>
      <c r="Q292" s="2565"/>
      <c r="R292" s="2565"/>
      <c r="S292" s="2565"/>
      <c r="T292" s="2565"/>
      <c r="U292" s="2565"/>
      <c r="V292" s="2565"/>
      <c r="W292" s="2565"/>
      <c r="X292" s="2565"/>
      <c r="Y292" s="2565"/>
      <c r="Z292" s="2565"/>
      <c r="AA292" s="2565"/>
      <c r="AB292" s="2565"/>
      <c r="AC292" s="2565"/>
      <c r="AD292" s="2566"/>
      <c r="AE292" s="642"/>
      <c r="AF292" s="550"/>
      <c r="AG292" s="2567" t="s">
        <v>2018</v>
      </c>
      <c r="AH292" s="2567"/>
      <c r="AI292" s="2567"/>
      <c r="AJ292" s="2567"/>
      <c r="AK292" s="2567"/>
      <c r="AL292" s="550"/>
      <c r="AM292" s="550"/>
      <c r="AN292" s="73"/>
      <c r="AO292" s="14"/>
      <c r="AP292" s="30"/>
      <c r="AS292" s="570"/>
      <c r="AT292" s="570"/>
      <c r="AU292" s="570"/>
      <c r="AV292" s="32"/>
      <c r="AW292" s="32"/>
    </row>
    <row r="293" spans="1:49">
      <c r="A293" s="640"/>
      <c r="B293" s="596"/>
      <c r="F293" s="2422"/>
      <c r="G293" s="2423"/>
      <c r="H293" s="2423"/>
      <c r="I293" s="2423"/>
      <c r="J293" s="2423"/>
      <c r="K293" s="2423"/>
      <c r="L293" s="2423"/>
      <c r="M293" s="2423"/>
      <c r="N293" s="2423"/>
      <c r="O293" s="2423"/>
      <c r="P293" s="2423"/>
      <c r="Q293" s="2423"/>
      <c r="R293" s="2423"/>
      <c r="S293" s="2423"/>
      <c r="T293" s="2423"/>
      <c r="U293" s="2423"/>
      <c r="V293" s="2423"/>
      <c r="W293" s="2423"/>
      <c r="X293" s="2423"/>
      <c r="Y293" s="2423"/>
      <c r="Z293" s="2423"/>
      <c r="AA293" s="2423"/>
      <c r="AB293" s="2423"/>
      <c r="AC293" s="2423"/>
      <c r="AD293" s="2424"/>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2"/>
      <c r="G294" s="2423"/>
      <c r="H294" s="2423"/>
      <c r="I294" s="2423"/>
      <c r="J294" s="2423"/>
      <c r="K294" s="2423"/>
      <c r="L294" s="2423"/>
      <c r="M294" s="2423"/>
      <c r="N294" s="2423"/>
      <c r="O294" s="2423"/>
      <c r="P294" s="2423"/>
      <c r="Q294" s="2423"/>
      <c r="R294" s="2423"/>
      <c r="S294" s="2423"/>
      <c r="T294" s="2423"/>
      <c r="U294" s="2423"/>
      <c r="V294" s="2423"/>
      <c r="W294" s="2423"/>
      <c r="X294" s="2423"/>
      <c r="Y294" s="2423"/>
      <c r="Z294" s="2423"/>
      <c r="AA294" s="2423"/>
      <c r="AB294" s="2423"/>
      <c r="AC294" s="2423"/>
      <c r="AD294" s="2424"/>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22" t="s">
        <v>2026</v>
      </c>
      <c r="G295" s="2423"/>
      <c r="H295" s="2423"/>
      <c r="I295" s="2423"/>
      <c r="J295" s="2423"/>
      <c r="K295" s="2423"/>
      <c r="L295" s="2423"/>
      <c r="M295" s="2423"/>
      <c r="N295" s="2423"/>
      <c r="O295" s="2423"/>
      <c r="P295" s="2423"/>
      <c r="Q295" s="2423"/>
      <c r="R295" s="2423"/>
      <c r="S295" s="2423"/>
      <c r="T295" s="2423"/>
      <c r="U295" s="2423"/>
      <c r="V295" s="2423"/>
      <c r="W295" s="2423"/>
      <c r="X295" s="2423"/>
      <c r="Y295" s="2423"/>
      <c r="Z295" s="2423"/>
      <c r="AA295" s="2423"/>
      <c r="AB295" s="2423"/>
      <c r="AC295" s="2423"/>
      <c r="AD295" s="2424"/>
      <c r="AE295" s="642"/>
      <c r="AF295" s="551"/>
      <c r="AH295" s="551"/>
      <c r="AI295" s="551"/>
      <c r="AJ295" s="550"/>
      <c r="AK295" s="550"/>
      <c r="AL295" s="550"/>
      <c r="AM295" s="550"/>
      <c r="AN295" s="73"/>
      <c r="AO295" s="14"/>
      <c r="AP295" s="611">
        <f>MAX(AP293,AP294)</f>
        <v>9</v>
      </c>
      <c r="AQ295" s="574" t="s">
        <v>1317</v>
      </c>
      <c r="AS295" s="570"/>
      <c r="AT295" s="570"/>
      <c r="AU295" s="570"/>
      <c r="AV295" s="32"/>
      <c r="AW295" s="32"/>
    </row>
    <row r="296" spans="1:49">
      <c r="A296" s="640"/>
      <c r="B296" s="596"/>
      <c r="F296" s="2422"/>
      <c r="G296" s="2423"/>
      <c r="H296" s="2423"/>
      <c r="I296" s="2423"/>
      <c r="J296" s="2423"/>
      <c r="K296" s="2423"/>
      <c r="L296" s="2423"/>
      <c r="M296" s="2423"/>
      <c r="N296" s="2423"/>
      <c r="O296" s="2423"/>
      <c r="P296" s="2423"/>
      <c r="Q296" s="2423"/>
      <c r="R296" s="2423"/>
      <c r="S296" s="2423"/>
      <c r="T296" s="2423"/>
      <c r="U296" s="2423"/>
      <c r="V296" s="2423"/>
      <c r="W296" s="2423"/>
      <c r="X296" s="2423"/>
      <c r="Y296" s="2423"/>
      <c r="Z296" s="2423"/>
      <c r="AA296" s="2423"/>
      <c r="AB296" s="2423"/>
      <c r="AC296" s="2423"/>
      <c r="AD296" s="2424"/>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2" t="s">
        <v>1385</v>
      </c>
      <c r="G297" s="2423"/>
      <c r="H297" s="2423"/>
      <c r="I297" s="2423"/>
      <c r="J297" s="2423"/>
      <c r="K297" s="2423"/>
      <c r="L297" s="2423"/>
      <c r="M297" s="2423"/>
      <c r="N297" s="2423"/>
      <c r="O297" s="2423"/>
      <c r="P297" s="2423"/>
      <c r="Q297" s="2423"/>
      <c r="R297" s="2423"/>
      <c r="S297" s="2423"/>
      <c r="T297" s="2423"/>
      <c r="U297" s="2423"/>
      <c r="V297" s="2423"/>
      <c r="W297" s="2423"/>
      <c r="X297" s="2423"/>
      <c r="Y297" s="2423"/>
      <c r="Z297" s="2423"/>
      <c r="AA297" s="2423"/>
      <c r="AB297" s="2423"/>
      <c r="AC297" s="2423"/>
      <c r="AD297" s="2424"/>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2"/>
      <c r="G298" s="2423"/>
      <c r="H298" s="2423"/>
      <c r="I298" s="2423"/>
      <c r="J298" s="2423"/>
      <c r="K298" s="2423"/>
      <c r="L298" s="2423"/>
      <c r="M298" s="2423"/>
      <c r="N298" s="2423"/>
      <c r="O298" s="2423"/>
      <c r="P298" s="2423"/>
      <c r="Q298" s="2423"/>
      <c r="R298" s="2423"/>
      <c r="S298" s="2423"/>
      <c r="T298" s="2423"/>
      <c r="U298" s="2423"/>
      <c r="V298" s="2423"/>
      <c r="W298" s="2423"/>
      <c r="X298" s="2423"/>
      <c r="Y298" s="2423"/>
      <c r="Z298" s="2423"/>
      <c r="AA298" s="2423"/>
      <c r="AB298" s="2423"/>
      <c r="AC298" s="2423"/>
      <c r="AD298" s="2424"/>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2" t="s">
        <v>1386</v>
      </c>
      <c r="G299" s="2423"/>
      <c r="H299" s="2423"/>
      <c r="I299" s="2423"/>
      <c r="J299" s="2423"/>
      <c r="K299" s="2423"/>
      <c r="L299" s="2423"/>
      <c r="M299" s="2423"/>
      <c r="N299" s="2423"/>
      <c r="O299" s="2423"/>
      <c r="P299" s="2423"/>
      <c r="Q299" s="2423"/>
      <c r="R299" s="2423"/>
      <c r="S299" s="2423"/>
      <c r="T299" s="2423"/>
      <c r="U299" s="2423"/>
      <c r="V299" s="2423"/>
      <c r="W299" s="2423"/>
      <c r="X299" s="2423"/>
      <c r="Y299" s="2423"/>
      <c r="Z299" s="2423"/>
      <c r="AA299" s="2423"/>
      <c r="AB299" s="2423"/>
      <c r="AC299" s="2423"/>
      <c r="AD299" s="2424"/>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5"/>
      <c r="G300" s="2426"/>
      <c r="H300" s="2426"/>
      <c r="I300" s="2426"/>
      <c r="J300" s="2426"/>
      <c r="K300" s="2426"/>
      <c r="L300" s="2426"/>
      <c r="M300" s="2426"/>
      <c r="N300" s="2426"/>
      <c r="O300" s="2426"/>
      <c r="P300" s="2426"/>
      <c r="Q300" s="2426"/>
      <c r="R300" s="2426"/>
      <c r="S300" s="2426"/>
      <c r="T300" s="2426"/>
      <c r="U300" s="2426"/>
      <c r="V300" s="2426"/>
      <c r="W300" s="2426"/>
      <c r="X300" s="2426"/>
      <c r="Y300" s="2426"/>
      <c r="Z300" s="2426"/>
      <c r="AA300" s="2426"/>
      <c r="AB300" s="2426"/>
      <c r="AC300" s="2426"/>
      <c r="AD300" s="2561"/>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1" t="s">
        <v>1387</v>
      </c>
      <c r="B302" s="1631"/>
      <c r="C302" s="2444" t="s">
        <v>546</v>
      </c>
      <c r="D302" s="2444"/>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46" t="s">
        <v>2020</v>
      </c>
      <c r="G303" s="2547"/>
      <c r="H303" s="2547"/>
      <c r="I303" s="2547"/>
      <c r="J303" s="2547"/>
      <c r="K303" s="2547"/>
      <c r="L303" s="2547"/>
      <c r="M303" s="2547"/>
      <c r="N303" s="2547"/>
      <c r="O303" s="2547"/>
      <c r="P303" s="2547"/>
      <c r="Q303" s="2547"/>
      <c r="R303" s="2547"/>
      <c r="S303" s="2547"/>
      <c r="T303" s="2547"/>
      <c r="U303" s="2547"/>
      <c r="V303" s="2547"/>
      <c r="W303" s="2547"/>
      <c r="X303" s="2547"/>
      <c r="Y303" s="2547"/>
      <c r="Z303" s="2547"/>
      <c r="AA303" s="2547"/>
      <c r="AB303" s="2547"/>
      <c r="AC303" s="2547"/>
      <c r="AD303" s="2548"/>
      <c r="AE303" s="551"/>
      <c r="AF303" s="551"/>
      <c r="AG303" s="551"/>
      <c r="AH303" s="551"/>
      <c r="AI303" s="551"/>
      <c r="AJ303" s="550"/>
      <c r="AK303" s="550"/>
      <c r="AL303" s="550"/>
      <c r="AM303" s="550"/>
      <c r="AR303" s="648"/>
    </row>
    <row r="304" spans="1:49" ht="15" customHeight="1">
      <c r="A304" s="550"/>
      <c r="B304" s="551"/>
      <c r="C304" s="550"/>
      <c r="D304" s="551"/>
      <c r="E304" s="550"/>
      <c r="F304" s="2546"/>
      <c r="G304" s="2547"/>
      <c r="H304" s="2547"/>
      <c r="I304" s="2547"/>
      <c r="J304" s="2547"/>
      <c r="K304" s="2547"/>
      <c r="L304" s="2547"/>
      <c r="M304" s="2547"/>
      <c r="N304" s="2547"/>
      <c r="O304" s="2547"/>
      <c r="P304" s="2547"/>
      <c r="Q304" s="2547"/>
      <c r="R304" s="2547"/>
      <c r="S304" s="2547"/>
      <c r="T304" s="2547"/>
      <c r="U304" s="2547"/>
      <c r="V304" s="2547"/>
      <c r="W304" s="2547"/>
      <c r="X304" s="2547"/>
      <c r="Y304" s="2547"/>
      <c r="Z304" s="2547"/>
      <c r="AA304" s="2547"/>
      <c r="AB304" s="2547"/>
      <c r="AC304" s="2547"/>
      <c r="AD304" s="2548"/>
      <c r="AE304" s="551"/>
      <c r="AF304" s="551"/>
      <c r="AG304" s="551"/>
      <c r="AH304" s="551"/>
      <c r="AI304" s="551"/>
      <c r="AJ304" s="550"/>
      <c r="AK304" s="550"/>
      <c r="AL304" s="550"/>
      <c r="AM304" s="550"/>
      <c r="AR304" s="648"/>
    </row>
    <row r="305" spans="1:44">
      <c r="A305" s="550"/>
      <c r="B305" s="551"/>
      <c r="C305" s="550"/>
      <c r="D305" s="551"/>
      <c r="E305" s="550"/>
      <c r="F305" s="2546"/>
      <c r="G305" s="2547"/>
      <c r="H305" s="2547"/>
      <c r="I305" s="2547"/>
      <c r="J305" s="2547"/>
      <c r="K305" s="2547"/>
      <c r="L305" s="2547"/>
      <c r="M305" s="2547"/>
      <c r="N305" s="2547"/>
      <c r="O305" s="2547"/>
      <c r="P305" s="2547"/>
      <c r="Q305" s="2547"/>
      <c r="R305" s="2547"/>
      <c r="S305" s="2547"/>
      <c r="T305" s="2547"/>
      <c r="U305" s="2547"/>
      <c r="V305" s="2547"/>
      <c r="W305" s="2547"/>
      <c r="X305" s="2547"/>
      <c r="Y305" s="2547"/>
      <c r="Z305" s="2547"/>
      <c r="AA305" s="2547"/>
      <c r="AB305" s="2547"/>
      <c r="AC305" s="2547"/>
      <c r="AD305" s="2548"/>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8"/>
      <c r="G306" s="2569"/>
      <c r="H306" s="2569"/>
      <c r="I306" s="2569"/>
      <c r="J306" s="2569"/>
      <c r="K306" s="2569"/>
      <c r="L306" s="2569"/>
      <c r="M306" s="2569"/>
      <c r="N306" s="2569"/>
      <c r="O306" s="2569"/>
      <c r="P306" s="2569"/>
      <c r="Q306" s="2569"/>
      <c r="R306" s="2569"/>
      <c r="S306" s="2569"/>
      <c r="T306" s="2569"/>
      <c r="U306" s="2569"/>
      <c r="V306" s="2569"/>
      <c r="W306" s="2569"/>
      <c r="X306" s="2569"/>
      <c r="Y306" s="2569"/>
      <c r="Z306" s="2569"/>
      <c r="AA306" s="2569"/>
      <c r="AB306" s="2569"/>
      <c r="AC306" s="2569"/>
      <c r="AD306" s="2570"/>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1" t="s">
        <v>1390</v>
      </c>
      <c r="B310" s="1631"/>
      <c r="C310" s="2444" t="s">
        <v>592</v>
      </c>
      <c r="D310" s="2444"/>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22" t="s">
        <v>2027</v>
      </c>
      <c r="G311" s="2423"/>
      <c r="H311" s="2423"/>
      <c r="I311" s="2423"/>
      <c r="J311" s="2423"/>
      <c r="K311" s="2423"/>
      <c r="L311" s="2423"/>
      <c r="M311" s="2423"/>
      <c r="N311" s="2423"/>
      <c r="O311" s="2423"/>
      <c r="P311" s="2423"/>
      <c r="Q311" s="2423"/>
      <c r="R311" s="2423"/>
      <c r="S311" s="2423"/>
      <c r="T311" s="2423"/>
      <c r="U311" s="2423"/>
      <c r="V311" s="2423"/>
      <c r="W311" s="2423"/>
      <c r="X311" s="2423"/>
      <c r="Y311" s="2423"/>
      <c r="Z311" s="2423"/>
      <c r="AA311" s="2423"/>
      <c r="AB311" s="2423"/>
      <c r="AC311" s="2423"/>
      <c r="AD311" s="2424"/>
      <c r="AE311" s="551"/>
      <c r="AF311" s="551"/>
      <c r="AG311" s="539"/>
      <c r="AH311" s="551"/>
      <c r="AI311" s="551"/>
      <c r="AJ311" s="550"/>
      <c r="AK311" s="550"/>
      <c r="AL311" s="550"/>
      <c r="AM311" s="550"/>
      <c r="AN311" s="73"/>
      <c r="AO311" s="14"/>
      <c r="AP311" s="557" t="s">
        <v>1185</v>
      </c>
    </row>
    <row r="312" spans="1:44" hidden="1">
      <c r="F312" s="2422"/>
      <c r="G312" s="2423"/>
      <c r="H312" s="2423"/>
      <c r="I312" s="2423"/>
      <c r="J312" s="2423"/>
      <c r="K312" s="2423"/>
      <c r="L312" s="2423"/>
      <c r="M312" s="2423"/>
      <c r="N312" s="2423"/>
      <c r="O312" s="2423"/>
      <c r="P312" s="2423"/>
      <c r="Q312" s="2423"/>
      <c r="R312" s="2423"/>
      <c r="S312" s="2423"/>
      <c r="T312" s="2423"/>
      <c r="U312" s="2423"/>
      <c r="V312" s="2423"/>
      <c r="W312" s="2423"/>
      <c r="X312" s="2423"/>
      <c r="Y312" s="2423"/>
      <c r="Z312" s="2423"/>
      <c r="AA312" s="2423"/>
      <c r="AB312" s="2423"/>
      <c r="AC312" s="2423"/>
      <c r="AD312" s="2424"/>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9" t="s">
        <v>1185</v>
      </c>
      <c r="G316" s="2550"/>
      <c r="H316" s="2550"/>
      <c r="I316" s="2550"/>
      <c r="J316" s="2550"/>
      <c r="K316" s="2550"/>
      <c r="L316" s="2550"/>
      <c r="M316" s="2550"/>
      <c r="N316" s="2550"/>
      <c r="O316" s="2550"/>
      <c r="P316" s="2550"/>
      <c r="Q316" s="2550"/>
      <c r="R316" s="2550"/>
      <c r="S316" s="2550"/>
      <c r="T316" s="2550"/>
      <c r="U316" s="2550"/>
      <c r="V316" s="2550"/>
      <c r="W316" s="2550"/>
      <c r="X316" s="2550"/>
      <c r="Y316" s="2550"/>
      <c r="Z316" s="2550"/>
      <c r="AA316" s="2550"/>
      <c r="AB316" s="2550"/>
      <c r="AC316" s="2550"/>
      <c r="AD316" s="2551"/>
      <c r="AE316" s="642"/>
      <c r="AF316" s="642"/>
      <c r="AG316" s="642"/>
      <c r="AH316" s="642"/>
      <c r="AI316" s="642"/>
      <c r="AJ316" s="642"/>
      <c r="AK316" s="642"/>
      <c r="AL316" s="550"/>
      <c r="AM316" s="550"/>
      <c r="AN316" s="73"/>
      <c r="AO316" s="14"/>
      <c r="AP316" s="30"/>
    </row>
    <row r="317" spans="1:44" hidden="1">
      <c r="A317" s="550"/>
      <c r="B317" s="551"/>
      <c r="C317" s="730"/>
      <c r="D317" s="730"/>
      <c r="E317" s="547"/>
      <c r="F317" s="2549"/>
      <c r="G317" s="2550"/>
      <c r="H317" s="2550"/>
      <c r="I317" s="2550"/>
      <c r="J317" s="2550"/>
      <c r="K317" s="2550"/>
      <c r="L317" s="2550"/>
      <c r="M317" s="2550"/>
      <c r="N317" s="2550"/>
      <c r="O317" s="2550"/>
      <c r="P317" s="2550"/>
      <c r="Q317" s="2550"/>
      <c r="R317" s="2550"/>
      <c r="S317" s="2550"/>
      <c r="T317" s="2550"/>
      <c r="U317" s="2550"/>
      <c r="V317" s="2550"/>
      <c r="W317" s="2550"/>
      <c r="X317" s="2550"/>
      <c r="Y317" s="2550"/>
      <c r="Z317" s="2550"/>
      <c r="AA317" s="2550"/>
      <c r="AB317" s="2550"/>
      <c r="AC317" s="2550"/>
      <c r="AD317" s="2551"/>
      <c r="AE317" s="551"/>
      <c r="AF317" s="551"/>
      <c r="AG317" s="539"/>
      <c r="AH317" s="551"/>
      <c r="AI317" s="551"/>
      <c r="AJ317" s="550"/>
      <c r="AK317" s="550"/>
      <c r="AL317" s="550"/>
      <c r="AM317" s="550"/>
      <c r="AN317" s="73"/>
      <c r="AO317" s="14"/>
      <c r="AP317" s="30"/>
    </row>
    <row r="318" spans="1:44" hidden="1">
      <c r="A318" s="550"/>
      <c r="B318" s="551"/>
      <c r="C318" s="730"/>
      <c r="D318" s="730"/>
      <c r="E318" s="547"/>
      <c r="F318" s="2549"/>
      <c r="G318" s="2550"/>
      <c r="H318" s="2550"/>
      <c r="I318" s="2550"/>
      <c r="J318" s="2550"/>
      <c r="K318" s="2550"/>
      <c r="L318" s="2550"/>
      <c r="M318" s="2550"/>
      <c r="N318" s="2550"/>
      <c r="O318" s="2550"/>
      <c r="P318" s="2550"/>
      <c r="Q318" s="2550"/>
      <c r="R318" s="2550"/>
      <c r="S318" s="2550"/>
      <c r="T318" s="2550"/>
      <c r="U318" s="2550"/>
      <c r="V318" s="2550"/>
      <c r="W318" s="2550"/>
      <c r="X318" s="2550"/>
      <c r="Y318" s="2550"/>
      <c r="Z318" s="2550"/>
      <c r="AA318" s="2550"/>
      <c r="AB318" s="2550"/>
      <c r="AC318" s="2550"/>
      <c r="AD318" s="2551"/>
      <c r="AE318" s="551"/>
      <c r="AF318" s="551"/>
      <c r="AG318" s="539"/>
      <c r="AH318" s="551"/>
      <c r="AI318" s="551"/>
      <c r="AJ318" s="550"/>
      <c r="AK318" s="550"/>
      <c r="AL318" s="550"/>
      <c r="AM318" s="550"/>
      <c r="AN318" s="73"/>
      <c r="AO318" s="14"/>
      <c r="AP318" s="30"/>
    </row>
    <row r="319" spans="1:44" hidden="1">
      <c r="A319" s="550"/>
      <c r="B319" s="551"/>
      <c r="C319" s="730"/>
      <c r="D319" s="730"/>
      <c r="E319" s="547"/>
      <c r="F319" s="2549"/>
      <c r="G319" s="2550"/>
      <c r="H319" s="2550"/>
      <c r="I319" s="2550"/>
      <c r="J319" s="2550"/>
      <c r="K319" s="2550"/>
      <c r="L319" s="2550"/>
      <c r="M319" s="2550"/>
      <c r="N319" s="2550"/>
      <c r="O319" s="2550"/>
      <c r="P319" s="2550"/>
      <c r="Q319" s="2550"/>
      <c r="R319" s="2550"/>
      <c r="S319" s="2550"/>
      <c r="T319" s="2550"/>
      <c r="U319" s="2550"/>
      <c r="V319" s="2550"/>
      <c r="W319" s="2550"/>
      <c r="X319" s="2550"/>
      <c r="Y319" s="2550"/>
      <c r="Z319" s="2550"/>
      <c r="AA319" s="2550"/>
      <c r="AB319" s="2550"/>
      <c r="AC319" s="2550"/>
      <c r="AD319" s="2551"/>
      <c r="AE319" s="551"/>
      <c r="AF319" s="551"/>
      <c r="AG319" s="539"/>
      <c r="AH319" s="551"/>
      <c r="AI319" s="551"/>
      <c r="AJ319" s="550"/>
      <c r="AK319" s="550"/>
      <c r="AL319" s="550"/>
      <c r="AM319" s="550"/>
      <c r="AN319" s="73"/>
      <c r="AO319" s="14"/>
      <c r="AP319" s="30"/>
    </row>
    <row r="320" spans="1:44" hidden="1">
      <c r="A320" s="550"/>
      <c r="B320" s="551"/>
      <c r="C320" s="730"/>
      <c r="D320" s="730"/>
      <c r="E320" s="547"/>
      <c r="F320" s="2552"/>
      <c r="G320" s="2553"/>
      <c r="H320" s="2553"/>
      <c r="I320" s="2553"/>
      <c r="J320" s="2553"/>
      <c r="K320" s="2553"/>
      <c r="L320" s="2553"/>
      <c r="M320" s="2553"/>
      <c r="N320" s="2553"/>
      <c r="O320" s="2553"/>
      <c r="P320" s="2553"/>
      <c r="Q320" s="2553"/>
      <c r="R320" s="2553"/>
      <c r="S320" s="2553"/>
      <c r="T320" s="2553"/>
      <c r="U320" s="2553"/>
      <c r="V320" s="2553"/>
      <c r="W320" s="2553"/>
      <c r="X320" s="2553"/>
      <c r="Y320" s="2553"/>
      <c r="Z320" s="2553"/>
      <c r="AA320" s="2553"/>
      <c r="AB320" s="2553"/>
      <c r="AC320" s="2553"/>
      <c r="AD320" s="2554"/>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5" t="s">
        <v>1185</v>
      </c>
      <c r="J324" s="2555"/>
      <c r="K324" s="2555"/>
      <c r="L324" s="2555"/>
      <c r="M324" s="2555"/>
      <c r="N324" s="2555"/>
      <c r="O324" s="2555"/>
      <c r="P324" s="2555"/>
      <c r="Q324" s="2555"/>
      <c r="R324" s="2555"/>
      <c r="S324" s="2555"/>
      <c r="T324" s="2555"/>
      <c r="U324" s="2555"/>
      <c r="V324" s="2555"/>
      <c r="W324" s="2555"/>
      <c r="X324" s="2555"/>
      <c r="Y324" s="2555"/>
      <c r="Z324" s="2555"/>
      <c r="AA324" s="2555"/>
      <c r="AB324" s="2555"/>
      <c r="AC324" s="2555"/>
      <c r="AD324" s="2556"/>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55"/>
      <c r="J325" s="2555"/>
      <c r="K325" s="2555"/>
      <c r="L325" s="2555"/>
      <c r="M325" s="2555"/>
      <c r="N325" s="2555"/>
      <c r="O325" s="2555"/>
      <c r="P325" s="2555"/>
      <c r="Q325" s="2555"/>
      <c r="R325" s="2555"/>
      <c r="S325" s="2555"/>
      <c r="T325" s="2555"/>
      <c r="U325" s="2555"/>
      <c r="V325" s="2555"/>
      <c r="W325" s="2555"/>
      <c r="X325" s="2555"/>
      <c r="Y325" s="2555"/>
      <c r="Z325" s="2555"/>
      <c r="AA325" s="2555"/>
      <c r="AB325" s="2555"/>
      <c r="AC325" s="2555"/>
      <c r="AD325" s="2556"/>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55"/>
      <c r="J326" s="2555"/>
      <c r="K326" s="2555"/>
      <c r="L326" s="2555"/>
      <c r="M326" s="2555"/>
      <c r="N326" s="2555"/>
      <c r="O326" s="2555"/>
      <c r="P326" s="2555"/>
      <c r="Q326" s="2555"/>
      <c r="R326" s="2555"/>
      <c r="S326" s="2555"/>
      <c r="T326" s="2555"/>
      <c r="U326" s="2555"/>
      <c r="V326" s="2555"/>
      <c r="W326" s="2555"/>
      <c r="X326" s="2555"/>
      <c r="Y326" s="2555"/>
      <c r="Z326" s="2555"/>
      <c r="AA326" s="2555"/>
      <c r="AB326" s="2555"/>
      <c r="AC326" s="2555"/>
      <c r="AD326" s="2556"/>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57"/>
      <c r="J327" s="2557"/>
      <c r="K327" s="2557"/>
      <c r="L327" s="2557"/>
      <c r="M327" s="2557"/>
      <c r="N327" s="2557"/>
      <c r="O327" s="2557"/>
      <c r="P327" s="2557"/>
      <c r="Q327" s="2557"/>
      <c r="R327" s="2557"/>
      <c r="S327" s="2557"/>
      <c r="T327" s="2557"/>
      <c r="U327" s="2557"/>
      <c r="V327" s="2557"/>
      <c r="W327" s="2557"/>
      <c r="X327" s="2557"/>
      <c r="Y327" s="2557"/>
      <c r="Z327" s="2557"/>
      <c r="AA327" s="2557"/>
      <c r="AB327" s="2557"/>
      <c r="AC327" s="2557"/>
      <c r="AD327" s="2558"/>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5" t="s">
        <v>1185</v>
      </c>
      <c r="J329" s="2555"/>
      <c r="K329" s="2555"/>
      <c r="L329" s="2555"/>
      <c r="M329" s="2555"/>
      <c r="N329" s="2555"/>
      <c r="O329" s="2555"/>
      <c r="P329" s="2555"/>
      <c r="Q329" s="2555"/>
      <c r="R329" s="2555"/>
      <c r="S329" s="2555"/>
      <c r="T329" s="2555"/>
      <c r="U329" s="2555"/>
      <c r="V329" s="2555"/>
      <c r="W329" s="2555"/>
      <c r="X329" s="2555"/>
      <c r="Y329" s="2555"/>
      <c r="Z329" s="2555"/>
      <c r="AA329" s="2555"/>
      <c r="AB329" s="2555"/>
      <c r="AC329" s="2555"/>
      <c r="AD329" s="2556"/>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5"/>
      <c r="J330" s="2555"/>
      <c r="K330" s="2555"/>
      <c r="L330" s="2555"/>
      <c r="M330" s="2555"/>
      <c r="N330" s="2555"/>
      <c r="O330" s="2555"/>
      <c r="P330" s="2555"/>
      <c r="Q330" s="2555"/>
      <c r="R330" s="2555"/>
      <c r="S330" s="2555"/>
      <c r="T330" s="2555"/>
      <c r="U330" s="2555"/>
      <c r="V330" s="2555"/>
      <c r="W330" s="2555"/>
      <c r="X330" s="2555"/>
      <c r="Y330" s="2555"/>
      <c r="Z330" s="2555"/>
      <c r="AA330" s="2555"/>
      <c r="AB330" s="2555"/>
      <c r="AC330" s="2555"/>
      <c r="AD330" s="2556"/>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57"/>
      <c r="J331" s="2557"/>
      <c r="K331" s="2557"/>
      <c r="L331" s="2557"/>
      <c r="M331" s="2557"/>
      <c r="N331" s="2557"/>
      <c r="O331" s="2557"/>
      <c r="P331" s="2557"/>
      <c r="Q331" s="2557"/>
      <c r="R331" s="2557"/>
      <c r="S331" s="2557"/>
      <c r="T331" s="2557"/>
      <c r="U331" s="2557"/>
      <c r="V331" s="2557"/>
      <c r="W331" s="2557"/>
      <c r="X331" s="2557"/>
      <c r="Y331" s="2557"/>
      <c r="Z331" s="2557"/>
      <c r="AA331" s="2557"/>
      <c r="AB331" s="2557"/>
      <c r="AC331" s="2557"/>
      <c r="AD331" s="2558"/>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1" t="s">
        <v>1393</v>
      </c>
      <c r="B333" s="1631"/>
      <c r="C333" s="2444" t="s">
        <v>592</v>
      </c>
      <c r="D333" s="2444"/>
      <c r="E333" s="547"/>
      <c r="F333" s="2543" t="s">
        <v>2028</v>
      </c>
      <c r="G333" s="2544"/>
      <c r="H333" s="2544"/>
      <c r="I333" s="2544"/>
      <c r="J333" s="2544"/>
      <c r="K333" s="2544"/>
      <c r="L333" s="2544"/>
      <c r="M333" s="2544"/>
      <c r="N333" s="2544"/>
      <c r="O333" s="2544"/>
      <c r="P333" s="2544"/>
      <c r="Q333" s="2544"/>
      <c r="R333" s="2544"/>
      <c r="S333" s="2544"/>
      <c r="T333" s="2544"/>
      <c r="U333" s="2544"/>
      <c r="V333" s="2544"/>
      <c r="W333" s="2544"/>
      <c r="X333" s="2544"/>
      <c r="Y333" s="2544"/>
      <c r="Z333" s="2544"/>
      <c r="AA333" s="2544"/>
      <c r="AB333" s="2544"/>
      <c r="AC333" s="2544"/>
      <c r="AD333" s="2545"/>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46"/>
      <c r="G334" s="2547"/>
      <c r="H334" s="2547"/>
      <c r="I334" s="2547"/>
      <c r="J334" s="2547"/>
      <c r="K334" s="2547"/>
      <c r="L334" s="2547"/>
      <c r="M334" s="2547"/>
      <c r="N334" s="2547"/>
      <c r="O334" s="2547"/>
      <c r="P334" s="2547"/>
      <c r="Q334" s="2547"/>
      <c r="R334" s="2547"/>
      <c r="S334" s="2547"/>
      <c r="T334" s="2547"/>
      <c r="U334" s="2547"/>
      <c r="V334" s="2547"/>
      <c r="W334" s="2547"/>
      <c r="X334" s="2547"/>
      <c r="Y334" s="2547"/>
      <c r="Z334" s="2547"/>
      <c r="AA334" s="2547"/>
      <c r="AB334" s="2547"/>
      <c r="AC334" s="2547"/>
      <c r="AD334" s="2548"/>
      <c r="AE334" s="551"/>
      <c r="AF334" s="551"/>
      <c r="AG334" s="551"/>
      <c r="AH334" s="551"/>
      <c r="AI334" s="551"/>
      <c r="AJ334" s="550"/>
      <c r="AK334" s="550"/>
      <c r="AL334" s="550"/>
      <c r="AM334" s="550"/>
      <c r="AN334" s="73"/>
      <c r="AO334" s="14"/>
    </row>
    <row r="335" spans="1:42" ht="15" hidden="1" customHeight="1">
      <c r="A335" s="550"/>
      <c r="B335" s="551"/>
      <c r="C335" s="551"/>
      <c r="D335" s="551"/>
      <c r="E335" s="551"/>
      <c r="F335" s="2546"/>
      <c r="G335" s="2547"/>
      <c r="H335" s="2547"/>
      <c r="I335" s="2547"/>
      <c r="J335" s="2547"/>
      <c r="K335" s="2547"/>
      <c r="L335" s="2547"/>
      <c r="M335" s="2547"/>
      <c r="N335" s="2547"/>
      <c r="O335" s="2547"/>
      <c r="P335" s="2547"/>
      <c r="Q335" s="2547"/>
      <c r="R335" s="2547"/>
      <c r="S335" s="2547"/>
      <c r="T335" s="2547"/>
      <c r="U335" s="2547"/>
      <c r="V335" s="2547"/>
      <c r="W335" s="2547"/>
      <c r="X335" s="2547"/>
      <c r="Y335" s="2547"/>
      <c r="Z335" s="2547"/>
      <c r="AA335" s="2547"/>
      <c r="AB335" s="2547"/>
      <c r="AC335" s="2547"/>
      <c r="AD335" s="2548"/>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30">
        <f>IF(NOT(OR(Application!M355="Yes",Application!M356="Yes")),0,AP295)</f>
        <v>9</v>
      </c>
      <c r="AL338" s="2431"/>
      <c r="AM338" s="2432"/>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63" t="s">
        <v>1315</v>
      </c>
      <c r="AF341" s="2463"/>
      <c r="AG341" s="2463"/>
      <c r="AH341" s="2463"/>
      <c r="AI341" s="2463"/>
      <c r="AJ341" s="2463"/>
      <c r="AK341" s="2463"/>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9" t="s">
        <v>1455</v>
      </c>
      <c r="D343" s="2439"/>
      <c r="E343" s="2439"/>
      <c r="F343" s="2439"/>
      <c r="G343" s="2439"/>
      <c r="H343" s="2439"/>
      <c r="I343" s="2439"/>
      <c r="J343" s="2439"/>
      <c r="K343" s="2439"/>
      <c r="L343" s="2439"/>
      <c r="M343" s="2439"/>
      <c r="N343" s="2439"/>
      <c r="O343" s="2439"/>
      <c r="P343" s="2439"/>
      <c r="Q343" s="2439"/>
      <c r="R343" s="2439"/>
      <c r="S343" s="2439"/>
      <c r="T343" s="2439"/>
      <c r="U343" s="2439"/>
      <c r="V343" s="2439"/>
      <c r="W343" s="2439"/>
      <c r="X343" s="2439"/>
      <c r="Y343" s="2439"/>
      <c r="Z343" s="2439"/>
      <c r="AA343" s="2439"/>
      <c r="AB343" s="2439"/>
      <c r="AC343" s="2439"/>
      <c r="AD343" s="2439"/>
      <c r="AE343" s="2439"/>
      <c r="AF343" s="2439"/>
      <c r="AG343" s="2439"/>
      <c r="AH343" s="2439"/>
      <c r="AI343" s="2439"/>
      <c r="AJ343" s="2439"/>
      <c r="AK343" s="603"/>
      <c r="AL343" s="603"/>
      <c r="AM343" s="603"/>
      <c r="AN343" s="597"/>
    </row>
    <row r="344" spans="1:44" s="550" customFormat="1" ht="12.75" customHeight="1">
      <c r="A344" s="603"/>
      <c r="B344" s="611"/>
      <c r="C344" s="2439"/>
      <c r="D344" s="2439"/>
      <c r="E344" s="2439"/>
      <c r="F344" s="2439"/>
      <c r="G344" s="2439"/>
      <c r="H344" s="2439"/>
      <c r="I344" s="2439"/>
      <c r="J344" s="2439"/>
      <c r="K344" s="2439"/>
      <c r="L344" s="2439"/>
      <c r="M344" s="2439"/>
      <c r="N344" s="2439"/>
      <c r="O344" s="2439"/>
      <c r="P344" s="2439"/>
      <c r="Q344" s="2439"/>
      <c r="R344" s="2439"/>
      <c r="S344" s="2439"/>
      <c r="T344" s="2439"/>
      <c r="U344" s="2439"/>
      <c r="V344" s="2439"/>
      <c r="W344" s="2439"/>
      <c r="X344" s="2439"/>
      <c r="Y344" s="2439"/>
      <c r="Z344" s="2439"/>
      <c r="AA344" s="2439"/>
      <c r="AB344" s="2439"/>
      <c r="AC344" s="2439"/>
      <c r="AD344" s="2439"/>
      <c r="AE344" s="2439"/>
      <c r="AF344" s="2439"/>
      <c r="AG344" s="2439"/>
      <c r="AH344" s="2439"/>
      <c r="AI344" s="2439"/>
      <c r="AJ344" s="2439"/>
      <c r="AK344" s="603"/>
      <c r="AL344" s="603"/>
      <c r="AM344" s="603"/>
      <c r="AN344" s="597"/>
    </row>
    <row r="345" spans="1:44" s="550" customFormat="1" ht="12.75" customHeight="1">
      <c r="A345" s="603"/>
      <c r="B345" s="611"/>
      <c r="C345" s="2439"/>
      <c r="D345" s="2439"/>
      <c r="E345" s="2439"/>
      <c r="F345" s="2439"/>
      <c r="G345" s="2439"/>
      <c r="H345" s="2439"/>
      <c r="I345" s="2439"/>
      <c r="J345" s="2439"/>
      <c r="K345" s="2439"/>
      <c r="L345" s="2439"/>
      <c r="M345" s="2439"/>
      <c r="N345" s="2439"/>
      <c r="O345" s="2439"/>
      <c r="P345" s="2439"/>
      <c r="Q345" s="2439"/>
      <c r="R345" s="2439"/>
      <c r="S345" s="2439"/>
      <c r="T345" s="2439"/>
      <c r="U345" s="2439"/>
      <c r="V345" s="2439"/>
      <c r="W345" s="2439"/>
      <c r="X345" s="2439"/>
      <c r="Y345" s="2439"/>
      <c r="Z345" s="2439"/>
      <c r="AA345" s="2439"/>
      <c r="AB345" s="2439"/>
      <c r="AC345" s="2439"/>
      <c r="AD345" s="2439"/>
      <c r="AE345" s="2439"/>
      <c r="AF345" s="2439"/>
      <c r="AG345" s="2439"/>
      <c r="AH345" s="2439"/>
      <c r="AI345" s="2439"/>
      <c r="AJ345" s="2439"/>
      <c r="AK345" s="603"/>
      <c r="AL345" s="603"/>
      <c r="AM345" s="603"/>
      <c r="AN345" s="597"/>
      <c r="AQ345" s="570"/>
    </row>
    <row r="346" spans="1:44" s="550" customFormat="1" ht="12.75" customHeight="1">
      <c r="A346" s="603"/>
      <c r="B346" s="611"/>
      <c r="C346" s="2439"/>
      <c r="D346" s="2439"/>
      <c r="E346" s="2439"/>
      <c r="F346" s="2439"/>
      <c r="G346" s="2439"/>
      <c r="H346" s="2439"/>
      <c r="I346" s="2439"/>
      <c r="J346" s="2439"/>
      <c r="K346" s="2439"/>
      <c r="L346" s="2439"/>
      <c r="M346" s="2439"/>
      <c r="N346" s="2439"/>
      <c r="O346" s="2439"/>
      <c r="P346" s="2439"/>
      <c r="Q346" s="2439"/>
      <c r="R346" s="2439"/>
      <c r="S346" s="2439"/>
      <c r="T346" s="2439"/>
      <c r="U346" s="2439"/>
      <c r="V346" s="2439"/>
      <c r="W346" s="2439"/>
      <c r="X346" s="2439"/>
      <c r="Y346" s="2439"/>
      <c r="Z346" s="2439"/>
      <c r="AA346" s="2439"/>
      <c r="AB346" s="2439"/>
      <c r="AC346" s="2439"/>
      <c r="AD346" s="2439"/>
      <c r="AE346" s="2439"/>
      <c r="AF346" s="2439"/>
      <c r="AG346" s="2439"/>
      <c r="AH346" s="2439"/>
      <c r="AI346" s="2439"/>
      <c r="AJ346" s="2439"/>
      <c r="AK346" s="603"/>
      <c r="AL346" s="603"/>
      <c r="AM346" s="603"/>
      <c r="AN346" s="597"/>
      <c r="AQ346" s="570"/>
    </row>
    <row r="347" spans="1:44" s="550" customFormat="1" ht="12.6" customHeight="1">
      <c r="A347" s="603"/>
      <c r="B347" s="611"/>
      <c r="C347" s="2439"/>
      <c r="D347" s="2439"/>
      <c r="E347" s="2439"/>
      <c r="F347" s="2439"/>
      <c r="G347" s="2439"/>
      <c r="H347" s="2439"/>
      <c r="I347" s="2439"/>
      <c r="J347" s="2439"/>
      <c r="K347" s="2439"/>
      <c r="L347" s="2439"/>
      <c r="M347" s="2439"/>
      <c r="N347" s="2439"/>
      <c r="O347" s="2439"/>
      <c r="P347" s="2439"/>
      <c r="Q347" s="2439"/>
      <c r="R347" s="2439"/>
      <c r="S347" s="2439"/>
      <c r="T347" s="2439"/>
      <c r="U347" s="2439"/>
      <c r="V347" s="2439"/>
      <c r="W347" s="2439"/>
      <c r="X347" s="2439"/>
      <c r="Y347" s="2439"/>
      <c r="Z347" s="2439"/>
      <c r="AA347" s="2439"/>
      <c r="AB347" s="2439"/>
      <c r="AC347" s="2439"/>
      <c r="AD347" s="2439"/>
      <c r="AE347" s="2439"/>
      <c r="AF347" s="2439"/>
      <c r="AG347" s="2439"/>
      <c r="AH347" s="2439"/>
      <c r="AI347" s="2439"/>
      <c r="AJ347" s="2439"/>
      <c r="AK347" s="603"/>
      <c r="AL347" s="603"/>
      <c r="AM347" s="603"/>
      <c r="AN347" s="597"/>
      <c r="AQ347" s="570"/>
      <c r="AR347" s="570"/>
    </row>
    <row r="348" spans="1:44" s="550" customFormat="1" ht="45.75" customHeight="1">
      <c r="A348" s="603"/>
      <c r="B348" s="611"/>
      <c r="C348" s="2439" t="s">
        <v>2093</v>
      </c>
      <c r="D348" s="2439"/>
      <c r="E348" s="2439"/>
      <c r="F348" s="2439"/>
      <c r="G348" s="2439"/>
      <c r="H348" s="2439"/>
      <c r="I348" s="2439"/>
      <c r="J348" s="2439"/>
      <c r="K348" s="2439"/>
      <c r="L348" s="2439"/>
      <c r="M348" s="2439"/>
      <c r="N348" s="2439"/>
      <c r="O348" s="2439"/>
      <c r="P348" s="2439"/>
      <c r="Q348" s="2439"/>
      <c r="R348" s="2439"/>
      <c r="S348" s="2439"/>
      <c r="T348" s="2439"/>
      <c r="U348" s="2439"/>
      <c r="V348" s="2439"/>
      <c r="W348" s="2439"/>
      <c r="X348" s="2439"/>
      <c r="Y348" s="2439"/>
      <c r="Z348" s="2439"/>
      <c r="AA348" s="2439"/>
      <c r="AB348" s="2439"/>
      <c r="AC348" s="2439"/>
      <c r="AD348" s="2439"/>
      <c r="AE348" s="2439"/>
      <c r="AF348" s="2439"/>
      <c r="AG348" s="2439"/>
      <c r="AH348" s="2439"/>
      <c r="AI348" s="2439"/>
      <c r="AJ348" s="2439"/>
      <c r="AK348" s="603"/>
      <c r="AL348" s="603"/>
      <c r="AM348" s="603"/>
      <c r="AN348" s="597"/>
      <c r="AQ348" s="570"/>
      <c r="AR348" s="570"/>
    </row>
    <row r="349" spans="1:44" s="550" customFormat="1" ht="12.6"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9" t="s">
        <v>2208</v>
      </c>
      <c r="D350" s="2439"/>
      <c r="E350" s="2439"/>
      <c r="F350" s="2439"/>
      <c r="G350" s="2439"/>
      <c r="H350" s="2439"/>
      <c r="I350" s="2439"/>
      <c r="J350" s="2439"/>
      <c r="K350" s="2439"/>
      <c r="L350" s="2439"/>
      <c r="M350" s="2439"/>
      <c r="N350" s="2439"/>
      <c r="O350" s="2439"/>
      <c r="P350" s="2439"/>
      <c r="Q350" s="2439"/>
      <c r="R350" s="2439"/>
      <c r="S350" s="2439"/>
      <c r="T350" s="2439"/>
      <c r="U350" s="2439"/>
      <c r="V350" s="2439"/>
      <c r="W350" s="2439"/>
      <c r="X350" s="2439"/>
      <c r="Y350" s="2439"/>
      <c r="Z350" s="2439"/>
      <c r="AA350" s="2439"/>
      <c r="AB350" s="2439"/>
      <c r="AC350" s="2439"/>
      <c r="AD350" s="2439"/>
      <c r="AE350" s="2439"/>
      <c r="AF350" s="2439"/>
      <c r="AG350" s="2439"/>
      <c r="AH350" s="2439"/>
      <c r="AI350" s="2439"/>
      <c r="AJ350" s="2439"/>
      <c r="AK350" s="603"/>
      <c r="AL350" s="603"/>
      <c r="AM350" s="603"/>
      <c r="AN350" s="597"/>
      <c r="AQ350" s="570"/>
      <c r="AR350" s="570"/>
    </row>
    <row r="351" spans="1:44" s="550" customFormat="1" ht="30" customHeight="1">
      <c r="A351" s="603"/>
      <c r="B351" s="611"/>
      <c r="C351" s="2439"/>
      <c r="D351" s="2439"/>
      <c r="E351" s="2439"/>
      <c r="F351" s="2439"/>
      <c r="G351" s="2439"/>
      <c r="H351" s="2439"/>
      <c r="I351" s="2439"/>
      <c r="J351" s="2439"/>
      <c r="K351" s="2439"/>
      <c r="L351" s="2439"/>
      <c r="M351" s="2439"/>
      <c r="N351" s="2439"/>
      <c r="O351" s="2439"/>
      <c r="P351" s="2439"/>
      <c r="Q351" s="2439"/>
      <c r="R351" s="2439"/>
      <c r="S351" s="2439"/>
      <c r="T351" s="2439"/>
      <c r="U351" s="2439"/>
      <c r="V351" s="2439"/>
      <c r="W351" s="2439"/>
      <c r="X351" s="2439"/>
      <c r="Y351" s="2439"/>
      <c r="Z351" s="2439"/>
      <c r="AA351" s="2439"/>
      <c r="AB351" s="2439"/>
      <c r="AC351" s="2439"/>
      <c r="AD351" s="2439"/>
      <c r="AE351" s="2439"/>
      <c r="AF351" s="2439"/>
      <c r="AG351" s="2439"/>
      <c r="AH351" s="2439"/>
      <c r="AI351" s="2439"/>
      <c r="AJ351" s="2439"/>
      <c r="AK351" s="603"/>
      <c r="AL351" s="603"/>
      <c r="AM351" s="603"/>
      <c r="AN351" s="597"/>
      <c r="AR351" s="570"/>
    </row>
    <row r="352" spans="1:44" s="550" customFormat="1" ht="12.75" customHeight="1">
      <c r="A352" s="603"/>
      <c r="B352" s="611"/>
      <c r="C352" s="2439"/>
      <c r="D352" s="2439"/>
      <c r="E352" s="2439"/>
      <c r="F352" s="2439"/>
      <c r="G352" s="2439"/>
      <c r="H352" s="2439"/>
      <c r="I352" s="2439"/>
      <c r="J352" s="2439"/>
      <c r="K352" s="2439"/>
      <c r="L352" s="2439"/>
      <c r="M352" s="2439"/>
      <c r="N352" s="2439"/>
      <c r="O352" s="2439"/>
      <c r="P352" s="2439"/>
      <c r="Q352" s="2439"/>
      <c r="R352" s="2439"/>
      <c r="S352" s="2439"/>
      <c r="T352" s="2439"/>
      <c r="U352" s="2439"/>
      <c r="V352" s="2439"/>
      <c r="W352" s="2439"/>
      <c r="X352" s="2439"/>
      <c r="Y352" s="2439"/>
      <c r="Z352" s="2439"/>
      <c r="AA352" s="2439"/>
      <c r="AB352" s="2439"/>
      <c r="AC352" s="2439"/>
      <c r="AD352" s="2439"/>
      <c r="AE352" s="2439"/>
      <c r="AF352" s="2439"/>
      <c r="AG352" s="2439"/>
      <c r="AH352" s="2439"/>
      <c r="AI352" s="2439"/>
      <c r="AJ352" s="2439"/>
      <c r="AK352" s="603"/>
      <c r="AL352" s="603"/>
      <c r="AM352" s="603"/>
      <c r="AN352" s="597"/>
      <c r="AR352" s="570"/>
    </row>
    <row r="353" spans="1:46" s="550" customFormat="1" ht="12.75" customHeight="1">
      <c r="A353" s="603"/>
      <c r="B353" s="611"/>
      <c r="C353" s="2439" t="s">
        <v>1456</v>
      </c>
      <c r="D353" s="2439"/>
      <c r="E353" s="2439"/>
      <c r="F353" s="2439"/>
      <c r="G353" s="2439"/>
      <c r="H353" s="2439"/>
      <c r="I353" s="2439"/>
      <c r="J353" s="2439"/>
      <c r="K353" s="2439"/>
      <c r="L353" s="2439"/>
      <c r="M353" s="2439"/>
      <c r="N353" s="2439"/>
      <c r="O353" s="2439"/>
      <c r="P353" s="2439"/>
      <c r="Q353" s="2439"/>
      <c r="R353" s="2439"/>
      <c r="S353" s="2439"/>
      <c r="T353" s="2439"/>
      <c r="U353" s="2439"/>
      <c r="V353" s="2439"/>
      <c r="W353" s="2439"/>
      <c r="X353" s="2439"/>
      <c r="Y353" s="2439"/>
      <c r="Z353" s="2439"/>
      <c r="AA353" s="2439"/>
      <c r="AB353" s="2439"/>
      <c r="AC353" s="2439"/>
      <c r="AD353" s="2439"/>
      <c r="AE353" s="2439"/>
      <c r="AF353" s="2439"/>
      <c r="AG353" s="2439"/>
      <c r="AH353" s="2439"/>
      <c r="AI353" s="2439"/>
      <c r="AJ353" s="2439"/>
      <c r="AK353" s="603"/>
      <c r="AL353" s="603"/>
      <c r="AM353" s="603"/>
      <c r="AN353" s="597"/>
      <c r="AQ353" s="570"/>
      <c r="AR353" s="570"/>
    </row>
    <row r="354" spans="1:46" s="550" customFormat="1" ht="12.75" customHeight="1">
      <c r="A354" s="603"/>
      <c r="B354" s="611"/>
      <c r="C354" s="2439"/>
      <c r="D354" s="2439"/>
      <c r="E354" s="2439"/>
      <c r="F354" s="2439"/>
      <c r="G354" s="2439"/>
      <c r="H354" s="2439"/>
      <c r="I354" s="2439"/>
      <c r="J354" s="2439"/>
      <c r="K354" s="2439"/>
      <c r="L354" s="2439"/>
      <c r="M354" s="2439"/>
      <c r="N354" s="2439"/>
      <c r="O354" s="2439"/>
      <c r="P354" s="2439"/>
      <c r="Q354" s="2439"/>
      <c r="R354" s="2439"/>
      <c r="S354" s="2439"/>
      <c r="T354" s="2439"/>
      <c r="U354" s="2439"/>
      <c r="V354" s="2439"/>
      <c r="W354" s="2439"/>
      <c r="X354" s="2439"/>
      <c r="Y354" s="2439"/>
      <c r="Z354" s="2439"/>
      <c r="AA354" s="2439"/>
      <c r="AB354" s="2439"/>
      <c r="AC354" s="2439"/>
      <c r="AD354" s="2439"/>
      <c r="AE354" s="2439"/>
      <c r="AF354" s="2439"/>
      <c r="AG354" s="2439"/>
      <c r="AH354" s="2439"/>
      <c r="AI354" s="2439"/>
      <c r="AJ354" s="2439"/>
      <c r="AK354" s="603"/>
      <c r="AL354" s="603"/>
      <c r="AM354" s="603"/>
      <c r="AN354" s="597"/>
      <c r="AQ354" s="570"/>
      <c r="AR354" s="570"/>
    </row>
    <row r="355" spans="1:46" s="550" customFormat="1" ht="13.35" customHeight="1">
      <c r="A355" s="603"/>
      <c r="B355" s="611"/>
      <c r="C355" s="2439"/>
      <c r="D355" s="2439"/>
      <c r="E355" s="2439"/>
      <c r="F355" s="2439"/>
      <c r="G355" s="2439"/>
      <c r="H355" s="2439"/>
      <c r="I355" s="2439"/>
      <c r="J355" s="2439"/>
      <c r="K355" s="2439"/>
      <c r="L355" s="2439"/>
      <c r="M355" s="2439"/>
      <c r="N355" s="2439"/>
      <c r="O355" s="2439"/>
      <c r="P355" s="2439"/>
      <c r="Q355" s="2439"/>
      <c r="R355" s="2439"/>
      <c r="S355" s="2439"/>
      <c r="T355" s="2439"/>
      <c r="U355" s="2439"/>
      <c r="V355" s="2439"/>
      <c r="W355" s="2439"/>
      <c r="X355" s="2439"/>
      <c r="Y355" s="2439"/>
      <c r="Z355" s="2439"/>
      <c r="AA355" s="2439"/>
      <c r="AB355" s="2439"/>
      <c r="AC355" s="2439"/>
      <c r="AD355" s="2439"/>
      <c r="AE355" s="2439"/>
      <c r="AF355" s="2439"/>
      <c r="AG355" s="2439"/>
      <c r="AH355" s="2439"/>
      <c r="AI355" s="2439"/>
      <c r="AJ355" s="2439"/>
      <c r="AK355" s="603"/>
      <c r="AL355" s="603"/>
      <c r="AM355" s="603"/>
      <c r="AN355" s="597"/>
      <c r="AQ355" s="570"/>
      <c r="AR355" s="570"/>
    </row>
    <row r="356" spans="1:46" s="550" customFormat="1" ht="12.75" customHeight="1">
      <c r="A356" s="603"/>
      <c r="B356" s="611"/>
      <c r="C356" s="2439"/>
      <c r="D356" s="2439"/>
      <c r="E356" s="2439"/>
      <c r="F356" s="2439"/>
      <c r="G356" s="2439"/>
      <c r="H356" s="2439"/>
      <c r="I356" s="2439"/>
      <c r="J356" s="2439"/>
      <c r="K356" s="2439"/>
      <c r="L356" s="2439"/>
      <c r="M356" s="2439"/>
      <c r="N356" s="2439"/>
      <c r="O356" s="2439"/>
      <c r="P356" s="2439"/>
      <c r="Q356" s="2439"/>
      <c r="R356" s="2439"/>
      <c r="S356" s="2439"/>
      <c r="T356" s="2439"/>
      <c r="U356" s="2439"/>
      <c r="V356" s="2439"/>
      <c r="W356" s="2439"/>
      <c r="X356" s="2439"/>
      <c r="Y356" s="2439"/>
      <c r="Z356" s="2439"/>
      <c r="AA356" s="2439"/>
      <c r="AB356" s="2439"/>
      <c r="AC356" s="2439"/>
      <c r="AD356" s="2439"/>
      <c r="AE356" s="2439"/>
      <c r="AF356" s="2439"/>
      <c r="AG356" s="2439"/>
      <c r="AH356" s="2439"/>
      <c r="AI356" s="2439"/>
      <c r="AJ356" s="2439"/>
      <c r="AK356" s="603"/>
      <c r="AL356" s="603"/>
      <c r="AM356" s="603"/>
      <c r="AN356" s="597"/>
      <c r="AO356" s="694"/>
      <c r="AP356" s="694"/>
      <c r="AQ356" s="570"/>
    </row>
    <row r="357" spans="1:46" s="550" customFormat="1" ht="11.85" customHeight="1">
      <c r="A357" s="603"/>
      <c r="B357" s="611"/>
      <c r="C357" s="2439"/>
      <c r="D357" s="2439"/>
      <c r="E357" s="2439"/>
      <c r="F357" s="2439"/>
      <c r="G357" s="2439"/>
      <c r="H357" s="2439"/>
      <c r="I357" s="2439"/>
      <c r="J357" s="2439"/>
      <c r="K357" s="2439"/>
      <c r="L357" s="2439"/>
      <c r="M357" s="2439"/>
      <c r="N357" s="2439"/>
      <c r="O357" s="2439"/>
      <c r="P357" s="2439"/>
      <c r="Q357" s="2439"/>
      <c r="R357" s="2439"/>
      <c r="S357" s="2439"/>
      <c r="T357" s="2439"/>
      <c r="U357" s="2439"/>
      <c r="V357" s="2439"/>
      <c r="W357" s="2439"/>
      <c r="X357" s="2439"/>
      <c r="Y357" s="2439"/>
      <c r="Z357" s="2439"/>
      <c r="AA357" s="2439"/>
      <c r="AB357" s="2439"/>
      <c r="AC357" s="2439"/>
      <c r="AD357" s="2439"/>
      <c r="AE357" s="2439"/>
      <c r="AF357" s="2439"/>
      <c r="AG357" s="2439"/>
      <c r="AH357" s="2439"/>
      <c r="AI357" s="2439"/>
      <c r="AJ357" s="2439"/>
      <c r="AK357" s="603"/>
      <c r="AL357" s="603"/>
      <c r="AM357" s="603"/>
      <c r="AN357" s="597"/>
      <c r="AO357" s="695" t="s">
        <v>112</v>
      </c>
      <c r="AP357" s="696">
        <f>IF(C381="Yes",5,0)</f>
        <v>5</v>
      </c>
      <c r="AS357" s="539" t="s">
        <v>1457</v>
      </c>
    </row>
    <row r="358" spans="1:46" s="550" customFormat="1" ht="12.75" customHeight="1">
      <c r="A358" s="603"/>
      <c r="B358" s="611"/>
      <c r="C358" s="2439"/>
      <c r="D358" s="2439"/>
      <c r="E358" s="2439"/>
      <c r="F358" s="2439"/>
      <c r="G358" s="2439"/>
      <c r="H358" s="2439"/>
      <c r="I358" s="2439"/>
      <c r="J358" s="2439"/>
      <c r="K358" s="2439"/>
      <c r="L358" s="2439"/>
      <c r="M358" s="2439"/>
      <c r="N358" s="2439"/>
      <c r="O358" s="2439"/>
      <c r="P358" s="2439"/>
      <c r="Q358" s="2439"/>
      <c r="R358" s="2439"/>
      <c r="S358" s="2439"/>
      <c r="T358" s="2439"/>
      <c r="U358" s="2439"/>
      <c r="V358" s="2439"/>
      <c r="W358" s="2439"/>
      <c r="X358" s="2439"/>
      <c r="Y358" s="2439"/>
      <c r="Z358" s="2439"/>
      <c r="AA358" s="2439"/>
      <c r="AB358" s="2439"/>
      <c r="AC358" s="2439"/>
      <c r="AD358" s="2439"/>
      <c r="AE358" s="2439"/>
      <c r="AF358" s="2439"/>
      <c r="AG358" s="2439"/>
      <c r="AH358" s="2439"/>
      <c r="AI358" s="2439"/>
      <c r="AJ358" s="2439"/>
      <c r="AK358" s="603"/>
      <c r="AL358" s="603"/>
      <c r="AM358" s="603"/>
      <c r="AN358" s="597"/>
      <c r="AO358" s="695" t="s">
        <v>113</v>
      </c>
      <c r="AP358" s="696">
        <f>IF(C389="Yes",5,0)</f>
        <v>5</v>
      </c>
      <c r="AS358" s="2405">
        <f>IF(Application!D211="Non-Targeted",(SUM(AQ366+AQ375)),AS362)</f>
        <v>10</v>
      </c>
      <c r="AT358" s="2405"/>
    </row>
    <row r="359" spans="1:46" s="550" customFormat="1" ht="12.75" customHeight="1">
      <c r="A359" s="603"/>
      <c r="B359" s="611"/>
      <c r="C359" s="2439"/>
      <c r="D359" s="2439"/>
      <c r="E359" s="2439"/>
      <c r="F359" s="2439"/>
      <c r="G359" s="2439"/>
      <c r="H359" s="2439"/>
      <c r="I359" s="2439"/>
      <c r="J359" s="2439"/>
      <c r="K359" s="2439"/>
      <c r="L359" s="2439"/>
      <c r="M359" s="2439"/>
      <c r="N359" s="2439"/>
      <c r="O359" s="2439"/>
      <c r="P359" s="2439"/>
      <c r="Q359" s="2439"/>
      <c r="R359" s="2439"/>
      <c r="S359" s="2439"/>
      <c r="T359" s="2439"/>
      <c r="U359" s="2439"/>
      <c r="V359" s="2439"/>
      <c r="W359" s="2439"/>
      <c r="X359" s="2439"/>
      <c r="Y359" s="2439"/>
      <c r="Z359" s="2439"/>
      <c r="AA359" s="2439"/>
      <c r="AB359" s="2439"/>
      <c r="AC359" s="2439"/>
      <c r="AD359" s="2439"/>
      <c r="AE359" s="2439"/>
      <c r="AF359" s="2439"/>
      <c r="AG359" s="2439"/>
      <c r="AH359" s="2439"/>
      <c r="AI359" s="2439"/>
      <c r="AJ359" s="2439"/>
      <c r="AK359" s="603"/>
      <c r="AL359" s="603"/>
      <c r="AM359" s="603"/>
      <c r="AN359" s="597"/>
      <c r="AO359" s="695" t="s">
        <v>119</v>
      </c>
      <c r="AP359" s="696">
        <f>IF(C397="Yes",7,0)</f>
        <v>0</v>
      </c>
      <c r="AS359" s="539" t="s">
        <v>1458</v>
      </c>
    </row>
    <row r="360" spans="1:46" s="550" customFormat="1" ht="12.75" customHeight="1">
      <c r="A360" s="603"/>
      <c r="B360" s="611"/>
      <c r="C360" s="2439"/>
      <c r="D360" s="2439"/>
      <c r="E360" s="2439"/>
      <c r="F360" s="2439"/>
      <c r="G360" s="2439"/>
      <c r="H360" s="2439"/>
      <c r="I360" s="2439"/>
      <c r="J360" s="2439"/>
      <c r="K360" s="2439"/>
      <c r="L360" s="2439"/>
      <c r="M360" s="2439"/>
      <c r="N360" s="2439"/>
      <c r="O360" s="2439"/>
      <c r="P360" s="2439"/>
      <c r="Q360" s="2439"/>
      <c r="R360" s="2439"/>
      <c r="S360" s="2439"/>
      <c r="T360" s="2439"/>
      <c r="U360" s="2439"/>
      <c r="V360" s="2439"/>
      <c r="W360" s="2439"/>
      <c r="X360" s="2439"/>
      <c r="Y360" s="2439"/>
      <c r="Z360" s="2439"/>
      <c r="AA360" s="2439"/>
      <c r="AB360" s="2439"/>
      <c r="AC360" s="2439"/>
      <c r="AD360" s="2439"/>
      <c r="AE360" s="2439"/>
      <c r="AF360" s="2439"/>
      <c r="AG360" s="2439"/>
      <c r="AH360" s="2439"/>
      <c r="AI360" s="2439"/>
      <c r="AJ360" s="2439"/>
      <c r="AK360" s="603"/>
      <c r="AL360" s="603"/>
      <c r="AM360" s="603"/>
      <c r="AN360" s="597"/>
      <c r="AO360" s="597"/>
      <c r="AP360" s="696">
        <f>IF(C399="Yes",5,0)</f>
        <v>0</v>
      </c>
      <c r="AS360" s="2405">
        <f>IF(AND(AQ366&gt;0,AQ375&gt;0),(AQ366+AQ375)/2,0)</f>
        <v>0</v>
      </c>
      <c r="AT360" s="2405"/>
    </row>
    <row r="361" spans="1:46" s="550" customFormat="1" ht="12.75" customHeight="1">
      <c r="A361" s="603"/>
      <c r="B361" s="611"/>
      <c r="C361" s="2439"/>
      <c r="D361" s="2439"/>
      <c r="E361" s="2439"/>
      <c r="F361" s="2439"/>
      <c r="G361" s="2439"/>
      <c r="H361" s="2439"/>
      <c r="I361" s="2439"/>
      <c r="J361" s="2439"/>
      <c r="K361" s="2439"/>
      <c r="L361" s="2439"/>
      <c r="M361" s="2439"/>
      <c r="N361" s="2439"/>
      <c r="O361" s="2439"/>
      <c r="P361" s="2439"/>
      <c r="Q361" s="2439"/>
      <c r="R361" s="2439"/>
      <c r="S361" s="2439"/>
      <c r="T361" s="2439"/>
      <c r="U361" s="2439"/>
      <c r="V361" s="2439"/>
      <c r="W361" s="2439"/>
      <c r="X361" s="2439"/>
      <c r="Y361" s="2439"/>
      <c r="Z361" s="2439"/>
      <c r="AA361" s="2439"/>
      <c r="AB361" s="2439"/>
      <c r="AC361" s="2439"/>
      <c r="AD361" s="2439"/>
      <c r="AE361" s="2439"/>
      <c r="AF361" s="2439"/>
      <c r="AG361" s="2439"/>
      <c r="AH361" s="2439"/>
      <c r="AI361" s="2439"/>
      <c r="AJ361" s="2439"/>
      <c r="AK361" s="603"/>
      <c r="AL361" s="603"/>
      <c r="AM361" s="603"/>
      <c r="AN361" s="597"/>
      <c r="AO361" s="695" t="s">
        <v>582</v>
      </c>
      <c r="AP361" s="696">
        <f>IF(C407="Yes",5,0)</f>
        <v>0</v>
      </c>
      <c r="AS361" s="539" t="s">
        <v>1879</v>
      </c>
    </row>
    <row r="362" spans="1:46" s="550" customFormat="1" ht="12.75" customHeight="1">
      <c r="A362" s="603"/>
      <c r="B362" s="611"/>
      <c r="C362" s="2533" t="s">
        <v>2231</v>
      </c>
      <c r="D362" s="2533"/>
      <c r="E362" s="2533"/>
      <c r="F362" s="2533"/>
      <c r="G362" s="2533"/>
      <c r="H362" s="2533"/>
      <c r="I362" s="2533"/>
      <c r="J362" s="2533"/>
      <c r="K362" s="2533"/>
      <c r="L362" s="2533"/>
      <c r="M362" s="2533"/>
      <c r="N362" s="2533"/>
      <c r="O362" s="2533"/>
      <c r="P362" s="2533"/>
      <c r="Q362" s="2533"/>
      <c r="R362" s="2533"/>
      <c r="S362" s="2533"/>
      <c r="T362" s="2533"/>
      <c r="U362" s="2533"/>
      <c r="V362" s="2533"/>
      <c r="W362" s="2533"/>
      <c r="X362" s="2533"/>
      <c r="Y362" s="2533"/>
      <c r="Z362" s="2533"/>
      <c r="AA362" s="2533"/>
      <c r="AB362" s="2533"/>
      <c r="AC362" s="2533"/>
      <c r="AD362" s="2533"/>
      <c r="AE362" s="2533"/>
      <c r="AF362" s="2533"/>
      <c r="AG362" s="2533"/>
      <c r="AH362" s="2533"/>
      <c r="AI362" s="2533"/>
      <c r="AJ362" s="2533"/>
      <c r="AK362" s="603"/>
      <c r="AL362" s="603"/>
      <c r="AM362" s="603"/>
      <c r="AN362" s="597"/>
      <c r="AO362" s="597"/>
      <c r="AP362" s="696">
        <f>IF(C409="Yes",3,0)</f>
        <v>0</v>
      </c>
      <c r="AS362" s="2405">
        <f>IF(AQ366=0,AQ375,AQ366)</f>
        <v>10</v>
      </c>
      <c r="AT362" s="2405"/>
    </row>
    <row r="363" spans="1:46" s="550" customFormat="1" ht="12.75" customHeight="1">
      <c r="A363" s="603"/>
      <c r="B363" s="611"/>
      <c r="C363" s="2533"/>
      <c r="D363" s="2533"/>
      <c r="E363" s="2533"/>
      <c r="F363" s="2533"/>
      <c r="G363" s="2533"/>
      <c r="H363" s="2533"/>
      <c r="I363" s="2533"/>
      <c r="J363" s="2533"/>
      <c r="K363" s="2533"/>
      <c r="L363" s="2533"/>
      <c r="M363" s="2533"/>
      <c r="N363" s="2533"/>
      <c r="O363" s="2533"/>
      <c r="P363" s="2533"/>
      <c r="Q363" s="2533"/>
      <c r="R363" s="2533"/>
      <c r="S363" s="2533"/>
      <c r="T363" s="2533"/>
      <c r="U363" s="2533"/>
      <c r="V363" s="2533"/>
      <c r="W363" s="2533"/>
      <c r="X363" s="2533"/>
      <c r="Y363" s="2533"/>
      <c r="Z363" s="2533"/>
      <c r="AA363" s="2533"/>
      <c r="AB363" s="2533"/>
      <c r="AC363" s="2533"/>
      <c r="AD363" s="2533"/>
      <c r="AE363" s="2533"/>
      <c r="AF363" s="2533"/>
      <c r="AG363" s="2533"/>
      <c r="AH363" s="2533"/>
      <c r="AI363" s="2533"/>
      <c r="AJ363" s="2533"/>
      <c r="AK363" s="603"/>
      <c r="AL363" s="603"/>
      <c r="AM363" s="603"/>
      <c r="AN363" s="597"/>
      <c r="AO363" s="695" t="s">
        <v>764</v>
      </c>
      <c r="AP363" s="696">
        <f>IF(C412="Yes",5,0)</f>
        <v>0</v>
      </c>
    </row>
    <row r="364" spans="1:46" s="550" customFormat="1" ht="12.75" customHeight="1">
      <c r="A364" s="603"/>
      <c r="B364" s="611"/>
      <c r="C364" s="2533"/>
      <c r="D364" s="2533"/>
      <c r="E364" s="2533"/>
      <c r="F364" s="2533"/>
      <c r="G364" s="2533"/>
      <c r="H364" s="2533"/>
      <c r="I364" s="2533"/>
      <c r="J364" s="2533"/>
      <c r="K364" s="2533"/>
      <c r="L364" s="2533"/>
      <c r="M364" s="2533"/>
      <c r="N364" s="2533"/>
      <c r="O364" s="2533"/>
      <c r="P364" s="2533"/>
      <c r="Q364" s="2533"/>
      <c r="R364" s="2533"/>
      <c r="S364" s="2533"/>
      <c r="T364" s="2533"/>
      <c r="U364" s="2533"/>
      <c r="V364" s="2533"/>
      <c r="W364" s="2533"/>
      <c r="X364" s="2533"/>
      <c r="Y364" s="2533"/>
      <c r="Z364" s="2533"/>
      <c r="AA364" s="2533"/>
      <c r="AB364" s="2533"/>
      <c r="AC364" s="2533"/>
      <c r="AD364" s="2533"/>
      <c r="AE364" s="2533"/>
      <c r="AF364" s="2533"/>
      <c r="AG364" s="2533"/>
      <c r="AH364" s="2533"/>
      <c r="AI364" s="2533"/>
      <c r="AJ364" s="2533"/>
      <c r="AK364" s="603"/>
      <c r="AL364" s="603"/>
      <c r="AM364" s="603"/>
      <c r="AN364" s="597"/>
      <c r="AO364" s="695" t="s">
        <v>585</v>
      </c>
      <c r="AP364" s="696">
        <f>IF(C421="Yes",5,0)</f>
        <v>0</v>
      </c>
    </row>
    <row r="365" spans="1:46" s="550" customFormat="1" ht="11.85" customHeight="1">
      <c r="A365" s="603"/>
      <c r="B365" s="611"/>
      <c r="C365" s="2533"/>
      <c r="D365" s="2533"/>
      <c r="E365" s="2533"/>
      <c r="F365" s="2533"/>
      <c r="G365" s="2533"/>
      <c r="H365" s="2533"/>
      <c r="I365" s="2533"/>
      <c r="J365" s="2533"/>
      <c r="K365" s="2533"/>
      <c r="L365" s="2533"/>
      <c r="M365" s="2533"/>
      <c r="N365" s="2533"/>
      <c r="O365" s="2533"/>
      <c r="P365" s="2533"/>
      <c r="Q365" s="2533"/>
      <c r="R365" s="2533"/>
      <c r="S365" s="2533"/>
      <c r="T365" s="2533"/>
      <c r="U365" s="2533"/>
      <c r="V365" s="2533"/>
      <c r="W365" s="2533"/>
      <c r="X365" s="2533"/>
      <c r="Y365" s="2533"/>
      <c r="Z365" s="2533"/>
      <c r="AA365" s="2533"/>
      <c r="AB365" s="2533"/>
      <c r="AC365" s="2533"/>
      <c r="AD365" s="2533"/>
      <c r="AE365" s="2533"/>
      <c r="AF365" s="2533"/>
      <c r="AG365" s="2533"/>
      <c r="AH365" s="2533"/>
      <c r="AI365" s="2533"/>
      <c r="AJ365" s="2533"/>
      <c r="AK365" s="603"/>
      <c r="AL365" s="603"/>
      <c r="AM365" s="603"/>
      <c r="AN365" s="597"/>
      <c r="AO365" s="697"/>
      <c r="AP365" s="698">
        <f>IF(C423="Yes",3,0)</f>
        <v>0</v>
      </c>
    </row>
    <row r="366" spans="1:46" s="550" customFormat="1" ht="12.6" customHeight="1">
      <c r="A366" s="603"/>
      <c r="B366" s="611"/>
      <c r="C366" s="2533"/>
      <c r="D366" s="2533"/>
      <c r="E366" s="2533"/>
      <c r="F366" s="2533"/>
      <c r="G366" s="2533"/>
      <c r="H366" s="2533"/>
      <c r="I366" s="2533"/>
      <c r="J366" s="2533"/>
      <c r="K366" s="2533"/>
      <c r="L366" s="2533"/>
      <c r="M366" s="2533"/>
      <c r="N366" s="2533"/>
      <c r="O366" s="2533"/>
      <c r="P366" s="2533"/>
      <c r="Q366" s="2533"/>
      <c r="R366" s="2533"/>
      <c r="S366" s="2533"/>
      <c r="T366" s="2533"/>
      <c r="U366" s="2533"/>
      <c r="V366" s="2533"/>
      <c r="W366" s="2533"/>
      <c r="X366" s="2533"/>
      <c r="Y366" s="2533"/>
      <c r="Z366" s="2533"/>
      <c r="AA366" s="2533"/>
      <c r="AB366" s="2533"/>
      <c r="AC366" s="2533"/>
      <c r="AD366" s="2533"/>
      <c r="AE366" s="2533"/>
      <c r="AF366" s="2533"/>
      <c r="AG366" s="2533"/>
      <c r="AH366" s="2533"/>
      <c r="AI366" s="2533"/>
      <c r="AJ366" s="2533"/>
      <c r="AK366" s="603"/>
      <c r="AL366" s="603"/>
      <c r="AM366" s="603"/>
      <c r="AN366" s="597"/>
      <c r="AO366" s="699" t="s">
        <v>227</v>
      </c>
      <c r="AP366" s="700">
        <f>SUM(AP357:AP365)</f>
        <v>10</v>
      </c>
      <c r="AQ366" s="2442">
        <f>IF(AP366&gt;0,AP366,0)</f>
        <v>10</v>
      </c>
      <c r="AR366" s="2442"/>
    </row>
    <row r="367" spans="1:46" s="550" customFormat="1" ht="12.75" customHeight="1">
      <c r="A367" s="603"/>
      <c r="B367" s="611"/>
      <c r="C367" s="2533"/>
      <c r="D367" s="2533"/>
      <c r="E367" s="2533"/>
      <c r="F367" s="2533"/>
      <c r="G367" s="2533"/>
      <c r="H367" s="2533"/>
      <c r="I367" s="2533"/>
      <c r="J367" s="2533"/>
      <c r="K367" s="2533"/>
      <c r="L367" s="2533"/>
      <c r="M367" s="2533"/>
      <c r="N367" s="2533"/>
      <c r="O367" s="2533"/>
      <c r="P367" s="2533"/>
      <c r="Q367" s="2533"/>
      <c r="R367" s="2533"/>
      <c r="S367" s="2533"/>
      <c r="T367" s="2533"/>
      <c r="U367" s="2533"/>
      <c r="V367" s="2533"/>
      <c r="W367" s="2533"/>
      <c r="X367" s="2533"/>
      <c r="Y367" s="2533"/>
      <c r="Z367" s="2533"/>
      <c r="AA367" s="2533"/>
      <c r="AB367" s="2533"/>
      <c r="AC367" s="2533"/>
      <c r="AD367" s="2533"/>
      <c r="AE367" s="2533"/>
      <c r="AF367" s="2533"/>
      <c r="AG367" s="2533"/>
      <c r="AH367" s="2533"/>
      <c r="AI367" s="2533"/>
      <c r="AJ367" s="2533"/>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9" t="s">
        <v>1459</v>
      </c>
      <c r="D369" s="2439"/>
      <c r="E369" s="2439"/>
      <c r="F369" s="2439"/>
      <c r="G369" s="2439"/>
      <c r="H369" s="2439"/>
      <c r="I369" s="2439"/>
      <c r="J369" s="2439"/>
      <c r="K369" s="2439"/>
      <c r="L369" s="2439"/>
      <c r="M369" s="2439"/>
      <c r="N369" s="2439"/>
      <c r="O369" s="2439"/>
      <c r="P369" s="2439"/>
      <c r="Q369" s="2439"/>
      <c r="R369" s="2439"/>
      <c r="S369" s="2439"/>
      <c r="T369" s="2439"/>
      <c r="U369" s="2439"/>
      <c r="V369" s="2439"/>
      <c r="W369" s="2439"/>
      <c r="X369" s="2439"/>
      <c r="Y369" s="2439"/>
      <c r="Z369" s="2439"/>
      <c r="AA369" s="2439"/>
      <c r="AB369" s="2439"/>
      <c r="AC369" s="2439"/>
      <c r="AD369" s="2439"/>
      <c r="AE369" s="2439"/>
      <c r="AF369" s="2439"/>
      <c r="AG369" s="2439"/>
      <c r="AH369" s="2439"/>
      <c r="AI369" s="2439"/>
      <c r="AJ369" s="2439"/>
      <c r="AK369" s="603"/>
      <c r="AL369" s="603"/>
      <c r="AM369" s="603"/>
      <c r="AN369" s="597"/>
      <c r="AO369" s="695" t="s">
        <v>457</v>
      </c>
      <c r="AP369" s="696">
        <f>IF(C442="Yes",5,0)</f>
        <v>0</v>
      </c>
    </row>
    <row r="370" spans="1:81" s="550" customFormat="1" ht="12.75" customHeight="1">
      <c r="A370" s="603"/>
      <c r="B370" s="611"/>
      <c r="C370" s="2439"/>
      <c r="D370" s="2439"/>
      <c r="E370" s="2439"/>
      <c r="F370" s="2439"/>
      <c r="G370" s="2439"/>
      <c r="H370" s="2439"/>
      <c r="I370" s="2439"/>
      <c r="J370" s="2439"/>
      <c r="K370" s="2439"/>
      <c r="L370" s="2439"/>
      <c r="M370" s="2439"/>
      <c r="N370" s="2439"/>
      <c r="O370" s="2439"/>
      <c r="P370" s="2439"/>
      <c r="Q370" s="2439"/>
      <c r="R370" s="2439"/>
      <c r="S370" s="2439"/>
      <c r="T370" s="2439"/>
      <c r="U370" s="2439"/>
      <c r="V370" s="2439"/>
      <c r="W370" s="2439"/>
      <c r="X370" s="2439"/>
      <c r="Y370" s="2439"/>
      <c r="Z370" s="2439"/>
      <c r="AA370" s="2439"/>
      <c r="AB370" s="2439"/>
      <c r="AC370" s="2439"/>
      <c r="AD370" s="2439"/>
      <c r="AE370" s="2439"/>
      <c r="AF370" s="2439"/>
      <c r="AG370" s="2439"/>
      <c r="AH370" s="2439"/>
      <c r="AI370" s="2439"/>
      <c r="AJ370" s="2439"/>
      <c r="AK370" s="603"/>
      <c r="AL370" s="603"/>
      <c r="AM370" s="603"/>
      <c r="AN370" s="597"/>
      <c r="AO370" s="695" t="s">
        <v>462</v>
      </c>
      <c r="AP370" s="696">
        <f>IF(C449="Yes",5,0)</f>
        <v>0</v>
      </c>
    </row>
    <row r="371" spans="1:81" s="550" customFormat="1" ht="68.099999999999994" customHeight="1">
      <c r="A371" s="603"/>
      <c r="B371" s="611"/>
      <c r="C371" s="2439"/>
      <c r="D371" s="2439"/>
      <c r="E371" s="2439"/>
      <c r="F371" s="2439"/>
      <c r="G371" s="2439"/>
      <c r="H371" s="2439"/>
      <c r="I371" s="2439"/>
      <c r="J371" s="2439"/>
      <c r="K371" s="2439"/>
      <c r="L371" s="2439"/>
      <c r="M371" s="2439"/>
      <c r="N371" s="2439"/>
      <c r="O371" s="2439"/>
      <c r="P371" s="2439"/>
      <c r="Q371" s="2439"/>
      <c r="R371" s="2439"/>
      <c r="S371" s="2439"/>
      <c r="T371" s="2439"/>
      <c r="U371" s="2439"/>
      <c r="V371" s="2439"/>
      <c r="W371" s="2439"/>
      <c r="X371" s="2439"/>
      <c r="Y371" s="2439"/>
      <c r="Z371" s="2439"/>
      <c r="AA371" s="2439"/>
      <c r="AB371" s="2439"/>
      <c r="AC371" s="2439"/>
      <c r="AD371" s="2439"/>
      <c r="AE371" s="2439"/>
      <c r="AF371" s="2439"/>
      <c r="AG371" s="2439"/>
      <c r="AH371" s="2439"/>
      <c r="AI371" s="2439"/>
      <c r="AJ371" s="2439"/>
      <c r="AK371" s="603"/>
      <c r="AL371" s="603"/>
      <c r="AM371" s="603"/>
      <c r="AN371" s="597"/>
      <c r="AO371" s="695" t="s">
        <v>647</v>
      </c>
      <c r="AP371" s="701">
        <f>IF(C453="Yes",5,0)</f>
        <v>0</v>
      </c>
    </row>
    <row r="372" spans="1:81" s="550" customFormat="1" ht="12.6"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40">
        <f>Application!DU802-U374</f>
        <v>301</v>
      </c>
      <c r="V373" s="2440"/>
      <c r="W373" s="2440"/>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41">
        <f>IF(Application!D211="SRO",Application!DU755,Application!AG756)</f>
        <v>0</v>
      </c>
      <c r="V374" s="2441"/>
      <c r="W374" s="2441"/>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2">
        <f>IF(AP375&gt;0,AP375,0)</f>
        <v>0</v>
      </c>
      <c r="AR375" s="2442"/>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33" t="s">
        <v>1461</v>
      </c>
      <c r="G377" s="2433"/>
      <c r="H377" s="2433"/>
      <c r="I377" s="2433"/>
      <c r="J377" s="2433"/>
      <c r="K377" s="2433"/>
      <c r="L377" s="2433"/>
      <c r="M377" s="2433"/>
      <c r="N377" s="2433"/>
      <c r="O377" s="2433"/>
      <c r="P377" s="2433"/>
      <c r="Q377" s="2433"/>
      <c r="R377" s="2433"/>
      <c r="S377" s="2433"/>
      <c r="T377" s="2433"/>
      <c r="U377" s="2433"/>
      <c r="V377" s="2433"/>
      <c r="W377" s="2433"/>
      <c r="X377" s="2433"/>
      <c r="Y377" s="2433"/>
      <c r="Z377" s="2433"/>
      <c r="AA377" s="2433"/>
      <c r="AB377" s="2433"/>
      <c r="AC377" s="2433"/>
      <c r="AD377" s="2433"/>
      <c r="AE377" s="2433"/>
      <c r="AF377" s="2433"/>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4"/>
      <c r="G378" s="2434"/>
      <c r="H378" s="2434"/>
      <c r="I378" s="2434"/>
      <c r="J378" s="2434"/>
      <c r="K378" s="2434"/>
      <c r="L378" s="2434"/>
      <c r="M378" s="2434"/>
      <c r="N378" s="2434"/>
      <c r="O378" s="2434"/>
      <c r="P378" s="2434"/>
      <c r="Q378" s="2434"/>
      <c r="R378" s="2434"/>
      <c r="S378" s="2434"/>
      <c r="T378" s="2434"/>
      <c r="U378" s="2434"/>
      <c r="V378" s="2434"/>
      <c r="W378" s="2434"/>
      <c r="X378" s="2434"/>
      <c r="Y378" s="2434"/>
      <c r="Z378" s="2434"/>
      <c r="AA378" s="2434"/>
      <c r="AB378" s="2434"/>
      <c r="AC378" s="2434"/>
      <c r="AD378" s="2434"/>
      <c r="AE378" s="2434"/>
      <c r="AF378" s="2434"/>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4"/>
      <c r="G379" s="2434"/>
      <c r="H379" s="2434"/>
      <c r="I379" s="2434"/>
      <c r="J379" s="2434"/>
      <c r="K379" s="2434"/>
      <c r="L379" s="2434"/>
      <c r="M379" s="2434"/>
      <c r="N379" s="2434"/>
      <c r="O379" s="2434"/>
      <c r="P379" s="2434"/>
      <c r="Q379" s="2434"/>
      <c r="R379" s="2434"/>
      <c r="S379" s="2434"/>
      <c r="T379" s="2434"/>
      <c r="U379" s="2434"/>
      <c r="V379" s="2434"/>
      <c r="W379" s="2434"/>
      <c r="X379" s="2434"/>
      <c r="Y379" s="2434"/>
      <c r="Z379" s="2434"/>
      <c r="AA379" s="2434"/>
      <c r="AB379" s="2434"/>
      <c r="AC379" s="2434"/>
      <c r="AD379" s="2434"/>
      <c r="AE379" s="2434"/>
      <c r="AF379" s="2434"/>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4"/>
      <c r="G380" s="2434"/>
      <c r="H380" s="2434"/>
      <c r="I380" s="2434"/>
      <c r="J380" s="2434"/>
      <c r="K380" s="2434"/>
      <c r="L380" s="2434"/>
      <c r="M380" s="2434"/>
      <c r="N380" s="2434"/>
      <c r="O380" s="2434"/>
      <c r="P380" s="2434"/>
      <c r="Q380" s="2434"/>
      <c r="R380" s="2434"/>
      <c r="S380" s="2434"/>
      <c r="T380" s="2434"/>
      <c r="U380" s="2434"/>
      <c r="V380" s="2434"/>
      <c r="W380" s="2434"/>
      <c r="X380" s="2434"/>
      <c r="Y380" s="2434"/>
      <c r="Z380" s="2434"/>
      <c r="AA380" s="2434"/>
      <c r="AB380" s="2434"/>
      <c r="AC380" s="2434"/>
      <c r="AD380" s="2434"/>
      <c r="AE380" s="2434"/>
      <c r="AF380" s="2434"/>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3" t="s">
        <v>546</v>
      </c>
      <c r="D381" s="2444"/>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5" t="s">
        <v>1463</v>
      </c>
      <c r="AG381" s="2445"/>
      <c r="AH381" s="2445"/>
      <c r="AI381" s="2445"/>
      <c r="AJ381" s="2445"/>
      <c r="AK381" s="2445"/>
      <c r="AL381" s="2446"/>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33" t="s">
        <v>1464</v>
      </c>
      <c r="G384" s="2433"/>
      <c r="H384" s="2433"/>
      <c r="I384" s="2433"/>
      <c r="J384" s="2433"/>
      <c r="K384" s="2433"/>
      <c r="L384" s="2433"/>
      <c r="M384" s="2433"/>
      <c r="N384" s="2433"/>
      <c r="O384" s="2433"/>
      <c r="P384" s="2433"/>
      <c r="Q384" s="2433"/>
      <c r="R384" s="2433"/>
      <c r="S384" s="2433"/>
      <c r="T384" s="2433"/>
      <c r="U384" s="2433"/>
      <c r="V384" s="2433"/>
      <c r="W384" s="2433"/>
      <c r="X384" s="2433"/>
      <c r="Y384" s="2433"/>
      <c r="Z384" s="2433"/>
      <c r="AA384" s="2433"/>
      <c r="AB384" s="2433"/>
      <c r="AC384" s="2433"/>
      <c r="AD384" s="2433"/>
      <c r="AE384" s="2433"/>
      <c r="AF384" s="2433"/>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4"/>
      <c r="G385" s="2434"/>
      <c r="H385" s="2434"/>
      <c r="I385" s="2434"/>
      <c r="J385" s="2434"/>
      <c r="K385" s="2434"/>
      <c r="L385" s="2434"/>
      <c r="M385" s="2434"/>
      <c r="N385" s="2434"/>
      <c r="O385" s="2434"/>
      <c r="P385" s="2434"/>
      <c r="Q385" s="2434"/>
      <c r="R385" s="2434"/>
      <c r="S385" s="2434"/>
      <c r="T385" s="2434"/>
      <c r="U385" s="2434"/>
      <c r="V385" s="2434"/>
      <c r="W385" s="2434"/>
      <c r="X385" s="2434"/>
      <c r="Y385" s="2434"/>
      <c r="Z385" s="2434"/>
      <c r="AA385" s="2434"/>
      <c r="AB385" s="2434"/>
      <c r="AC385" s="2434"/>
      <c r="AD385" s="2434"/>
      <c r="AE385" s="2434"/>
      <c r="AF385" s="2434"/>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4"/>
      <c r="G386" s="2434"/>
      <c r="H386" s="2434"/>
      <c r="I386" s="2434"/>
      <c r="J386" s="2434"/>
      <c r="K386" s="2434"/>
      <c r="L386" s="2434"/>
      <c r="M386" s="2434"/>
      <c r="N386" s="2434"/>
      <c r="O386" s="2434"/>
      <c r="P386" s="2434"/>
      <c r="Q386" s="2434"/>
      <c r="R386" s="2434"/>
      <c r="S386" s="2434"/>
      <c r="T386" s="2434"/>
      <c r="U386" s="2434"/>
      <c r="V386" s="2434"/>
      <c r="W386" s="2434"/>
      <c r="X386" s="2434"/>
      <c r="Y386" s="2434"/>
      <c r="Z386" s="2434"/>
      <c r="AA386" s="2434"/>
      <c r="AB386" s="2434"/>
      <c r="AC386" s="2434"/>
      <c r="AD386" s="2434"/>
      <c r="AE386" s="2434"/>
      <c r="AF386" s="2434"/>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4"/>
      <c r="G387" s="2434"/>
      <c r="H387" s="2434"/>
      <c r="I387" s="2434"/>
      <c r="J387" s="2434"/>
      <c r="K387" s="2434"/>
      <c r="L387" s="2434"/>
      <c r="M387" s="2434"/>
      <c r="N387" s="2434"/>
      <c r="O387" s="2434"/>
      <c r="P387" s="2434"/>
      <c r="Q387" s="2434"/>
      <c r="R387" s="2434"/>
      <c r="S387" s="2434"/>
      <c r="T387" s="2434"/>
      <c r="U387" s="2434"/>
      <c r="V387" s="2434"/>
      <c r="W387" s="2434"/>
      <c r="X387" s="2434"/>
      <c r="Y387" s="2434"/>
      <c r="Z387" s="2434"/>
      <c r="AA387" s="2434"/>
      <c r="AB387" s="2434"/>
      <c r="AC387" s="2434"/>
      <c r="AD387" s="2434"/>
      <c r="AE387" s="2434"/>
      <c r="AF387" s="2434"/>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4"/>
      <c r="G388" s="2434"/>
      <c r="H388" s="2434"/>
      <c r="I388" s="2434"/>
      <c r="J388" s="2434"/>
      <c r="K388" s="2434"/>
      <c r="L388" s="2434"/>
      <c r="M388" s="2434"/>
      <c r="N388" s="2434"/>
      <c r="O388" s="2434"/>
      <c r="P388" s="2434"/>
      <c r="Q388" s="2434"/>
      <c r="R388" s="2434"/>
      <c r="S388" s="2434"/>
      <c r="T388" s="2434"/>
      <c r="U388" s="2434"/>
      <c r="V388" s="2434"/>
      <c r="W388" s="2434"/>
      <c r="X388" s="2434"/>
      <c r="Y388" s="2434"/>
      <c r="Z388" s="2434"/>
      <c r="AA388" s="2434"/>
      <c r="AB388" s="2434"/>
      <c r="AC388" s="2434"/>
      <c r="AD388" s="2434"/>
      <c r="AE388" s="2434"/>
      <c r="AF388" s="2434"/>
      <c r="AL388" s="732"/>
      <c r="AN388" s="597"/>
      <c r="BS388" s="30"/>
      <c r="BT388" s="30"/>
      <c r="BU388" s="14"/>
      <c r="BV388" s="14"/>
      <c r="BW388" s="14"/>
      <c r="BX388" s="14"/>
      <c r="BY388" s="14"/>
      <c r="BZ388" s="14"/>
      <c r="CA388" s="14"/>
      <c r="CB388" s="14"/>
      <c r="CC388" s="14"/>
    </row>
    <row r="389" spans="1:81" s="550" customFormat="1" ht="12.75" customHeight="1">
      <c r="A389" s="536"/>
      <c r="B389" s="14"/>
      <c r="C389" s="2443" t="s">
        <v>546</v>
      </c>
      <c r="D389" s="2444"/>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5" t="s">
        <v>1463</v>
      </c>
      <c r="AG389" s="2445"/>
      <c r="AH389" s="2445"/>
      <c r="AI389" s="2445"/>
      <c r="AJ389" s="2445"/>
      <c r="AK389" s="2445"/>
      <c r="AL389" s="2446"/>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33" t="s">
        <v>1466</v>
      </c>
      <c r="G392" s="2433"/>
      <c r="H392" s="2433"/>
      <c r="I392" s="2433"/>
      <c r="J392" s="2433"/>
      <c r="K392" s="2433"/>
      <c r="L392" s="2433"/>
      <c r="M392" s="2433"/>
      <c r="N392" s="2433"/>
      <c r="O392" s="2433"/>
      <c r="P392" s="2433"/>
      <c r="Q392" s="2433"/>
      <c r="R392" s="2433"/>
      <c r="S392" s="2433"/>
      <c r="T392" s="2433"/>
      <c r="U392" s="2433"/>
      <c r="V392" s="2433"/>
      <c r="W392" s="2433"/>
      <c r="X392" s="2433"/>
      <c r="Y392" s="2433"/>
      <c r="Z392" s="2433"/>
      <c r="AA392" s="2433"/>
      <c r="AB392" s="2433"/>
      <c r="AC392" s="2433"/>
      <c r="AD392" s="2433"/>
      <c r="AE392" s="2433"/>
      <c r="AF392" s="2433"/>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4"/>
      <c r="G393" s="2434"/>
      <c r="H393" s="2434"/>
      <c r="I393" s="2434"/>
      <c r="J393" s="2434"/>
      <c r="K393" s="2434"/>
      <c r="L393" s="2434"/>
      <c r="M393" s="2434"/>
      <c r="N393" s="2434"/>
      <c r="O393" s="2434"/>
      <c r="P393" s="2434"/>
      <c r="Q393" s="2434"/>
      <c r="R393" s="2434"/>
      <c r="S393" s="2434"/>
      <c r="T393" s="2434"/>
      <c r="U393" s="2434"/>
      <c r="V393" s="2434"/>
      <c r="W393" s="2434"/>
      <c r="X393" s="2434"/>
      <c r="Y393" s="2434"/>
      <c r="Z393" s="2434"/>
      <c r="AA393" s="2434"/>
      <c r="AB393" s="2434"/>
      <c r="AC393" s="2434"/>
      <c r="AD393" s="2434"/>
      <c r="AE393" s="2434"/>
      <c r="AF393" s="2434"/>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4"/>
      <c r="G394" s="2434"/>
      <c r="H394" s="2434"/>
      <c r="I394" s="2434"/>
      <c r="J394" s="2434"/>
      <c r="K394" s="2434"/>
      <c r="L394" s="2434"/>
      <c r="M394" s="2434"/>
      <c r="N394" s="2434"/>
      <c r="O394" s="2434"/>
      <c r="P394" s="2434"/>
      <c r="Q394" s="2434"/>
      <c r="R394" s="2434"/>
      <c r="S394" s="2434"/>
      <c r="T394" s="2434"/>
      <c r="U394" s="2434"/>
      <c r="V394" s="2434"/>
      <c r="W394" s="2434"/>
      <c r="X394" s="2434"/>
      <c r="Y394" s="2434"/>
      <c r="Z394" s="2434"/>
      <c r="AA394" s="2434"/>
      <c r="AB394" s="2434"/>
      <c r="AC394" s="2434"/>
      <c r="AD394" s="2434"/>
      <c r="AE394" s="2434"/>
      <c r="AF394" s="2434"/>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4"/>
      <c r="G395" s="2434"/>
      <c r="H395" s="2434"/>
      <c r="I395" s="2434"/>
      <c r="J395" s="2434"/>
      <c r="K395" s="2434"/>
      <c r="L395" s="2434"/>
      <c r="M395" s="2434"/>
      <c r="N395" s="2434"/>
      <c r="O395" s="2434"/>
      <c r="P395" s="2434"/>
      <c r="Q395" s="2434"/>
      <c r="R395" s="2434"/>
      <c r="S395" s="2434"/>
      <c r="T395" s="2434"/>
      <c r="U395" s="2434"/>
      <c r="V395" s="2434"/>
      <c r="W395" s="2434"/>
      <c r="X395" s="2434"/>
      <c r="Y395" s="2434"/>
      <c r="Z395" s="2434"/>
      <c r="AA395" s="2434"/>
      <c r="AB395" s="2434"/>
      <c r="AC395" s="2434"/>
      <c r="AD395" s="2434"/>
      <c r="AE395" s="2434"/>
      <c r="AF395" s="2434"/>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4"/>
      <c r="G396" s="2434"/>
      <c r="H396" s="2434"/>
      <c r="I396" s="2434"/>
      <c r="J396" s="2434"/>
      <c r="K396" s="2434"/>
      <c r="L396" s="2434"/>
      <c r="M396" s="2434"/>
      <c r="N396" s="2434"/>
      <c r="O396" s="2434"/>
      <c r="P396" s="2434"/>
      <c r="Q396" s="2434"/>
      <c r="R396" s="2434"/>
      <c r="S396" s="2434"/>
      <c r="T396" s="2434"/>
      <c r="U396" s="2434"/>
      <c r="V396" s="2434"/>
      <c r="W396" s="2434"/>
      <c r="X396" s="2434"/>
      <c r="Y396" s="2434"/>
      <c r="Z396" s="2434"/>
      <c r="AA396" s="2434"/>
      <c r="AB396" s="2434"/>
      <c r="AC396" s="2434"/>
      <c r="AD396" s="2434"/>
      <c r="AE396" s="2434"/>
      <c r="AF396" s="2434"/>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3" t="s">
        <v>592</v>
      </c>
      <c r="D397" s="2444"/>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5" t="s">
        <v>1468</v>
      </c>
      <c r="AG397" s="2445"/>
      <c r="AH397" s="2445"/>
      <c r="AI397" s="2445"/>
      <c r="AJ397" s="2445"/>
      <c r="AK397" s="2445"/>
      <c r="AL397" s="2446"/>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3" t="s">
        <v>592</v>
      </c>
      <c r="D399" s="2444"/>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5" t="s">
        <v>1463</v>
      </c>
      <c r="AG399" s="2445"/>
      <c r="AH399" s="2445"/>
      <c r="AI399" s="2445"/>
      <c r="AJ399" s="2445"/>
      <c r="AK399" s="2445"/>
      <c r="AL399" s="2446"/>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33" t="s">
        <v>1472</v>
      </c>
      <c r="G403" s="2433"/>
      <c r="H403" s="2433"/>
      <c r="I403" s="2433"/>
      <c r="J403" s="2433"/>
      <c r="K403" s="2433"/>
      <c r="L403" s="2433"/>
      <c r="M403" s="2433"/>
      <c r="N403" s="2433"/>
      <c r="O403" s="2433"/>
      <c r="P403" s="2433"/>
      <c r="Q403" s="2433"/>
      <c r="R403" s="2433"/>
      <c r="S403" s="2433"/>
      <c r="T403" s="2433"/>
      <c r="U403" s="2433"/>
      <c r="V403" s="2433"/>
      <c r="W403" s="2433"/>
      <c r="X403" s="2433"/>
      <c r="Y403" s="2433"/>
      <c r="Z403" s="2433"/>
      <c r="AA403" s="2433"/>
      <c r="AB403" s="2433"/>
      <c r="AC403" s="2433"/>
      <c r="AD403" s="2433"/>
      <c r="AE403" s="2433"/>
      <c r="AF403" s="2433"/>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4"/>
      <c r="G404" s="2434"/>
      <c r="H404" s="2434"/>
      <c r="I404" s="2434"/>
      <c r="J404" s="2434"/>
      <c r="K404" s="2434"/>
      <c r="L404" s="2434"/>
      <c r="M404" s="2434"/>
      <c r="N404" s="2434"/>
      <c r="O404" s="2434"/>
      <c r="P404" s="2434"/>
      <c r="Q404" s="2434"/>
      <c r="R404" s="2434"/>
      <c r="S404" s="2434"/>
      <c r="T404" s="2434"/>
      <c r="U404" s="2434"/>
      <c r="V404" s="2434"/>
      <c r="W404" s="2434"/>
      <c r="X404" s="2434"/>
      <c r="Y404" s="2434"/>
      <c r="Z404" s="2434"/>
      <c r="AA404" s="2434"/>
      <c r="AB404" s="2434"/>
      <c r="AC404" s="2434"/>
      <c r="AD404" s="2434"/>
      <c r="AE404" s="2434"/>
      <c r="AF404" s="2434"/>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4"/>
      <c r="G405" s="2434"/>
      <c r="H405" s="2434"/>
      <c r="I405" s="2434"/>
      <c r="J405" s="2434"/>
      <c r="K405" s="2434"/>
      <c r="L405" s="2434"/>
      <c r="M405" s="2434"/>
      <c r="N405" s="2434"/>
      <c r="O405" s="2434"/>
      <c r="P405" s="2434"/>
      <c r="Q405" s="2434"/>
      <c r="R405" s="2434"/>
      <c r="S405" s="2434"/>
      <c r="T405" s="2434"/>
      <c r="U405" s="2434"/>
      <c r="V405" s="2434"/>
      <c r="W405" s="2434"/>
      <c r="X405" s="2434"/>
      <c r="Y405" s="2434"/>
      <c r="Z405" s="2434"/>
      <c r="AA405" s="2434"/>
      <c r="AB405" s="2434"/>
      <c r="AC405" s="2434"/>
      <c r="AD405" s="2434"/>
      <c r="AE405" s="2434"/>
      <c r="AF405" s="2434"/>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4"/>
      <c r="G406" s="2434"/>
      <c r="H406" s="2434"/>
      <c r="I406" s="2434"/>
      <c r="J406" s="2434"/>
      <c r="K406" s="2434"/>
      <c r="L406" s="2434"/>
      <c r="M406" s="2434"/>
      <c r="N406" s="2434"/>
      <c r="O406" s="2434"/>
      <c r="P406" s="2434"/>
      <c r="Q406" s="2434"/>
      <c r="R406" s="2434"/>
      <c r="S406" s="2434"/>
      <c r="T406" s="2434"/>
      <c r="U406" s="2434"/>
      <c r="V406" s="2434"/>
      <c r="W406" s="2434"/>
      <c r="X406" s="2434"/>
      <c r="Y406" s="2434"/>
      <c r="Z406" s="2434"/>
      <c r="AA406" s="2434"/>
      <c r="AB406" s="2434"/>
      <c r="AC406" s="2434"/>
      <c r="AD406" s="2434"/>
      <c r="AE406" s="2434"/>
      <c r="AF406" s="2434"/>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3" t="s">
        <v>592</v>
      </c>
      <c r="D407" s="2444"/>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5" t="s">
        <v>1463</v>
      </c>
      <c r="AG407" s="2445"/>
      <c r="AH407" s="2445"/>
      <c r="AI407" s="2445"/>
      <c r="AJ407" s="2445"/>
      <c r="AK407" s="2445"/>
      <c r="AL407" s="2446"/>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3" t="s">
        <v>592</v>
      </c>
      <c r="D409" s="2444"/>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5" t="s">
        <v>1475</v>
      </c>
      <c r="AG409" s="2445"/>
      <c r="AH409" s="2445"/>
      <c r="AI409" s="2445"/>
      <c r="AJ409" s="2445"/>
      <c r="AK409" s="2445"/>
      <c r="AL409" s="2446"/>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3" t="s">
        <v>592</v>
      </c>
      <c r="D412" s="2444"/>
      <c r="E412" s="715" t="s">
        <v>1476</v>
      </c>
      <c r="F412" s="2433" t="s">
        <v>1477</v>
      </c>
      <c r="G412" s="2433"/>
      <c r="H412" s="2433"/>
      <c r="I412" s="2433"/>
      <c r="J412" s="2433"/>
      <c r="K412" s="2433"/>
      <c r="L412" s="2433"/>
      <c r="M412" s="2433"/>
      <c r="N412" s="2433"/>
      <c r="O412" s="2433"/>
      <c r="P412" s="2433"/>
      <c r="Q412" s="2433"/>
      <c r="R412" s="2433"/>
      <c r="S412" s="2433"/>
      <c r="T412" s="2433"/>
      <c r="U412" s="2433"/>
      <c r="V412" s="2433"/>
      <c r="W412" s="2433"/>
      <c r="X412" s="2433"/>
      <c r="Y412" s="2433"/>
      <c r="Z412" s="2433"/>
      <c r="AA412" s="2433"/>
      <c r="AB412" s="2433"/>
      <c r="AC412" s="2433"/>
      <c r="AD412" s="2433"/>
      <c r="AE412" s="2433"/>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4"/>
      <c r="G413" s="2434"/>
      <c r="H413" s="2434"/>
      <c r="I413" s="2434"/>
      <c r="J413" s="2434"/>
      <c r="K413" s="2434"/>
      <c r="L413" s="2434"/>
      <c r="M413" s="2434"/>
      <c r="N413" s="2434"/>
      <c r="O413" s="2434"/>
      <c r="P413" s="2434"/>
      <c r="Q413" s="2434"/>
      <c r="R413" s="2434"/>
      <c r="S413" s="2434"/>
      <c r="T413" s="2434"/>
      <c r="U413" s="2434"/>
      <c r="V413" s="2434"/>
      <c r="W413" s="2434"/>
      <c r="X413" s="2434"/>
      <c r="Y413" s="2434"/>
      <c r="Z413" s="2434"/>
      <c r="AA413" s="2434"/>
      <c r="AB413" s="2434"/>
      <c r="AC413" s="2434"/>
      <c r="AD413" s="2434"/>
      <c r="AE413" s="2434"/>
      <c r="AF413" s="2523" t="s">
        <v>1463</v>
      </c>
      <c r="AG413" s="2523"/>
      <c r="AH413" s="2523"/>
      <c r="AI413" s="2523"/>
      <c r="AJ413" s="2523"/>
      <c r="AK413" s="2523"/>
      <c r="AL413" s="2532"/>
      <c r="AM413" s="570"/>
      <c r="AN413" s="597"/>
      <c r="BS413" s="570"/>
      <c r="BT413" s="570"/>
      <c r="BY413" s="570"/>
      <c r="BZ413" s="570"/>
      <c r="CA413" s="570"/>
      <c r="CB413" s="570"/>
      <c r="CC413" s="570"/>
    </row>
    <row r="414" spans="1:81" s="550" customFormat="1" ht="12.75" customHeight="1">
      <c r="A414" s="536"/>
      <c r="B414" s="14"/>
      <c r="C414" s="731"/>
      <c r="D414" s="14"/>
      <c r="E414" s="691"/>
      <c r="F414" s="2434"/>
      <c r="G414" s="2434"/>
      <c r="H414" s="2434"/>
      <c r="I414" s="2434"/>
      <c r="J414" s="2434"/>
      <c r="K414" s="2434"/>
      <c r="L414" s="2434"/>
      <c r="M414" s="2434"/>
      <c r="N414" s="2434"/>
      <c r="O414" s="2434"/>
      <c r="P414" s="2434"/>
      <c r="Q414" s="2434"/>
      <c r="R414" s="2434"/>
      <c r="S414" s="2434"/>
      <c r="T414" s="2434"/>
      <c r="U414" s="2434"/>
      <c r="V414" s="2434"/>
      <c r="W414" s="2434"/>
      <c r="X414" s="2434"/>
      <c r="Y414" s="2434"/>
      <c r="Z414" s="2434"/>
      <c r="AA414" s="2434"/>
      <c r="AB414" s="2434"/>
      <c r="AC414" s="2434"/>
      <c r="AD414" s="2434"/>
      <c r="AE414" s="2434"/>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5"/>
      <c r="G415" s="2435"/>
      <c r="H415" s="2435"/>
      <c r="I415" s="2435"/>
      <c r="J415" s="2435"/>
      <c r="K415" s="2435"/>
      <c r="L415" s="2435"/>
      <c r="M415" s="2435"/>
      <c r="N415" s="2435"/>
      <c r="O415" s="2435"/>
      <c r="P415" s="2435"/>
      <c r="Q415" s="2435"/>
      <c r="R415" s="2435"/>
      <c r="S415" s="2435"/>
      <c r="T415" s="2435"/>
      <c r="U415" s="2435"/>
      <c r="V415" s="2435"/>
      <c r="W415" s="2435"/>
      <c r="X415" s="2435"/>
      <c r="Y415" s="2435"/>
      <c r="Z415" s="2435"/>
      <c r="AA415" s="2435"/>
      <c r="AB415" s="2435"/>
      <c r="AC415" s="2435"/>
      <c r="AD415" s="2435"/>
      <c r="AE415" s="2435"/>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33" t="s">
        <v>1479</v>
      </c>
      <c r="G417" s="2433"/>
      <c r="H417" s="2433"/>
      <c r="I417" s="2433"/>
      <c r="J417" s="2433"/>
      <c r="K417" s="2433"/>
      <c r="L417" s="2433"/>
      <c r="M417" s="2433"/>
      <c r="N417" s="2433"/>
      <c r="O417" s="2433"/>
      <c r="P417" s="2433"/>
      <c r="Q417" s="2433"/>
      <c r="R417" s="2433"/>
      <c r="S417" s="2433"/>
      <c r="T417" s="2433"/>
      <c r="U417" s="2433"/>
      <c r="V417" s="2433"/>
      <c r="W417" s="2433"/>
      <c r="X417" s="2433"/>
      <c r="Y417" s="2433"/>
      <c r="Z417" s="2433"/>
      <c r="AA417" s="2433"/>
      <c r="AB417" s="2433"/>
      <c r="AC417" s="2433"/>
      <c r="AD417" s="2433"/>
      <c r="AE417" s="2433"/>
      <c r="AF417" s="747"/>
      <c r="AG417" s="747"/>
      <c r="AH417" s="747"/>
      <c r="AI417" s="747"/>
      <c r="AJ417" s="747"/>
      <c r="AK417" s="747"/>
      <c r="AL417" s="748"/>
      <c r="AM417" s="570"/>
    </row>
    <row r="418" spans="1:55">
      <c r="A418" s="536"/>
      <c r="C418" s="731"/>
      <c r="E418" s="691"/>
      <c r="F418" s="2434"/>
      <c r="G418" s="2434"/>
      <c r="H418" s="2434"/>
      <c r="I418" s="2434"/>
      <c r="J418" s="2434"/>
      <c r="K418" s="2434"/>
      <c r="L418" s="2434"/>
      <c r="M418" s="2434"/>
      <c r="N418" s="2434"/>
      <c r="O418" s="2434"/>
      <c r="P418" s="2434"/>
      <c r="Q418" s="2434"/>
      <c r="R418" s="2434"/>
      <c r="S418" s="2434"/>
      <c r="T418" s="2434"/>
      <c r="U418" s="2434"/>
      <c r="V418" s="2434"/>
      <c r="W418" s="2434"/>
      <c r="X418" s="2434"/>
      <c r="Y418" s="2434"/>
      <c r="Z418" s="2434"/>
      <c r="AA418" s="2434"/>
      <c r="AB418" s="2434"/>
      <c r="AC418" s="2434"/>
      <c r="AD418" s="2434"/>
      <c r="AE418" s="2434"/>
      <c r="AF418" s="539"/>
      <c r="AG418" s="536"/>
      <c r="AH418" s="550"/>
      <c r="AI418" s="550"/>
      <c r="AJ418" s="550"/>
      <c r="AK418" s="550"/>
      <c r="AL418" s="732"/>
      <c r="AM418" s="570"/>
    </row>
    <row r="419" spans="1:55" s="550" customFormat="1" ht="12.75" customHeight="1">
      <c r="A419" s="536"/>
      <c r="B419" s="14"/>
      <c r="C419" s="731"/>
      <c r="D419" s="14"/>
      <c r="E419" s="691"/>
      <c r="F419" s="2434"/>
      <c r="G419" s="2434"/>
      <c r="H419" s="2434"/>
      <c r="I419" s="2434"/>
      <c r="J419" s="2434"/>
      <c r="K419" s="2434"/>
      <c r="L419" s="2434"/>
      <c r="M419" s="2434"/>
      <c r="N419" s="2434"/>
      <c r="O419" s="2434"/>
      <c r="P419" s="2434"/>
      <c r="Q419" s="2434"/>
      <c r="R419" s="2434"/>
      <c r="S419" s="2434"/>
      <c r="T419" s="2434"/>
      <c r="U419" s="2434"/>
      <c r="V419" s="2434"/>
      <c r="W419" s="2434"/>
      <c r="X419" s="2434"/>
      <c r="Y419" s="2434"/>
      <c r="Z419" s="2434"/>
      <c r="AA419" s="2434"/>
      <c r="AB419" s="2434"/>
      <c r="AC419" s="2434"/>
      <c r="AD419" s="2434"/>
      <c r="AE419" s="2434"/>
      <c r="AL419" s="732"/>
      <c r="AM419" s="570"/>
      <c r="AN419" s="597"/>
    </row>
    <row r="420" spans="1:55" s="550" customFormat="1" ht="12.75" customHeight="1">
      <c r="A420" s="536"/>
      <c r="B420" s="14"/>
      <c r="C420" s="739"/>
      <c r="F420" s="2434"/>
      <c r="G420" s="2434"/>
      <c r="H420" s="2434"/>
      <c r="I420" s="2434"/>
      <c r="J420" s="2434"/>
      <c r="K420" s="2434"/>
      <c r="L420" s="2434"/>
      <c r="M420" s="2434"/>
      <c r="N420" s="2434"/>
      <c r="O420" s="2434"/>
      <c r="P420" s="2434"/>
      <c r="Q420" s="2434"/>
      <c r="R420" s="2434"/>
      <c r="S420" s="2434"/>
      <c r="T420" s="2434"/>
      <c r="U420" s="2434"/>
      <c r="V420" s="2434"/>
      <c r="W420" s="2434"/>
      <c r="X420" s="2434"/>
      <c r="Y420" s="2434"/>
      <c r="Z420" s="2434"/>
      <c r="AA420" s="2434"/>
      <c r="AB420" s="2434"/>
      <c r="AC420" s="2434"/>
      <c r="AD420" s="2434"/>
      <c r="AE420" s="2434"/>
      <c r="AL420" s="732"/>
      <c r="AM420" s="570"/>
      <c r="AN420" s="597"/>
    </row>
    <row r="421" spans="1:55" s="550" customFormat="1" ht="12.75" customHeight="1">
      <c r="A421" s="536"/>
      <c r="B421" s="14"/>
      <c r="C421" s="2443" t="s">
        <v>592</v>
      </c>
      <c r="D421" s="2444"/>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3" t="s">
        <v>1463</v>
      </c>
      <c r="AG421" s="2523"/>
      <c r="AH421" s="2523"/>
      <c r="AI421" s="2523"/>
      <c r="AJ421" s="2523"/>
      <c r="AK421" s="2523"/>
      <c r="AL421" s="2532"/>
      <c r="AM421" s="570"/>
      <c r="AN421" s="597"/>
    </row>
    <row r="422" spans="1:55" s="550" customFormat="1" ht="12.75" customHeight="1">
      <c r="A422" s="536"/>
      <c r="B422" s="14"/>
      <c r="C422" s="739"/>
      <c r="AL422" s="732"/>
      <c r="AM422" s="570"/>
      <c r="AN422" s="597"/>
    </row>
    <row r="423" spans="1:55" s="550" customFormat="1" ht="12.75" customHeight="1">
      <c r="A423" s="536"/>
      <c r="B423" s="14"/>
      <c r="C423" s="2443" t="s">
        <v>592</v>
      </c>
      <c r="D423" s="2444"/>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3" t="s">
        <v>1475</v>
      </c>
      <c r="AG423" s="2523"/>
      <c r="AH423" s="2523"/>
      <c r="AI423" s="2523"/>
      <c r="AJ423" s="2523"/>
      <c r="AK423" s="2523"/>
      <c r="AL423" s="2532"/>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33" t="s">
        <v>1483</v>
      </c>
      <c r="G427" s="2433"/>
      <c r="H427" s="2433"/>
      <c r="I427" s="2433"/>
      <c r="J427" s="2433"/>
      <c r="K427" s="2433"/>
      <c r="L427" s="2433"/>
      <c r="M427" s="2433"/>
      <c r="N427" s="2433"/>
      <c r="O427" s="2433"/>
      <c r="P427" s="2433"/>
      <c r="Q427" s="2433"/>
      <c r="R427" s="2433"/>
      <c r="S427" s="2433"/>
      <c r="T427" s="2433"/>
      <c r="U427" s="2433"/>
      <c r="V427" s="2433"/>
      <c r="W427" s="2433"/>
      <c r="X427" s="2433"/>
      <c r="Y427" s="2433"/>
      <c r="Z427" s="2433"/>
      <c r="AA427" s="2433"/>
      <c r="AB427" s="2433"/>
      <c r="AC427" s="2433"/>
      <c r="AD427" s="2433"/>
      <c r="AE427" s="2433"/>
      <c r="AF427" s="714"/>
      <c r="AG427" s="714"/>
      <c r="AH427" s="714"/>
      <c r="AI427" s="714"/>
      <c r="AJ427" s="714"/>
      <c r="AK427" s="714"/>
      <c r="AL427" s="745"/>
      <c r="AM427" s="570"/>
      <c r="AN427" s="597"/>
    </row>
    <row r="428" spans="1:55" s="550" customFormat="1" ht="12.75" customHeight="1">
      <c r="A428" s="536"/>
      <c r="B428" s="14"/>
      <c r="C428" s="731"/>
      <c r="D428" s="14"/>
      <c r="E428" s="691"/>
      <c r="F428" s="2434"/>
      <c r="G428" s="2434"/>
      <c r="H428" s="2434"/>
      <c r="I428" s="2434"/>
      <c r="J428" s="2434"/>
      <c r="K428" s="2434"/>
      <c r="L428" s="2434"/>
      <c r="M428" s="2434"/>
      <c r="N428" s="2434"/>
      <c r="O428" s="2434"/>
      <c r="P428" s="2434"/>
      <c r="Q428" s="2434"/>
      <c r="R428" s="2434"/>
      <c r="S428" s="2434"/>
      <c r="T428" s="2434"/>
      <c r="U428" s="2434"/>
      <c r="V428" s="2434"/>
      <c r="W428" s="2434"/>
      <c r="X428" s="2434"/>
      <c r="Y428" s="2434"/>
      <c r="Z428" s="2434"/>
      <c r="AA428" s="2434"/>
      <c r="AB428" s="2434"/>
      <c r="AC428" s="2434"/>
      <c r="AD428" s="2434"/>
      <c r="AE428" s="2434"/>
      <c r="AF428" s="539"/>
      <c r="AG428" s="536"/>
      <c r="AL428" s="732"/>
      <c r="AM428" s="570"/>
      <c r="AN428" s="597"/>
    </row>
    <row r="429" spans="1:55" s="550" customFormat="1" ht="12.6" customHeight="1">
      <c r="A429" s="536"/>
      <c r="B429" s="14"/>
      <c r="C429" s="731"/>
      <c r="D429" s="14"/>
      <c r="E429" s="691"/>
      <c r="F429" s="2434"/>
      <c r="G429" s="2434"/>
      <c r="H429" s="2434"/>
      <c r="I429" s="2434"/>
      <c r="J429" s="2434"/>
      <c r="K429" s="2434"/>
      <c r="L429" s="2434"/>
      <c r="M429" s="2434"/>
      <c r="N429" s="2434"/>
      <c r="O429" s="2434"/>
      <c r="P429" s="2434"/>
      <c r="Q429" s="2434"/>
      <c r="R429" s="2434"/>
      <c r="S429" s="2434"/>
      <c r="T429" s="2434"/>
      <c r="U429" s="2434"/>
      <c r="V429" s="2434"/>
      <c r="W429" s="2434"/>
      <c r="X429" s="2434"/>
      <c r="Y429" s="2434"/>
      <c r="Z429" s="2434"/>
      <c r="AA429" s="2434"/>
      <c r="AB429" s="2434"/>
      <c r="AC429" s="2434"/>
      <c r="AD429" s="2434"/>
      <c r="AE429" s="2434"/>
      <c r="AL429" s="732"/>
      <c r="AM429" s="570"/>
      <c r="AN429" s="597"/>
    </row>
    <row r="430" spans="1:55" s="550" customFormat="1" ht="12.75" customHeight="1">
      <c r="A430" s="536"/>
      <c r="B430" s="14"/>
      <c r="C430" s="2443" t="s">
        <v>592</v>
      </c>
      <c r="D430" s="2444"/>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3" t="s">
        <v>1463</v>
      </c>
      <c r="AG430" s="2523"/>
      <c r="AH430" s="2523"/>
      <c r="AI430" s="2523"/>
      <c r="AJ430" s="2523"/>
      <c r="AK430" s="2523"/>
      <c r="AL430" s="2532"/>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35" customHeight="1">
      <c r="A433" s="536"/>
      <c r="C433" s="746"/>
      <c r="D433" s="747"/>
      <c r="E433" s="715" t="s">
        <v>1485</v>
      </c>
      <c r="F433" s="2433" t="s">
        <v>1486</v>
      </c>
      <c r="G433" s="2433"/>
      <c r="H433" s="2433"/>
      <c r="I433" s="2433"/>
      <c r="J433" s="2433"/>
      <c r="K433" s="2433"/>
      <c r="L433" s="2433"/>
      <c r="M433" s="2433"/>
      <c r="N433" s="2433"/>
      <c r="O433" s="2433"/>
      <c r="P433" s="2433"/>
      <c r="Q433" s="2433"/>
      <c r="R433" s="2433"/>
      <c r="S433" s="2433"/>
      <c r="T433" s="2433"/>
      <c r="U433" s="2433"/>
      <c r="V433" s="2433"/>
      <c r="W433" s="2433"/>
      <c r="X433" s="2433"/>
      <c r="Y433" s="2433"/>
      <c r="Z433" s="2433"/>
      <c r="AA433" s="2433"/>
      <c r="AB433" s="2433"/>
      <c r="AC433" s="2433"/>
      <c r="AD433" s="2433"/>
      <c r="AE433" s="2433"/>
      <c r="AF433" s="747"/>
      <c r="AG433" s="747"/>
      <c r="AH433" s="747"/>
      <c r="AI433" s="747"/>
      <c r="AJ433" s="747"/>
      <c r="AK433" s="747"/>
      <c r="AL433" s="748"/>
      <c r="AM433" s="570"/>
      <c r="AO433" s="550"/>
      <c r="AP433" s="550"/>
      <c r="BD433" s="14"/>
      <c r="BE433" s="14"/>
      <c r="BF433" s="14"/>
      <c r="BG433" s="14"/>
      <c r="BH433" s="14"/>
    </row>
    <row r="434" spans="1:60">
      <c r="A434" s="536"/>
      <c r="C434" s="731"/>
      <c r="E434" s="691"/>
      <c r="F434" s="2434"/>
      <c r="G434" s="2434"/>
      <c r="H434" s="2434"/>
      <c r="I434" s="2434"/>
      <c r="J434" s="2434"/>
      <c r="K434" s="2434"/>
      <c r="L434" s="2434"/>
      <c r="M434" s="2434"/>
      <c r="N434" s="2434"/>
      <c r="O434" s="2434"/>
      <c r="P434" s="2434"/>
      <c r="Q434" s="2434"/>
      <c r="R434" s="2434"/>
      <c r="S434" s="2434"/>
      <c r="T434" s="2434"/>
      <c r="U434" s="2434"/>
      <c r="V434" s="2434"/>
      <c r="W434" s="2434"/>
      <c r="X434" s="2434"/>
      <c r="Y434" s="2434"/>
      <c r="Z434" s="2434"/>
      <c r="AA434" s="2434"/>
      <c r="AB434" s="2434"/>
      <c r="AC434" s="2434"/>
      <c r="AD434" s="2434"/>
      <c r="AE434" s="2434"/>
      <c r="AF434" s="594"/>
      <c r="AG434" s="594"/>
      <c r="AH434" s="594"/>
      <c r="AI434" s="594"/>
      <c r="AJ434" s="594"/>
      <c r="AK434" s="594"/>
      <c r="AL434" s="750"/>
      <c r="AM434" s="570"/>
      <c r="AO434" s="550"/>
      <c r="AP434" s="550"/>
    </row>
    <row r="435" spans="1:60" s="550" customFormat="1" ht="12.75" customHeight="1">
      <c r="A435" s="536"/>
      <c r="B435" s="14"/>
      <c r="C435" s="731"/>
      <c r="D435" s="14"/>
      <c r="E435" s="691"/>
      <c r="F435" s="2434"/>
      <c r="G435" s="2434"/>
      <c r="H435" s="2434"/>
      <c r="I435" s="2434"/>
      <c r="J435" s="2434"/>
      <c r="K435" s="2434"/>
      <c r="L435" s="2434"/>
      <c r="M435" s="2434"/>
      <c r="N435" s="2434"/>
      <c r="O435" s="2434"/>
      <c r="P435" s="2434"/>
      <c r="Q435" s="2434"/>
      <c r="R435" s="2434"/>
      <c r="S435" s="2434"/>
      <c r="T435" s="2434"/>
      <c r="U435" s="2434"/>
      <c r="V435" s="2434"/>
      <c r="W435" s="2434"/>
      <c r="X435" s="2434"/>
      <c r="Y435" s="2434"/>
      <c r="Z435" s="2434"/>
      <c r="AA435" s="2434"/>
      <c r="AB435" s="2434"/>
      <c r="AC435" s="2434"/>
      <c r="AD435" s="2434"/>
      <c r="AE435" s="2434"/>
      <c r="AF435" s="594"/>
      <c r="AG435" s="594"/>
      <c r="AH435" s="594"/>
      <c r="AI435" s="594"/>
      <c r="AJ435" s="594"/>
      <c r="AK435" s="594"/>
      <c r="AL435" s="750"/>
      <c r="AM435" s="570"/>
      <c r="AN435" s="597"/>
    </row>
    <row r="436" spans="1:60" s="550" customFormat="1" ht="12.75" customHeight="1">
      <c r="A436" s="536"/>
      <c r="B436" s="14"/>
      <c r="C436" s="751"/>
      <c r="D436" s="730"/>
      <c r="E436" s="719"/>
      <c r="F436" s="2434"/>
      <c r="G436" s="2434"/>
      <c r="H436" s="2434"/>
      <c r="I436" s="2434"/>
      <c r="J436" s="2434"/>
      <c r="K436" s="2434"/>
      <c r="L436" s="2434"/>
      <c r="M436" s="2434"/>
      <c r="N436" s="2434"/>
      <c r="O436" s="2434"/>
      <c r="P436" s="2434"/>
      <c r="Q436" s="2434"/>
      <c r="R436" s="2434"/>
      <c r="S436" s="2434"/>
      <c r="T436" s="2434"/>
      <c r="U436" s="2434"/>
      <c r="V436" s="2434"/>
      <c r="W436" s="2434"/>
      <c r="X436" s="2434"/>
      <c r="Y436" s="2434"/>
      <c r="Z436" s="2434"/>
      <c r="AA436" s="2434"/>
      <c r="AB436" s="2434"/>
      <c r="AC436" s="2434"/>
      <c r="AD436" s="2434"/>
      <c r="AE436" s="2434"/>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4"/>
      <c r="G437" s="2434"/>
      <c r="H437" s="2434"/>
      <c r="I437" s="2434"/>
      <c r="J437" s="2434"/>
      <c r="K437" s="2434"/>
      <c r="L437" s="2434"/>
      <c r="M437" s="2434"/>
      <c r="N437" s="2434"/>
      <c r="O437" s="2434"/>
      <c r="P437" s="2434"/>
      <c r="Q437" s="2434"/>
      <c r="R437" s="2434"/>
      <c r="S437" s="2434"/>
      <c r="T437" s="2434"/>
      <c r="U437" s="2434"/>
      <c r="V437" s="2434"/>
      <c r="W437" s="2434"/>
      <c r="X437" s="2434"/>
      <c r="Y437" s="2434"/>
      <c r="Z437" s="2434"/>
      <c r="AA437" s="2434"/>
      <c r="AB437" s="2434"/>
      <c r="AC437" s="2434"/>
      <c r="AD437" s="2434"/>
      <c r="AE437" s="2434"/>
      <c r="AF437" s="594"/>
      <c r="AG437" s="594"/>
      <c r="AH437" s="594"/>
      <c r="AI437" s="594"/>
      <c r="AJ437" s="594"/>
      <c r="AK437" s="594"/>
      <c r="AL437" s="750"/>
      <c r="AM437" s="570"/>
      <c r="AN437" s="597"/>
    </row>
    <row r="438" spans="1:60" s="550" customFormat="1" ht="12.75" customHeight="1">
      <c r="A438" s="536"/>
      <c r="B438" s="14"/>
      <c r="C438" s="751"/>
      <c r="D438" s="730"/>
      <c r="E438" s="719"/>
      <c r="F438" s="2434"/>
      <c r="G438" s="2434"/>
      <c r="H438" s="2434"/>
      <c r="I438" s="2434"/>
      <c r="J438" s="2434"/>
      <c r="K438" s="2434"/>
      <c r="L438" s="2434"/>
      <c r="M438" s="2434"/>
      <c r="N438" s="2434"/>
      <c r="O438" s="2434"/>
      <c r="P438" s="2434"/>
      <c r="Q438" s="2434"/>
      <c r="R438" s="2434"/>
      <c r="S438" s="2434"/>
      <c r="T438" s="2434"/>
      <c r="U438" s="2434"/>
      <c r="V438" s="2434"/>
      <c r="W438" s="2434"/>
      <c r="X438" s="2434"/>
      <c r="Y438" s="2434"/>
      <c r="Z438" s="2434"/>
      <c r="AA438" s="2434"/>
      <c r="AB438" s="2434"/>
      <c r="AC438" s="2434"/>
      <c r="AD438" s="2434"/>
      <c r="AE438" s="2434"/>
      <c r="AF438" s="594"/>
      <c r="AG438" s="594"/>
      <c r="AH438" s="594"/>
      <c r="AI438" s="594"/>
      <c r="AJ438" s="594"/>
      <c r="AK438" s="594"/>
      <c r="AL438" s="750"/>
      <c r="AM438" s="570"/>
      <c r="AN438" s="597"/>
    </row>
    <row r="439" spans="1:60" s="550" customFormat="1" ht="12.75" customHeight="1">
      <c r="A439" s="536"/>
      <c r="B439" s="14"/>
      <c r="C439" s="751"/>
      <c r="D439" s="730"/>
      <c r="E439" s="719"/>
      <c r="F439" s="2434"/>
      <c r="G439" s="2434"/>
      <c r="H439" s="2434"/>
      <c r="I439" s="2434"/>
      <c r="J439" s="2434"/>
      <c r="K439" s="2434"/>
      <c r="L439" s="2434"/>
      <c r="M439" s="2434"/>
      <c r="N439" s="2434"/>
      <c r="O439" s="2434"/>
      <c r="P439" s="2434"/>
      <c r="Q439" s="2434"/>
      <c r="R439" s="2434"/>
      <c r="S439" s="2434"/>
      <c r="T439" s="2434"/>
      <c r="U439" s="2434"/>
      <c r="V439" s="2434"/>
      <c r="W439" s="2434"/>
      <c r="X439" s="2434"/>
      <c r="Y439" s="2434"/>
      <c r="Z439" s="2434"/>
      <c r="AA439" s="2434"/>
      <c r="AB439" s="2434"/>
      <c r="AC439" s="2434"/>
      <c r="AD439" s="2434"/>
      <c r="AE439" s="2434"/>
      <c r="AF439" s="594"/>
      <c r="AG439" s="594"/>
      <c r="AH439" s="594"/>
      <c r="AI439" s="594"/>
      <c r="AJ439" s="594"/>
      <c r="AK439" s="594"/>
      <c r="AL439" s="750"/>
      <c r="AM439" s="570"/>
      <c r="AN439" s="597"/>
    </row>
    <row r="440" spans="1:60" s="550" customFormat="1" ht="12.75" customHeight="1">
      <c r="A440" s="536"/>
      <c r="B440" s="14"/>
      <c r="C440" s="751"/>
      <c r="D440" s="730"/>
      <c r="E440" s="719"/>
      <c r="F440" s="2434"/>
      <c r="G440" s="2434"/>
      <c r="H440" s="2434"/>
      <c r="I440" s="2434"/>
      <c r="J440" s="2434"/>
      <c r="K440" s="2434"/>
      <c r="L440" s="2434"/>
      <c r="M440" s="2434"/>
      <c r="N440" s="2434"/>
      <c r="O440" s="2434"/>
      <c r="P440" s="2434"/>
      <c r="Q440" s="2434"/>
      <c r="R440" s="2434"/>
      <c r="S440" s="2434"/>
      <c r="T440" s="2434"/>
      <c r="U440" s="2434"/>
      <c r="V440" s="2434"/>
      <c r="W440" s="2434"/>
      <c r="X440" s="2434"/>
      <c r="Y440" s="2434"/>
      <c r="Z440" s="2434"/>
      <c r="AA440" s="2434"/>
      <c r="AB440" s="2434"/>
      <c r="AC440" s="2434"/>
      <c r="AD440" s="2434"/>
      <c r="AE440" s="2434"/>
      <c r="AF440" s="594"/>
      <c r="AG440" s="594"/>
      <c r="AH440" s="594"/>
      <c r="AI440" s="594"/>
      <c r="AJ440" s="594"/>
      <c r="AK440" s="594"/>
      <c r="AL440" s="750"/>
      <c r="AM440" s="570"/>
      <c r="AN440" s="597"/>
    </row>
    <row r="441" spans="1:60" s="550" customFormat="1" ht="17.25" customHeight="1">
      <c r="A441" s="536"/>
      <c r="B441" s="14"/>
      <c r="C441" s="751"/>
      <c r="D441" s="730"/>
      <c r="E441" s="719"/>
      <c r="F441" s="2434"/>
      <c r="G441" s="2434"/>
      <c r="H441" s="2434"/>
      <c r="I441" s="2434"/>
      <c r="J441" s="2434"/>
      <c r="K441" s="2434"/>
      <c r="L441" s="2434"/>
      <c r="M441" s="2434"/>
      <c r="N441" s="2434"/>
      <c r="O441" s="2434"/>
      <c r="P441" s="2434"/>
      <c r="Q441" s="2434"/>
      <c r="R441" s="2434"/>
      <c r="S441" s="2434"/>
      <c r="T441" s="2434"/>
      <c r="U441" s="2434"/>
      <c r="V441" s="2434"/>
      <c r="W441" s="2434"/>
      <c r="X441" s="2434"/>
      <c r="Y441" s="2434"/>
      <c r="Z441" s="2434"/>
      <c r="AA441" s="2434"/>
      <c r="AB441" s="2434"/>
      <c r="AC441" s="2434"/>
      <c r="AD441" s="2434"/>
      <c r="AE441" s="2434"/>
      <c r="AL441" s="732"/>
      <c r="AM441" s="570"/>
      <c r="AN441" s="597"/>
    </row>
    <row r="442" spans="1:60" s="550" customFormat="1" ht="12.75" customHeight="1">
      <c r="A442" s="536"/>
      <c r="B442" s="14"/>
      <c r="C442" s="2443" t="s">
        <v>592</v>
      </c>
      <c r="D442" s="2444"/>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3" t="s">
        <v>1463</v>
      </c>
      <c r="AG442" s="2523"/>
      <c r="AH442" s="2523"/>
      <c r="AI442" s="2523"/>
      <c r="AJ442" s="2523"/>
      <c r="AK442" s="2523"/>
      <c r="AL442" s="2532"/>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33" t="s">
        <v>1489</v>
      </c>
      <c r="G445" s="2433"/>
      <c r="H445" s="2433"/>
      <c r="I445" s="2433"/>
      <c r="J445" s="2433"/>
      <c r="K445" s="2433"/>
      <c r="L445" s="2433"/>
      <c r="M445" s="2433"/>
      <c r="N445" s="2433"/>
      <c r="O445" s="2433"/>
      <c r="P445" s="2433"/>
      <c r="Q445" s="2433"/>
      <c r="R445" s="2433"/>
      <c r="S445" s="2433"/>
      <c r="T445" s="2433"/>
      <c r="U445" s="2433"/>
      <c r="V445" s="2433"/>
      <c r="W445" s="2433"/>
      <c r="X445" s="2433"/>
      <c r="Y445" s="2433"/>
      <c r="Z445" s="2433"/>
      <c r="AA445" s="2433"/>
      <c r="AB445" s="2433"/>
      <c r="AC445" s="2433"/>
      <c r="AD445" s="2433"/>
      <c r="AE445" s="2433"/>
      <c r="AF445" s="714"/>
      <c r="AG445" s="714"/>
      <c r="AH445" s="714"/>
      <c r="AI445" s="714"/>
      <c r="AJ445" s="714"/>
      <c r="AK445" s="714"/>
      <c r="AL445" s="745"/>
      <c r="AM445" s="570"/>
      <c r="AN445" s="597"/>
    </row>
    <row r="446" spans="1:60" s="550" customFormat="1" ht="12.75" customHeight="1">
      <c r="A446" s="536"/>
      <c r="B446" s="14"/>
      <c r="C446" s="751"/>
      <c r="D446" s="730"/>
      <c r="E446" s="719"/>
      <c r="F446" s="2434"/>
      <c r="G446" s="2434"/>
      <c r="H446" s="2434"/>
      <c r="I446" s="2434"/>
      <c r="J446" s="2434"/>
      <c r="K446" s="2434"/>
      <c r="L446" s="2434"/>
      <c r="M446" s="2434"/>
      <c r="N446" s="2434"/>
      <c r="O446" s="2434"/>
      <c r="P446" s="2434"/>
      <c r="Q446" s="2434"/>
      <c r="R446" s="2434"/>
      <c r="S446" s="2434"/>
      <c r="T446" s="2434"/>
      <c r="U446" s="2434"/>
      <c r="V446" s="2434"/>
      <c r="W446" s="2434"/>
      <c r="X446" s="2434"/>
      <c r="Y446" s="2434"/>
      <c r="Z446" s="2434"/>
      <c r="AA446" s="2434"/>
      <c r="AB446" s="2434"/>
      <c r="AC446" s="2434"/>
      <c r="AD446" s="2434"/>
      <c r="AE446" s="2434"/>
      <c r="AF446" s="591"/>
      <c r="AG446" s="591"/>
      <c r="AH446" s="591"/>
      <c r="AI446" s="591"/>
      <c r="AJ446" s="591"/>
      <c r="AK446" s="591"/>
      <c r="AL446" s="720"/>
      <c r="AM446" s="570"/>
      <c r="AN446" s="597"/>
    </row>
    <row r="447" spans="1:60" s="550" customFormat="1" ht="12.75" customHeight="1">
      <c r="A447" s="536"/>
      <c r="B447" s="14"/>
      <c r="C447" s="751"/>
      <c r="D447" s="730"/>
      <c r="E447" s="719"/>
      <c r="F447" s="2434"/>
      <c r="G447" s="2434"/>
      <c r="H447" s="2434"/>
      <c r="I447" s="2434"/>
      <c r="J447" s="2434"/>
      <c r="K447" s="2434"/>
      <c r="L447" s="2434"/>
      <c r="M447" s="2434"/>
      <c r="N447" s="2434"/>
      <c r="O447" s="2434"/>
      <c r="P447" s="2434"/>
      <c r="Q447" s="2434"/>
      <c r="R447" s="2434"/>
      <c r="S447" s="2434"/>
      <c r="T447" s="2434"/>
      <c r="U447" s="2434"/>
      <c r="V447" s="2434"/>
      <c r="W447" s="2434"/>
      <c r="X447" s="2434"/>
      <c r="Y447" s="2434"/>
      <c r="Z447" s="2434"/>
      <c r="AA447" s="2434"/>
      <c r="AB447" s="2434"/>
      <c r="AC447" s="2434"/>
      <c r="AD447" s="2434"/>
      <c r="AE447" s="2434"/>
      <c r="AF447" s="591"/>
      <c r="AG447" s="591"/>
      <c r="AH447" s="591"/>
      <c r="AI447" s="591"/>
      <c r="AJ447" s="591"/>
      <c r="AK447" s="591"/>
      <c r="AL447" s="720"/>
      <c r="AM447" s="570"/>
      <c r="AN447" s="597"/>
    </row>
    <row r="448" spans="1:60" s="550" customFormat="1" ht="12.75" customHeight="1">
      <c r="A448" s="536"/>
      <c r="B448" s="14"/>
      <c r="C448" s="751"/>
      <c r="D448" s="730"/>
      <c r="E448" s="719"/>
      <c r="F448" s="2434"/>
      <c r="G448" s="2434"/>
      <c r="H448" s="2434"/>
      <c r="I448" s="2434"/>
      <c r="J448" s="2434"/>
      <c r="K448" s="2434"/>
      <c r="L448" s="2434"/>
      <c r="M448" s="2434"/>
      <c r="N448" s="2434"/>
      <c r="O448" s="2434"/>
      <c r="P448" s="2434"/>
      <c r="Q448" s="2434"/>
      <c r="R448" s="2434"/>
      <c r="S448" s="2434"/>
      <c r="T448" s="2434"/>
      <c r="U448" s="2434"/>
      <c r="V448" s="2434"/>
      <c r="W448" s="2434"/>
      <c r="X448" s="2434"/>
      <c r="Y448" s="2434"/>
      <c r="Z448" s="2434"/>
      <c r="AA448" s="2434"/>
      <c r="AB448" s="2434"/>
      <c r="AC448" s="2434"/>
      <c r="AD448" s="2434"/>
      <c r="AE448" s="2434"/>
      <c r="AL448" s="732"/>
      <c r="AM448" s="570"/>
      <c r="AN448" s="597"/>
    </row>
    <row r="449" spans="1:40" s="550" customFormat="1" ht="12.75" customHeight="1">
      <c r="A449" s="536"/>
      <c r="B449" s="14"/>
      <c r="C449" s="2443" t="s">
        <v>592</v>
      </c>
      <c r="D449" s="2444"/>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3" t="s">
        <v>1463</v>
      </c>
      <c r="AG449" s="2523"/>
      <c r="AH449" s="2523"/>
      <c r="AI449" s="2523"/>
      <c r="AJ449" s="2523"/>
      <c r="AK449" s="2523"/>
      <c r="AL449" s="2532"/>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9" t="s">
        <v>592</v>
      </c>
      <c r="D453" s="2560"/>
      <c r="E453" s="715" t="s">
        <v>1498</v>
      </c>
      <c r="F453" s="2433" t="s">
        <v>1499</v>
      </c>
      <c r="G453" s="2433"/>
      <c r="H453" s="2433"/>
      <c r="I453" s="2433"/>
      <c r="J453" s="2433"/>
      <c r="K453" s="2433"/>
      <c r="L453" s="2433"/>
      <c r="M453" s="2433"/>
      <c r="N453" s="2433"/>
      <c r="O453" s="2433"/>
      <c r="P453" s="2433"/>
      <c r="Q453" s="2433"/>
      <c r="R453" s="2433"/>
      <c r="S453" s="2433"/>
      <c r="T453" s="2433"/>
      <c r="U453" s="2433"/>
      <c r="V453" s="2433"/>
      <c r="W453" s="2433"/>
      <c r="X453" s="2433"/>
      <c r="Y453" s="2433"/>
      <c r="Z453" s="2433"/>
      <c r="AA453" s="2433"/>
      <c r="AB453" s="2433"/>
      <c r="AC453" s="2433"/>
      <c r="AD453" s="2433"/>
      <c r="AE453" s="2433"/>
      <c r="AF453" s="2461" t="s">
        <v>1463</v>
      </c>
      <c r="AG453" s="2461"/>
      <c r="AH453" s="2461"/>
      <c r="AI453" s="2461"/>
      <c r="AJ453" s="2461"/>
      <c r="AK453" s="2461"/>
      <c r="AL453" s="2462"/>
      <c r="AM453" s="570"/>
      <c r="AN453" s="753"/>
    </row>
    <row r="454" spans="1:40" s="550" customFormat="1" ht="12.75" customHeight="1">
      <c r="A454" s="536"/>
      <c r="B454" s="14"/>
      <c r="C454" s="751"/>
      <c r="D454" s="730"/>
      <c r="E454" s="719"/>
      <c r="F454" s="2434"/>
      <c r="G454" s="2434"/>
      <c r="H454" s="2434"/>
      <c r="I454" s="2434"/>
      <c r="J454" s="2434"/>
      <c r="K454" s="2434"/>
      <c r="L454" s="2434"/>
      <c r="M454" s="2434"/>
      <c r="N454" s="2434"/>
      <c r="O454" s="2434"/>
      <c r="P454" s="2434"/>
      <c r="Q454" s="2434"/>
      <c r="R454" s="2434"/>
      <c r="S454" s="2434"/>
      <c r="T454" s="2434"/>
      <c r="U454" s="2434"/>
      <c r="V454" s="2434"/>
      <c r="W454" s="2434"/>
      <c r="X454" s="2434"/>
      <c r="Y454" s="2434"/>
      <c r="Z454" s="2434"/>
      <c r="AA454" s="2434"/>
      <c r="AB454" s="2434"/>
      <c r="AC454" s="2434"/>
      <c r="AD454" s="2434"/>
      <c r="AE454" s="2434"/>
      <c r="AF454" s="591"/>
      <c r="AG454" s="591"/>
      <c r="AH454" s="591"/>
      <c r="AI454" s="591"/>
      <c r="AJ454" s="591"/>
      <c r="AK454" s="591"/>
      <c r="AL454" s="720"/>
      <c r="AM454" s="570"/>
      <c r="AN454" s="754"/>
    </row>
    <row r="455" spans="1:40" s="550" customFormat="1" ht="17.850000000000001" customHeight="1">
      <c r="A455" s="536"/>
      <c r="B455" s="14"/>
      <c r="C455" s="756"/>
      <c r="D455" s="723"/>
      <c r="E455" s="724"/>
      <c r="F455" s="2435"/>
      <c r="G455" s="2435"/>
      <c r="H455" s="2435"/>
      <c r="I455" s="2435"/>
      <c r="J455" s="2435"/>
      <c r="K455" s="2435"/>
      <c r="L455" s="2435"/>
      <c r="M455" s="2435"/>
      <c r="N455" s="2435"/>
      <c r="O455" s="2435"/>
      <c r="P455" s="2435"/>
      <c r="Q455" s="2435"/>
      <c r="R455" s="2435"/>
      <c r="S455" s="2435"/>
      <c r="T455" s="2435"/>
      <c r="U455" s="2435"/>
      <c r="V455" s="2435"/>
      <c r="W455" s="2435"/>
      <c r="X455" s="2435"/>
      <c r="Y455" s="2435"/>
      <c r="Z455" s="2435"/>
      <c r="AA455" s="2435"/>
      <c r="AB455" s="2435"/>
      <c r="AC455" s="2435"/>
      <c r="AD455" s="2435"/>
      <c r="AE455" s="2435"/>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3" t="s">
        <v>592</v>
      </c>
      <c r="D457" s="2444"/>
      <c r="E457" s="715" t="s">
        <v>1504</v>
      </c>
      <c r="F457" s="2433" t="s">
        <v>1505</v>
      </c>
      <c r="G457" s="2433"/>
      <c r="H457" s="2433"/>
      <c r="I457" s="2433"/>
      <c r="J457" s="2433"/>
      <c r="K457" s="2433"/>
      <c r="L457" s="2433"/>
      <c r="M457" s="2433"/>
      <c r="N457" s="2433"/>
      <c r="O457" s="2433"/>
      <c r="P457" s="2433"/>
      <c r="Q457" s="2433"/>
      <c r="R457" s="2433"/>
      <c r="S457" s="2433"/>
      <c r="T457" s="2433"/>
      <c r="U457" s="2433"/>
      <c r="V457" s="2433"/>
      <c r="W457" s="2433"/>
      <c r="X457" s="2433"/>
      <c r="Y457" s="2433"/>
      <c r="Z457" s="2433"/>
      <c r="AA457" s="2433"/>
      <c r="AB457" s="2433"/>
      <c r="AC457" s="2433"/>
      <c r="AD457" s="2433"/>
      <c r="AE457" s="2433"/>
      <c r="AF457" s="2461" t="s">
        <v>1463</v>
      </c>
      <c r="AG457" s="2461"/>
      <c r="AH457" s="2461"/>
      <c r="AI457" s="2461"/>
      <c r="AJ457" s="2461"/>
      <c r="AK457" s="2461"/>
      <c r="AL457" s="2462"/>
      <c r="AM457" s="570"/>
      <c r="AN457" s="535"/>
    </row>
    <row r="458" spans="1:40" s="550" customFormat="1" ht="12.75" customHeight="1">
      <c r="A458" s="536"/>
      <c r="B458" s="14"/>
      <c r="C458" s="731"/>
      <c r="D458" s="14"/>
      <c r="E458" s="691"/>
      <c r="F458" s="2434"/>
      <c r="G458" s="2434"/>
      <c r="H458" s="2434"/>
      <c r="I458" s="2434"/>
      <c r="J458" s="2434"/>
      <c r="K458" s="2434"/>
      <c r="L458" s="2434"/>
      <c r="M458" s="2434"/>
      <c r="N458" s="2434"/>
      <c r="O458" s="2434"/>
      <c r="P458" s="2434"/>
      <c r="Q458" s="2434"/>
      <c r="R458" s="2434"/>
      <c r="S458" s="2434"/>
      <c r="T458" s="2434"/>
      <c r="U458" s="2434"/>
      <c r="V458" s="2434"/>
      <c r="W458" s="2434"/>
      <c r="X458" s="2434"/>
      <c r="Y458" s="2434"/>
      <c r="Z458" s="2434"/>
      <c r="AA458" s="2434"/>
      <c r="AB458" s="2434"/>
      <c r="AC458" s="2434"/>
      <c r="AD458" s="2434"/>
      <c r="AE458" s="2434"/>
      <c r="AF458" s="539"/>
      <c r="AG458" s="536"/>
      <c r="AL458" s="732"/>
      <c r="AM458" s="570"/>
      <c r="AN458" s="535"/>
    </row>
    <row r="459" spans="1:40" s="550" customFormat="1" ht="12.75" customHeight="1">
      <c r="A459" s="536"/>
      <c r="B459" s="14"/>
      <c r="C459" s="731"/>
      <c r="D459" s="14"/>
      <c r="E459" s="691"/>
      <c r="F459" s="2434"/>
      <c r="G459" s="2434"/>
      <c r="H459" s="2434"/>
      <c r="I459" s="2434"/>
      <c r="J459" s="2434"/>
      <c r="K459" s="2434"/>
      <c r="L459" s="2434"/>
      <c r="M459" s="2434"/>
      <c r="N459" s="2434"/>
      <c r="O459" s="2434"/>
      <c r="P459" s="2434"/>
      <c r="Q459" s="2434"/>
      <c r="R459" s="2434"/>
      <c r="S459" s="2434"/>
      <c r="T459" s="2434"/>
      <c r="U459" s="2434"/>
      <c r="V459" s="2434"/>
      <c r="W459" s="2434"/>
      <c r="X459" s="2434"/>
      <c r="Y459" s="2434"/>
      <c r="Z459" s="2434"/>
      <c r="AA459" s="2434"/>
      <c r="AB459" s="2434"/>
      <c r="AC459" s="2434"/>
      <c r="AD459" s="2434"/>
      <c r="AE459" s="2434"/>
      <c r="AF459" s="539"/>
      <c r="AG459" s="536"/>
      <c r="AL459" s="732"/>
      <c r="AM459" s="570"/>
      <c r="AN459" s="535"/>
    </row>
    <row r="460" spans="1:40" s="550" customFormat="1" ht="12.75" customHeight="1">
      <c r="A460" s="536"/>
      <c r="B460" s="14"/>
      <c r="C460" s="756"/>
      <c r="D460" s="723"/>
      <c r="E460" s="724"/>
      <c r="F460" s="2435"/>
      <c r="G460" s="2435"/>
      <c r="H460" s="2435"/>
      <c r="I460" s="2435"/>
      <c r="J460" s="2435"/>
      <c r="K460" s="2435"/>
      <c r="L460" s="2435"/>
      <c r="M460" s="2435"/>
      <c r="N460" s="2435"/>
      <c r="O460" s="2435"/>
      <c r="P460" s="2435"/>
      <c r="Q460" s="2435"/>
      <c r="R460" s="2435"/>
      <c r="S460" s="2435"/>
      <c r="T460" s="2435"/>
      <c r="U460" s="2435"/>
      <c r="V460" s="2435"/>
      <c r="W460" s="2435"/>
      <c r="X460" s="2435"/>
      <c r="Y460" s="2435"/>
      <c r="Z460" s="2435"/>
      <c r="AA460" s="2435"/>
      <c r="AB460" s="2435"/>
      <c r="AC460" s="2435"/>
      <c r="AD460" s="2435"/>
      <c r="AE460" s="2435"/>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33" t="s">
        <v>1508</v>
      </c>
      <c r="G462" s="2433"/>
      <c r="H462" s="2433"/>
      <c r="I462" s="2433"/>
      <c r="J462" s="2433"/>
      <c r="K462" s="2433"/>
      <c r="L462" s="2433"/>
      <c r="M462" s="2433"/>
      <c r="N462" s="2433"/>
      <c r="O462" s="2433"/>
      <c r="P462" s="2433"/>
      <c r="Q462" s="2433"/>
      <c r="R462" s="2433"/>
      <c r="S462" s="2433"/>
      <c r="T462" s="2433"/>
      <c r="U462" s="2433"/>
      <c r="V462" s="2433"/>
      <c r="W462" s="2433"/>
      <c r="X462" s="2433"/>
      <c r="Y462" s="2433"/>
      <c r="Z462" s="2433"/>
      <c r="AA462" s="2433"/>
      <c r="AB462" s="2433"/>
      <c r="AC462" s="2433"/>
      <c r="AD462" s="2433"/>
      <c r="AE462" s="2433"/>
      <c r="AF462" s="2433"/>
      <c r="AG462" s="744"/>
      <c r="AH462" s="714"/>
      <c r="AI462" s="714"/>
      <c r="AJ462" s="714"/>
      <c r="AK462" s="714"/>
      <c r="AL462" s="745"/>
      <c r="AM462" s="570"/>
      <c r="AN462" s="597"/>
    </row>
    <row r="463" spans="1:40" s="550" customFormat="1" ht="12.75" customHeight="1">
      <c r="A463" s="536"/>
      <c r="B463" s="14"/>
      <c r="C463" s="731"/>
      <c r="D463" s="14"/>
      <c r="E463" s="691"/>
      <c r="F463" s="2434"/>
      <c r="G463" s="2434"/>
      <c r="H463" s="2434"/>
      <c r="I463" s="2434"/>
      <c r="J463" s="2434"/>
      <c r="K463" s="2434"/>
      <c r="L463" s="2434"/>
      <c r="M463" s="2434"/>
      <c r="N463" s="2434"/>
      <c r="O463" s="2434"/>
      <c r="P463" s="2434"/>
      <c r="Q463" s="2434"/>
      <c r="R463" s="2434"/>
      <c r="S463" s="2434"/>
      <c r="T463" s="2434"/>
      <c r="U463" s="2434"/>
      <c r="V463" s="2434"/>
      <c r="W463" s="2434"/>
      <c r="X463" s="2434"/>
      <c r="Y463" s="2434"/>
      <c r="Z463" s="2434"/>
      <c r="AA463" s="2434"/>
      <c r="AB463" s="2434"/>
      <c r="AC463" s="2434"/>
      <c r="AD463" s="2434"/>
      <c r="AE463" s="2434"/>
      <c r="AF463" s="2434"/>
      <c r="AL463" s="732"/>
      <c r="AM463" s="570"/>
      <c r="AN463" s="597"/>
    </row>
    <row r="464" spans="1:40" s="550" customFormat="1" ht="12.75" customHeight="1">
      <c r="A464" s="536"/>
      <c r="B464" s="14"/>
      <c r="C464" s="739"/>
      <c r="F464" s="2434"/>
      <c r="G464" s="2434"/>
      <c r="H464" s="2434"/>
      <c r="I464" s="2434"/>
      <c r="J464" s="2434"/>
      <c r="K464" s="2434"/>
      <c r="L464" s="2434"/>
      <c r="M464" s="2434"/>
      <c r="N464" s="2434"/>
      <c r="O464" s="2434"/>
      <c r="P464" s="2434"/>
      <c r="Q464" s="2434"/>
      <c r="R464" s="2434"/>
      <c r="S464" s="2434"/>
      <c r="T464" s="2434"/>
      <c r="U464" s="2434"/>
      <c r="V464" s="2434"/>
      <c r="W464" s="2434"/>
      <c r="X464" s="2434"/>
      <c r="Y464" s="2434"/>
      <c r="Z464" s="2434"/>
      <c r="AA464" s="2434"/>
      <c r="AB464" s="2434"/>
      <c r="AC464" s="2434"/>
      <c r="AD464" s="2434"/>
      <c r="AE464" s="2434"/>
      <c r="AF464" s="2434"/>
      <c r="AL464" s="732"/>
      <c r="AM464" s="570"/>
      <c r="AN464" s="597"/>
    </row>
    <row r="465" spans="1:58" s="550" customFormat="1" ht="12.75" customHeight="1">
      <c r="A465" s="536"/>
      <c r="B465" s="14"/>
      <c r="C465" s="739"/>
      <c r="F465" s="2434"/>
      <c r="G465" s="2434"/>
      <c r="H465" s="2434"/>
      <c r="I465" s="2434"/>
      <c r="J465" s="2434"/>
      <c r="K465" s="2434"/>
      <c r="L465" s="2434"/>
      <c r="M465" s="2434"/>
      <c r="N465" s="2434"/>
      <c r="O465" s="2434"/>
      <c r="P465" s="2434"/>
      <c r="Q465" s="2434"/>
      <c r="R465" s="2434"/>
      <c r="S465" s="2434"/>
      <c r="T465" s="2434"/>
      <c r="U465" s="2434"/>
      <c r="V465" s="2434"/>
      <c r="W465" s="2434"/>
      <c r="X465" s="2434"/>
      <c r="Y465" s="2434"/>
      <c r="Z465" s="2434"/>
      <c r="AA465" s="2434"/>
      <c r="AB465" s="2434"/>
      <c r="AC465" s="2434"/>
      <c r="AD465" s="2434"/>
      <c r="AE465" s="2434"/>
      <c r="AF465" s="2434"/>
      <c r="AL465" s="732"/>
      <c r="AM465" s="570"/>
      <c r="AN465" s="597"/>
    </row>
    <row r="466" spans="1:58" s="550" customFormat="1" ht="12.75" customHeight="1">
      <c r="A466" s="536"/>
      <c r="B466" s="14"/>
      <c r="C466" s="2443" t="s">
        <v>592</v>
      </c>
      <c r="D466" s="2444"/>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5" t="s">
        <v>1463</v>
      </c>
      <c r="AG466" s="2445"/>
      <c r="AH466" s="2445"/>
      <c r="AI466" s="2445"/>
      <c r="AJ466" s="2445"/>
      <c r="AK466" s="2445"/>
      <c r="AL466" s="2446"/>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30">
        <f>IF(Application!D214="N/A",AS358,AS360)</f>
        <v>10</v>
      </c>
      <c r="AL469" s="2431"/>
      <c r="AM469" s="2432"/>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45" t="s">
        <v>1512</v>
      </c>
      <c r="AF472" s="2445"/>
      <c r="AG472" s="2445"/>
      <c r="AH472" s="2445"/>
      <c r="AI472" s="2445"/>
      <c r="AJ472" s="2445"/>
      <c r="AK472" s="2445"/>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52" t="s">
        <v>592</v>
      </c>
      <c r="D478" s="2453"/>
      <c r="E478" s="761" t="s">
        <v>508</v>
      </c>
      <c r="F478" s="2530" t="s">
        <v>1518</v>
      </c>
      <c r="G478" s="2530"/>
      <c r="H478" s="2530"/>
      <c r="I478" s="2530"/>
      <c r="J478" s="2530"/>
      <c r="K478" s="2530"/>
      <c r="L478" s="2530"/>
      <c r="M478" s="2530"/>
      <c r="N478" s="2530"/>
      <c r="O478" s="2530"/>
      <c r="P478" s="2530"/>
      <c r="Q478" s="2530"/>
      <c r="R478" s="2530"/>
      <c r="S478" s="2530"/>
      <c r="T478" s="2530"/>
      <c r="U478" s="2530"/>
      <c r="V478" s="2530"/>
      <c r="W478" s="2530"/>
      <c r="X478" s="2530"/>
      <c r="Y478" s="2530"/>
      <c r="Z478" s="2530"/>
      <c r="AA478" s="2530"/>
      <c r="AB478" s="2530"/>
      <c r="AC478" s="2530"/>
      <c r="AD478" s="2530"/>
      <c r="AE478" s="2530"/>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31"/>
      <c r="G479" s="2531"/>
      <c r="H479" s="2531"/>
      <c r="I479" s="2531"/>
      <c r="J479" s="2531"/>
      <c r="K479" s="2531"/>
      <c r="L479" s="2531"/>
      <c r="M479" s="2531"/>
      <c r="N479" s="2531"/>
      <c r="O479" s="2531"/>
      <c r="P479" s="2531"/>
      <c r="Q479" s="2531"/>
      <c r="R479" s="2531"/>
      <c r="S479" s="2531"/>
      <c r="T479" s="2531"/>
      <c r="U479" s="2531"/>
      <c r="V479" s="2531"/>
      <c r="W479" s="2531"/>
      <c r="X479" s="2531"/>
      <c r="Y479" s="2531"/>
      <c r="Z479" s="2531"/>
      <c r="AA479" s="2531"/>
      <c r="AB479" s="2531"/>
      <c r="AC479" s="2531"/>
      <c r="AD479" s="2531"/>
      <c r="AE479" s="2531"/>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58" t="s">
        <v>592</v>
      </c>
      <c r="G480" s="2458"/>
      <c r="H480" s="2458"/>
      <c r="I480" s="2458"/>
      <c r="J480" s="2458"/>
      <c r="K480" s="2458"/>
      <c r="L480" s="2458"/>
      <c r="M480" s="2458"/>
      <c r="N480" s="2458"/>
      <c r="O480" s="2458"/>
      <c r="P480" s="2458"/>
      <c r="Q480" s="2458"/>
      <c r="R480" s="2458"/>
      <c r="S480" s="2458"/>
      <c r="T480" s="2458"/>
      <c r="U480" s="2458"/>
      <c r="V480" s="2458"/>
      <c r="W480" s="2458"/>
      <c r="X480" s="2458"/>
      <c r="Y480" s="2458"/>
      <c r="Z480" s="2458"/>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9" t="s">
        <v>546</v>
      </c>
      <c r="D482" s="2460"/>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38" t="s">
        <v>592</v>
      </c>
      <c r="W485" s="2438"/>
      <c r="X485" s="2438"/>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38" t="s">
        <v>592</v>
      </c>
      <c r="W487" s="2438"/>
      <c r="X487" s="2438"/>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38" t="s">
        <v>592</v>
      </c>
      <c r="W492" s="2438"/>
      <c r="X492" s="2438"/>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7"/>
      <c r="E495" s="2457"/>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38" t="s">
        <v>592</v>
      </c>
      <c r="W496" s="2438"/>
      <c r="X496" s="2438"/>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38" t="s">
        <v>592</v>
      </c>
      <c r="W498" s="2438"/>
      <c r="X498" s="2438"/>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2" t="s">
        <v>592</v>
      </c>
      <c r="D501" s="2453"/>
      <c r="E501" s="761" t="s">
        <v>508</v>
      </c>
      <c r="F501" s="2530" t="s">
        <v>1518</v>
      </c>
      <c r="G501" s="2530"/>
      <c r="H501" s="2530"/>
      <c r="I501" s="2530"/>
      <c r="J501" s="2530"/>
      <c r="K501" s="2530"/>
      <c r="L501" s="2530"/>
      <c r="M501" s="2530"/>
      <c r="N501" s="2530"/>
      <c r="O501" s="2530"/>
      <c r="P501" s="2530"/>
      <c r="Q501" s="2530"/>
      <c r="R501" s="2530"/>
      <c r="S501" s="2530"/>
      <c r="T501" s="2530"/>
      <c r="U501" s="2530"/>
      <c r="V501" s="2530"/>
      <c r="W501" s="2530"/>
      <c r="X501" s="2530"/>
      <c r="Y501" s="2530"/>
      <c r="Z501" s="2530"/>
      <c r="AA501" s="2530"/>
      <c r="AB501" s="2530"/>
      <c r="AC501" s="2530"/>
      <c r="AD501" s="2530"/>
      <c r="AE501" s="2530"/>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1"/>
      <c r="G502" s="2531"/>
      <c r="H502" s="2531"/>
      <c r="I502" s="2531"/>
      <c r="J502" s="2531"/>
      <c r="K502" s="2531"/>
      <c r="L502" s="2531"/>
      <c r="M502" s="2531"/>
      <c r="N502" s="2531"/>
      <c r="O502" s="2531"/>
      <c r="P502" s="2531"/>
      <c r="Q502" s="2531"/>
      <c r="R502" s="2531"/>
      <c r="S502" s="2531"/>
      <c r="T502" s="2531"/>
      <c r="U502" s="2531"/>
      <c r="V502" s="2531"/>
      <c r="W502" s="2531"/>
      <c r="X502" s="2531"/>
      <c r="Y502" s="2531"/>
      <c r="Z502" s="2531"/>
      <c r="AA502" s="2531"/>
      <c r="AB502" s="2531"/>
      <c r="AC502" s="2531"/>
      <c r="AD502" s="2531"/>
      <c r="AE502" s="2531"/>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1" t="s">
        <v>592</v>
      </c>
      <c r="G503" s="2451"/>
      <c r="H503" s="2451"/>
      <c r="I503" s="2451"/>
      <c r="J503" s="2451"/>
      <c r="K503" s="2451"/>
      <c r="L503" s="2451"/>
      <c r="M503" s="2451"/>
      <c r="N503" s="2451"/>
      <c r="O503" s="2451"/>
      <c r="P503" s="2451"/>
      <c r="Q503" s="2451"/>
      <c r="R503" s="2451"/>
      <c r="S503" s="2451"/>
      <c r="T503" s="2451"/>
      <c r="U503" s="2451"/>
      <c r="V503" s="2451"/>
      <c r="W503" s="2451"/>
      <c r="X503" s="2451"/>
      <c r="Y503" s="2451"/>
      <c r="Z503" s="2451"/>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2" t="s">
        <v>592</v>
      </c>
      <c r="D505" s="2453"/>
      <c r="E505" s="761" t="s">
        <v>758</v>
      </c>
      <c r="F505" s="2454" t="s">
        <v>1540</v>
      </c>
      <c r="G505" s="2454"/>
      <c r="H505" s="2454"/>
      <c r="I505" s="2454"/>
      <c r="J505" s="2454"/>
      <c r="K505" s="2454"/>
      <c r="L505" s="2454"/>
      <c r="M505" s="2454"/>
      <c r="N505" s="2454"/>
      <c r="O505" s="2454"/>
      <c r="P505" s="2454"/>
      <c r="Q505" s="2454"/>
      <c r="R505" s="2454"/>
      <c r="S505" s="2454"/>
      <c r="T505" s="2454"/>
      <c r="U505" s="2454"/>
      <c r="V505" s="2454"/>
      <c r="W505" s="2454"/>
      <c r="X505" s="2454"/>
      <c r="Y505" s="2454"/>
      <c r="Z505" s="2454"/>
      <c r="AA505" s="2454"/>
      <c r="AB505" s="2454"/>
      <c r="AC505" s="2454"/>
      <c r="AD505" s="2454"/>
      <c r="AE505" s="2454"/>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5"/>
      <c r="G506" s="2455"/>
      <c r="H506" s="2455"/>
      <c r="I506" s="2455"/>
      <c r="J506" s="2455"/>
      <c r="K506" s="2455"/>
      <c r="L506" s="2455"/>
      <c r="M506" s="2455"/>
      <c r="N506" s="2455"/>
      <c r="O506" s="2455"/>
      <c r="P506" s="2455"/>
      <c r="Q506" s="2455"/>
      <c r="R506" s="2455"/>
      <c r="S506" s="2455"/>
      <c r="T506" s="2455"/>
      <c r="U506" s="2455"/>
      <c r="V506" s="2455"/>
      <c r="W506" s="2455"/>
      <c r="X506" s="2455"/>
      <c r="Y506" s="2455"/>
      <c r="Z506" s="2455"/>
      <c r="AA506" s="2455"/>
      <c r="AB506" s="2455"/>
      <c r="AC506" s="2455"/>
      <c r="AD506" s="2455"/>
      <c r="AE506" s="2455"/>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6" t="s">
        <v>592</v>
      </c>
      <c r="G508" s="2456"/>
      <c r="H508" s="2456"/>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2" t="s">
        <v>592</v>
      </c>
      <c r="D510" s="2453"/>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2"/>
      <c r="D512" s="2457"/>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3" t="s">
        <v>592</v>
      </c>
      <c r="H513" s="2473"/>
      <c r="I513" s="2473"/>
      <c r="J513" s="2473"/>
      <c r="K513" s="2473"/>
      <c r="L513" s="2473"/>
      <c r="M513" s="2473"/>
      <c r="N513" s="2473"/>
      <c r="O513" s="2473"/>
      <c r="P513" s="2473"/>
      <c r="Q513" s="2473"/>
      <c r="R513" s="2473"/>
      <c r="S513" s="2473"/>
      <c r="T513" s="2473"/>
      <c r="U513" s="2473"/>
      <c r="V513" s="2473"/>
      <c r="W513" s="2473"/>
      <c r="X513" s="2473"/>
      <c r="Y513" s="2473"/>
      <c r="Z513" s="2473"/>
      <c r="AA513" s="2473"/>
      <c r="AB513" s="2473"/>
      <c r="AC513" s="2473"/>
      <c r="AD513" s="2473"/>
      <c r="AE513" s="2473"/>
      <c r="AF513" s="2473"/>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4" t="s">
        <v>592</v>
      </c>
      <c r="D515" s="2525"/>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4" t="s">
        <v>592</v>
      </c>
      <c r="D519" s="2525"/>
      <c r="F519" s="795" t="s">
        <v>1548</v>
      </c>
      <c r="G519" s="2434" t="s">
        <v>1549</v>
      </c>
      <c r="H519" s="2434"/>
      <c r="I519" s="2434"/>
      <c r="J519" s="2434"/>
      <c r="K519" s="2434"/>
      <c r="L519" s="2434"/>
      <c r="M519" s="2434"/>
      <c r="N519" s="2434"/>
      <c r="O519" s="2434"/>
      <c r="P519" s="2434"/>
      <c r="Q519" s="2434"/>
      <c r="R519" s="2434"/>
      <c r="S519" s="2434"/>
      <c r="T519" s="2434"/>
      <c r="U519" s="2434"/>
      <c r="V519" s="2434"/>
      <c r="W519" s="2434"/>
      <c r="X519" s="2434"/>
      <c r="Y519" s="2434"/>
      <c r="Z519" s="2434"/>
      <c r="AA519" s="2434"/>
      <c r="AB519" s="2434"/>
      <c r="AC519" s="2434"/>
      <c r="AD519" s="2434"/>
      <c r="AE519" s="2434"/>
      <c r="AF519" s="2434"/>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5"/>
      <c r="H520" s="2435"/>
      <c r="I520" s="2435"/>
      <c r="J520" s="2435"/>
      <c r="K520" s="2435"/>
      <c r="L520" s="2435"/>
      <c r="M520" s="2435"/>
      <c r="N520" s="2435"/>
      <c r="O520" s="2435"/>
      <c r="P520" s="2435"/>
      <c r="Q520" s="2435"/>
      <c r="R520" s="2435"/>
      <c r="S520" s="2435"/>
      <c r="T520" s="2435"/>
      <c r="U520" s="2435"/>
      <c r="V520" s="2435"/>
      <c r="W520" s="2435"/>
      <c r="X520" s="2435"/>
      <c r="Y520" s="2435"/>
      <c r="Z520" s="2435"/>
      <c r="AA520" s="2435"/>
      <c r="AB520" s="2435"/>
      <c r="AC520" s="2435"/>
      <c r="AD520" s="2435"/>
      <c r="AE520" s="2435"/>
      <c r="AF520" s="2435"/>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6" t="s">
        <v>592</v>
      </c>
      <c r="D523" s="2527"/>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8" t="s">
        <v>592</v>
      </c>
      <c r="G524" s="2528"/>
      <c r="H524" s="2528"/>
      <c r="I524" s="2528"/>
      <c r="J524" s="2528"/>
      <c r="K524" s="2528"/>
      <c r="L524" s="2528"/>
      <c r="M524" s="2528"/>
      <c r="N524" s="2528"/>
      <c r="O524" s="2528"/>
      <c r="P524" s="2528"/>
      <c r="Q524" s="2528"/>
      <c r="R524" s="2528"/>
      <c r="S524" s="2528"/>
      <c r="T524" s="2528"/>
      <c r="U524" s="2528"/>
      <c r="V524" s="2528"/>
      <c r="W524" s="2528"/>
      <c r="X524" s="2528"/>
      <c r="Y524" s="2528"/>
      <c r="Z524" s="2528"/>
      <c r="AA524" s="2528"/>
      <c r="AB524" s="2528"/>
      <c r="AC524" s="2528"/>
      <c r="AD524" s="2528"/>
      <c r="AE524" s="2528"/>
      <c r="AF524" s="2528"/>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9"/>
      <c r="G525" s="2529"/>
      <c r="H525" s="2529"/>
      <c r="I525" s="2529"/>
      <c r="J525" s="2529"/>
      <c r="K525" s="2529"/>
      <c r="L525" s="2529"/>
      <c r="M525" s="2529"/>
      <c r="N525" s="2529"/>
      <c r="O525" s="2529"/>
      <c r="P525" s="2529"/>
      <c r="Q525" s="2529"/>
      <c r="R525" s="2529"/>
      <c r="S525" s="2529"/>
      <c r="T525" s="2529"/>
      <c r="U525" s="2529"/>
      <c r="V525" s="2529"/>
      <c r="W525" s="2529"/>
      <c r="X525" s="2529"/>
      <c r="Y525" s="2529"/>
      <c r="Z525" s="2529"/>
      <c r="AA525" s="2529"/>
      <c r="AB525" s="2529"/>
      <c r="AC525" s="2529"/>
      <c r="AD525" s="2529"/>
      <c r="AE525" s="2529"/>
      <c r="AF525" s="2529"/>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30">
        <f>SUM(AG479:AG524)</f>
        <v>0</v>
      </c>
      <c r="AL535" s="2431"/>
      <c r="AM535" s="2432"/>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3" t="s">
        <v>1561</v>
      </c>
      <c r="AF538" s="2463"/>
      <c r="AG538" s="2463"/>
      <c r="AH538" s="2463"/>
      <c r="AI538" s="2463"/>
      <c r="AJ538" s="2463"/>
      <c r="AK538" s="2463"/>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4" t="s">
        <v>546</v>
      </c>
      <c r="D541" s="2444"/>
      <c r="E541" s="551"/>
      <c r="F541" s="2466" t="s">
        <v>1562</v>
      </c>
      <c r="G541" s="2467"/>
      <c r="H541" s="2467"/>
      <c r="I541" s="2467"/>
      <c r="J541" s="2467"/>
      <c r="K541" s="2467"/>
      <c r="L541" s="2467"/>
      <c r="M541" s="2467"/>
      <c r="N541" s="2467"/>
      <c r="O541" s="2467"/>
      <c r="P541" s="2467"/>
      <c r="Q541" s="2467"/>
      <c r="R541" s="2467"/>
      <c r="S541" s="2467"/>
      <c r="T541" s="2467"/>
      <c r="U541" s="2467"/>
      <c r="V541" s="2467"/>
      <c r="W541" s="2467"/>
      <c r="X541" s="2467"/>
      <c r="Y541" s="2467"/>
      <c r="Z541" s="2467"/>
      <c r="AA541" s="2467"/>
      <c r="AB541" s="2467"/>
      <c r="AC541" s="2467"/>
      <c r="AD541" s="2467"/>
      <c r="AE541" s="2467"/>
      <c r="AF541" s="2467"/>
      <c r="AG541" s="2467"/>
      <c r="AH541" s="2467"/>
      <c r="AI541" s="2467"/>
      <c r="AJ541" s="2467"/>
      <c r="AK541" s="2467"/>
      <c r="AL541" s="2468"/>
      <c r="AM541" s="595"/>
      <c r="AN541" s="597"/>
    </row>
    <row r="542" spans="1:81" s="550" customFormat="1" ht="12.75" customHeight="1">
      <c r="A542" s="539"/>
      <c r="B542" s="539"/>
      <c r="C542" s="551"/>
      <c r="D542" s="551"/>
      <c r="E542" s="551"/>
      <c r="F542" s="2469"/>
      <c r="G542" s="2470"/>
      <c r="H542" s="2470"/>
      <c r="I542" s="2470"/>
      <c r="J542" s="2470"/>
      <c r="K542" s="2470"/>
      <c r="L542" s="2470"/>
      <c r="M542" s="2470"/>
      <c r="N542" s="2470"/>
      <c r="O542" s="2470"/>
      <c r="P542" s="2470"/>
      <c r="Q542" s="2470"/>
      <c r="R542" s="2470"/>
      <c r="S542" s="2470"/>
      <c r="T542" s="2470"/>
      <c r="U542" s="2470"/>
      <c r="V542" s="2470"/>
      <c r="W542" s="2470"/>
      <c r="X542" s="2470"/>
      <c r="Y542" s="2470"/>
      <c r="Z542" s="2470"/>
      <c r="AA542" s="2470"/>
      <c r="AB542" s="2470"/>
      <c r="AC542" s="2470"/>
      <c r="AD542" s="2470"/>
      <c r="AE542" s="2470"/>
      <c r="AF542" s="2470"/>
      <c r="AG542" s="2470"/>
      <c r="AH542" s="2470"/>
      <c r="AI542" s="2470"/>
      <c r="AJ542" s="2470"/>
      <c r="AK542" s="2470"/>
      <c r="AL542" s="2471"/>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4" t="s">
        <v>592</v>
      </c>
      <c r="D544" s="2444"/>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2" t="s">
        <v>1564</v>
      </c>
      <c r="G545" s="2423"/>
      <c r="H545" s="2423"/>
      <c r="I545" s="2423"/>
      <c r="J545" s="2423"/>
      <c r="K545" s="2423"/>
      <c r="L545" s="2423"/>
      <c r="M545" s="2423"/>
      <c r="N545" s="2423"/>
      <c r="O545" s="2423"/>
      <c r="P545" s="2423"/>
      <c r="Q545" s="2423"/>
      <c r="R545" s="2423"/>
      <c r="S545" s="2423"/>
      <c r="T545" s="2423"/>
      <c r="U545" s="2423"/>
      <c r="V545" s="2423"/>
      <c r="W545" s="2423"/>
      <c r="X545" s="2423"/>
      <c r="Y545" s="2423"/>
      <c r="Z545" s="2423"/>
      <c r="AA545" s="2423"/>
      <c r="AB545" s="2423"/>
      <c r="AC545" s="2423"/>
      <c r="AD545" s="2423"/>
      <c r="AE545" s="2423"/>
      <c r="AF545" s="2423"/>
      <c r="AG545" s="2423"/>
      <c r="AH545" s="2423"/>
      <c r="AI545" s="2423"/>
      <c r="AJ545" s="2423"/>
      <c r="AK545" s="2423"/>
      <c r="AL545" s="2424"/>
      <c r="AM545" s="595"/>
      <c r="AN545" s="597"/>
      <c r="AS545" s="870"/>
      <c r="AT545" s="870"/>
      <c r="AU545" s="870"/>
      <c r="AV545" s="870"/>
      <c r="AW545" s="870"/>
    </row>
    <row r="546" spans="1:49" s="550" customFormat="1" ht="12.75" customHeight="1">
      <c r="B546" s="806"/>
      <c r="C546" s="806"/>
      <c r="D546" s="806"/>
      <c r="E546" s="806"/>
      <c r="F546" s="2422"/>
      <c r="G546" s="2423"/>
      <c r="H546" s="2423"/>
      <c r="I546" s="2423"/>
      <c r="J546" s="2423"/>
      <c r="K546" s="2423"/>
      <c r="L546" s="2423"/>
      <c r="M546" s="2423"/>
      <c r="N546" s="2423"/>
      <c r="O546" s="2423"/>
      <c r="P546" s="2423"/>
      <c r="Q546" s="2423"/>
      <c r="R546" s="2423"/>
      <c r="S546" s="2423"/>
      <c r="T546" s="2423"/>
      <c r="U546" s="2423"/>
      <c r="V546" s="2423"/>
      <c r="W546" s="2423"/>
      <c r="X546" s="2423"/>
      <c r="Y546" s="2423"/>
      <c r="Z546" s="2423"/>
      <c r="AA546" s="2423"/>
      <c r="AB546" s="2423"/>
      <c r="AC546" s="2423"/>
      <c r="AD546" s="2423"/>
      <c r="AE546" s="2423"/>
      <c r="AF546" s="2423"/>
      <c r="AG546" s="2423"/>
      <c r="AH546" s="2423"/>
      <c r="AI546" s="2423"/>
      <c r="AJ546" s="2423"/>
      <c r="AK546" s="2423"/>
      <c r="AL546" s="2424"/>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2" t="s">
        <v>1565</v>
      </c>
      <c r="G548" s="2423"/>
      <c r="H548" s="2423"/>
      <c r="I548" s="2423"/>
      <c r="J548" s="2423"/>
      <c r="K548" s="2423"/>
      <c r="L548" s="2423"/>
      <c r="M548" s="2423"/>
      <c r="N548" s="2423"/>
      <c r="O548" s="2423"/>
      <c r="P548" s="2423"/>
      <c r="Q548" s="2423"/>
      <c r="R548" s="2423"/>
      <c r="S548" s="2423"/>
      <c r="T548" s="2423"/>
      <c r="U548" s="2423"/>
      <c r="V548" s="2423"/>
      <c r="W548" s="2423"/>
      <c r="X548" s="2423"/>
      <c r="Y548" s="2423"/>
      <c r="Z548" s="2423"/>
      <c r="AA548" s="2423"/>
      <c r="AB548" s="2423"/>
      <c r="AC548" s="2423"/>
      <c r="AD548" s="2423"/>
      <c r="AE548" s="2423"/>
      <c r="AF548" s="2423"/>
      <c r="AG548" s="2423"/>
      <c r="AH548" s="2423"/>
      <c r="AI548" s="2423"/>
      <c r="AJ548" s="2423"/>
      <c r="AK548" s="2423"/>
      <c r="AL548" s="813"/>
      <c r="AM548" s="595"/>
      <c r="AN548" s="597"/>
    </row>
    <row r="549" spans="1:49" s="550" customFormat="1" ht="12.75" customHeight="1">
      <c r="B549" s="806"/>
      <c r="C549" s="806"/>
      <c r="D549" s="806"/>
      <c r="E549" s="806"/>
      <c r="F549" s="2425"/>
      <c r="G549" s="2426"/>
      <c r="H549" s="2426"/>
      <c r="I549" s="2426"/>
      <c r="J549" s="2426"/>
      <c r="K549" s="2426"/>
      <c r="L549" s="2426"/>
      <c r="M549" s="2426"/>
      <c r="N549" s="2426"/>
      <c r="O549" s="2426"/>
      <c r="P549" s="2426"/>
      <c r="Q549" s="2426"/>
      <c r="R549" s="2426"/>
      <c r="S549" s="2426"/>
      <c r="T549" s="2426"/>
      <c r="U549" s="2426"/>
      <c r="V549" s="2426"/>
      <c r="W549" s="2426"/>
      <c r="X549" s="2426"/>
      <c r="Y549" s="2426"/>
      <c r="Z549" s="2426"/>
      <c r="AA549" s="2426"/>
      <c r="AB549" s="2426"/>
      <c r="AC549" s="2426"/>
      <c r="AD549" s="2426"/>
      <c r="AE549" s="2426"/>
      <c r="AF549" s="2426"/>
      <c r="AG549" s="2426"/>
      <c r="AH549" s="2426"/>
      <c r="AI549" s="2426"/>
      <c r="AJ549" s="2426"/>
      <c r="AK549" s="2426"/>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1">
        <f>Application!AJ992</f>
        <v>73612328</v>
      </c>
      <c r="AQ550" s="2421"/>
      <c r="AR550" s="2421"/>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7">
        <f>'Sources and Uses Budget'!S107+'Sources and Uses Budget'!T107</f>
        <v>68568920</v>
      </c>
      <c r="AG551" s="2427"/>
      <c r="AH551" s="2427"/>
      <c r="AI551" s="2427"/>
      <c r="AJ551" s="2427"/>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8">
        <f>IFERROR(AP559,0)</f>
        <v>123324341.60000002</v>
      </c>
      <c r="AG552" s="2428"/>
      <c r="AH552" s="2428"/>
      <c r="AI552" s="2428"/>
      <c r="AJ552" s="2428"/>
      <c r="AK552" s="595"/>
      <c r="AL552" s="595"/>
      <c r="AM552" s="595"/>
      <c r="AN552" s="597"/>
      <c r="AP552" s="2421">
        <f>Application!AJ1045</f>
        <v>5152862.9600000009</v>
      </c>
      <c r="AQ552" s="2421"/>
      <c r="AR552" s="2421"/>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9">
        <f>IFERROR(ROUNDDOWN(IF(C544="YES",((1-(AF551/AF552))*2),(1-(AF551/AF552))),2),0)</f>
        <v>0.44</v>
      </c>
      <c r="AG553" s="2429"/>
      <c r="AH553" s="2429"/>
      <c r="AI553" s="2429"/>
      <c r="AJ553" s="2429"/>
      <c r="AK553" s="595"/>
      <c r="AL553" s="595"/>
      <c r="AM553" s="595"/>
      <c r="AN553" s="597"/>
      <c r="AP553" s="2417">
        <f>Application!AJ1049</f>
        <v>27972684.640000001</v>
      </c>
      <c r="AQ553" s="2417"/>
      <c r="AR553" s="2417"/>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6">
        <f>IF(((AP552+AP553)/AP550)&gt;0.8,0.8,((AP552+AP553)/AP550))</f>
        <v>0.45</v>
      </c>
      <c r="AQ554" s="2436"/>
      <c r="AR554" s="2436"/>
      <c r="AS554" s="550" t="s">
        <v>2172</v>
      </c>
    </row>
    <row r="555" spans="1:49" s="550" customFormat="1" ht="12.75" customHeight="1">
      <c r="A555" s="624"/>
      <c r="B555" s="2503" t="s">
        <v>2032</v>
      </c>
      <c r="C555" s="2504"/>
      <c r="D555" s="2504"/>
      <c r="E555" s="2504"/>
      <c r="F555" s="2504"/>
      <c r="G555" s="2504"/>
      <c r="H555" s="2504"/>
      <c r="I555" s="2504"/>
      <c r="J555" s="2504"/>
      <c r="K555" s="2504"/>
      <c r="L555" s="2504"/>
      <c r="M555" s="2504"/>
      <c r="N555" s="2504"/>
      <c r="O555" s="2504"/>
      <c r="P555" s="2504"/>
      <c r="Q555" s="2504"/>
      <c r="R555" s="2504"/>
      <c r="S555" s="2504"/>
      <c r="T555" s="2504"/>
      <c r="U555" s="2504"/>
      <c r="V555" s="2504"/>
      <c r="W555" s="2504"/>
      <c r="X555" s="2504"/>
      <c r="Y555" s="2504"/>
      <c r="Z555" s="2504"/>
      <c r="AA555" s="2504"/>
      <c r="AB555" s="2504"/>
      <c r="AC555" s="2504"/>
      <c r="AD555" s="2504"/>
      <c r="AE555" s="2504"/>
      <c r="AF555" s="2504"/>
      <c r="AG555" s="2504"/>
      <c r="AH555" s="2504"/>
      <c r="AI555" s="2504"/>
      <c r="AJ555" s="2505"/>
      <c r="AK555" s="595"/>
      <c r="AL555" s="595"/>
      <c r="AM555" s="595"/>
      <c r="AN555" s="597"/>
    </row>
    <row r="556" spans="1:49" s="550" customFormat="1" ht="12.75" customHeight="1">
      <c r="A556" s="624"/>
      <c r="B556" s="2506"/>
      <c r="C556" s="2507"/>
      <c r="D556" s="2507"/>
      <c r="E556" s="2507"/>
      <c r="F556" s="2507"/>
      <c r="G556" s="2507"/>
      <c r="H556" s="2507"/>
      <c r="I556" s="2507"/>
      <c r="J556" s="2507"/>
      <c r="K556" s="2507"/>
      <c r="L556" s="2507"/>
      <c r="M556" s="2507"/>
      <c r="N556" s="2507"/>
      <c r="O556" s="2507"/>
      <c r="P556" s="2507"/>
      <c r="Q556" s="2507"/>
      <c r="R556" s="2507"/>
      <c r="S556" s="2507"/>
      <c r="T556" s="2507"/>
      <c r="U556" s="2507"/>
      <c r="V556" s="2507"/>
      <c r="W556" s="2507"/>
      <c r="X556" s="2507"/>
      <c r="Y556" s="2507"/>
      <c r="Z556" s="2507"/>
      <c r="AA556" s="2507"/>
      <c r="AB556" s="2507"/>
      <c r="AC556" s="2507"/>
      <c r="AD556" s="2507"/>
      <c r="AE556" s="2507"/>
      <c r="AF556" s="2507"/>
      <c r="AG556" s="2507"/>
      <c r="AH556" s="2507"/>
      <c r="AI556" s="2507"/>
      <c r="AJ556" s="2508"/>
      <c r="AK556" s="595"/>
      <c r="AL556" s="595"/>
      <c r="AM556" s="595"/>
      <c r="AN556" s="597"/>
      <c r="AP556" s="2421">
        <f>AP557-AP552-AP553</f>
        <v>90198794.000000015</v>
      </c>
      <c r="AQ556" s="2437"/>
      <c r="AR556" s="2437"/>
      <c r="AS556" s="550" t="s">
        <v>2174</v>
      </c>
    </row>
    <row r="557" spans="1:49" s="550" customFormat="1" ht="12.75" customHeight="1">
      <c r="A557" s="624"/>
      <c r="B557" s="2509"/>
      <c r="C557" s="2510"/>
      <c r="D557" s="2510"/>
      <c r="E557" s="2510"/>
      <c r="F557" s="2510"/>
      <c r="G557" s="2510"/>
      <c r="H557" s="2510"/>
      <c r="I557" s="2510"/>
      <c r="J557" s="2510"/>
      <c r="K557" s="2510"/>
      <c r="L557" s="2510"/>
      <c r="M557" s="2510"/>
      <c r="N557" s="2510"/>
      <c r="O557" s="2510"/>
      <c r="P557" s="2510"/>
      <c r="Q557" s="2510"/>
      <c r="R557" s="2510"/>
      <c r="S557" s="2510"/>
      <c r="T557" s="2510"/>
      <c r="U557" s="2510"/>
      <c r="V557" s="2510"/>
      <c r="W557" s="2510"/>
      <c r="X557" s="2510"/>
      <c r="Y557" s="2510"/>
      <c r="Z557" s="2510"/>
      <c r="AA557" s="2510"/>
      <c r="AB557" s="2510"/>
      <c r="AC557" s="2510"/>
      <c r="AD557" s="2510"/>
      <c r="AE557" s="2510"/>
      <c r="AF557" s="2510"/>
      <c r="AG557" s="2510"/>
      <c r="AH557" s="2510"/>
      <c r="AI557" s="2510"/>
      <c r="AJ557" s="2511"/>
      <c r="AK557" s="595"/>
      <c r="AL557" s="595"/>
      <c r="AM557" s="595"/>
      <c r="AN557" s="597"/>
      <c r="AP557" s="2421">
        <f>Application!AJ1053</f>
        <v>123324341.60000001</v>
      </c>
      <c r="AQ557" s="2421"/>
      <c r="AR557" s="2421"/>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12">
        <f>IFERROR(IF(AND(C541="N/A",C544="N/A"),0,IF(AF553=0,0,IF((AF553*100)&gt;12,12,(AF553*100)))),0)</f>
        <v>12</v>
      </c>
      <c r="AL559" s="2512"/>
      <c r="AM559" s="2513"/>
      <c r="AN559" s="597"/>
      <c r="AP559" s="2406">
        <f>AP556+(AP550*AP554)</f>
        <v>123324341.60000002</v>
      </c>
      <c r="AQ559" s="2407"/>
      <c r="AR559" s="2408"/>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3" t="s">
        <v>1315</v>
      </c>
      <c r="AF562" s="2463"/>
      <c r="AG562" s="2463"/>
      <c r="AH562" s="2463"/>
      <c r="AI562" s="2463"/>
      <c r="AJ562" s="2463"/>
      <c r="AK562" s="2463"/>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3" t="s">
        <v>2023</v>
      </c>
      <c r="C564" s="2423"/>
      <c r="D564" s="2423"/>
      <c r="E564" s="2423"/>
      <c r="F564" s="2423"/>
      <c r="G564" s="2423"/>
      <c r="H564" s="2423"/>
      <c r="I564" s="2423"/>
      <c r="J564" s="2423"/>
      <c r="K564" s="2423"/>
      <c r="L564" s="2423"/>
      <c r="M564" s="2423"/>
      <c r="N564" s="2423"/>
      <c r="O564" s="2423"/>
      <c r="P564" s="2423"/>
      <c r="Q564" s="2423"/>
      <c r="R564" s="2423"/>
      <c r="S564" s="2423"/>
      <c r="T564" s="2423"/>
      <c r="U564" s="2423"/>
      <c r="V564" s="2423"/>
      <c r="W564" s="2423"/>
      <c r="X564" s="2423"/>
      <c r="Y564" s="2423"/>
      <c r="Z564" s="2423"/>
      <c r="AA564" s="2423"/>
      <c r="AB564" s="2423"/>
      <c r="AC564" s="2423"/>
      <c r="AD564" s="2423"/>
      <c r="AE564" s="2423"/>
      <c r="AF564" s="2423"/>
      <c r="AG564" s="2423"/>
      <c r="AH564" s="2423"/>
      <c r="AI564" s="2423"/>
      <c r="AJ564" s="2423"/>
      <c r="AK564" s="642"/>
      <c r="AL564" s="573"/>
      <c r="AM564" s="603"/>
      <c r="AN564" s="597"/>
    </row>
    <row r="565" spans="1:42" s="550" customFormat="1" ht="12.75" customHeight="1">
      <c r="A565" s="603"/>
      <c r="B565" s="2423"/>
      <c r="C565" s="2423"/>
      <c r="D565" s="2423"/>
      <c r="E565" s="2423"/>
      <c r="F565" s="2423"/>
      <c r="G565" s="2423"/>
      <c r="H565" s="2423"/>
      <c r="I565" s="2423"/>
      <c r="J565" s="2423"/>
      <c r="K565" s="2423"/>
      <c r="L565" s="2423"/>
      <c r="M565" s="2423"/>
      <c r="N565" s="2423"/>
      <c r="O565" s="2423"/>
      <c r="P565" s="2423"/>
      <c r="Q565" s="2423"/>
      <c r="R565" s="2423"/>
      <c r="S565" s="2423"/>
      <c r="T565" s="2423"/>
      <c r="U565" s="2423"/>
      <c r="V565" s="2423"/>
      <c r="W565" s="2423"/>
      <c r="X565" s="2423"/>
      <c r="Y565" s="2423"/>
      <c r="Z565" s="2423"/>
      <c r="AA565" s="2423"/>
      <c r="AB565" s="2423"/>
      <c r="AC565" s="2423"/>
      <c r="AD565" s="2423"/>
      <c r="AE565" s="2423"/>
      <c r="AF565" s="2423"/>
      <c r="AG565" s="2423"/>
      <c r="AH565" s="2423"/>
      <c r="AI565" s="2423"/>
      <c r="AJ565" s="2423"/>
      <c r="AK565" s="642"/>
      <c r="AL565" s="573"/>
      <c r="AM565" s="603"/>
      <c r="AN565" s="597"/>
    </row>
    <row r="566" spans="1:42" s="550" customFormat="1" ht="12.75" customHeight="1">
      <c r="A566" s="603"/>
      <c r="B566" s="2423"/>
      <c r="C566" s="2423"/>
      <c r="D566" s="2423"/>
      <c r="E566" s="2423"/>
      <c r="F566" s="2423"/>
      <c r="G566" s="2423"/>
      <c r="H566" s="2423"/>
      <c r="I566" s="2423"/>
      <c r="J566" s="2423"/>
      <c r="K566" s="2423"/>
      <c r="L566" s="2423"/>
      <c r="M566" s="2423"/>
      <c r="N566" s="2423"/>
      <c r="O566" s="2423"/>
      <c r="P566" s="2423"/>
      <c r="Q566" s="2423"/>
      <c r="R566" s="2423"/>
      <c r="S566" s="2423"/>
      <c r="T566" s="2423"/>
      <c r="U566" s="2423"/>
      <c r="V566" s="2423"/>
      <c r="W566" s="2423"/>
      <c r="X566" s="2423"/>
      <c r="Y566" s="2423"/>
      <c r="Z566" s="2423"/>
      <c r="AA566" s="2423"/>
      <c r="AB566" s="2423"/>
      <c r="AC566" s="2423"/>
      <c r="AD566" s="2423"/>
      <c r="AE566" s="2423"/>
      <c r="AF566" s="2423"/>
      <c r="AG566" s="2423"/>
      <c r="AH566" s="2423"/>
      <c r="AI566" s="2423"/>
      <c r="AJ566" s="2423"/>
      <c r="AK566" s="642"/>
      <c r="AL566" s="573"/>
      <c r="AM566" s="603"/>
      <c r="AN566" s="597"/>
    </row>
    <row r="567" spans="1:42" s="550" customFormat="1" ht="12.75" customHeight="1">
      <c r="A567" s="603"/>
      <c r="B567" s="2423"/>
      <c r="C567" s="2423"/>
      <c r="D567" s="2423"/>
      <c r="E567" s="2423"/>
      <c r="F567" s="2423"/>
      <c r="G567" s="2423"/>
      <c r="H567" s="2423"/>
      <c r="I567" s="2423"/>
      <c r="J567" s="2423"/>
      <c r="K567" s="2423"/>
      <c r="L567" s="2423"/>
      <c r="M567" s="2423"/>
      <c r="N567" s="2423"/>
      <c r="O567" s="2423"/>
      <c r="P567" s="2423"/>
      <c r="Q567" s="2423"/>
      <c r="R567" s="2423"/>
      <c r="S567" s="2423"/>
      <c r="T567" s="2423"/>
      <c r="U567" s="2423"/>
      <c r="V567" s="2423"/>
      <c r="W567" s="2423"/>
      <c r="X567" s="2423"/>
      <c r="Y567" s="2423"/>
      <c r="Z567" s="2423"/>
      <c r="AA567" s="2423"/>
      <c r="AB567" s="2423"/>
      <c r="AC567" s="2423"/>
      <c r="AD567" s="2423"/>
      <c r="AE567" s="2423"/>
      <c r="AF567" s="2423"/>
      <c r="AG567" s="2423"/>
      <c r="AH567" s="2423"/>
      <c r="AI567" s="2423"/>
      <c r="AJ567" s="2423"/>
      <c r="AK567" s="642"/>
      <c r="AL567" s="573"/>
      <c r="AM567" s="603"/>
      <c r="AN567" s="597"/>
    </row>
    <row r="568" spans="1:42" s="550" customFormat="1" ht="12.75" customHeight="1">
      <c r="A568" s="603"/>
      <c r="B568" s="2423"/>
      <c r="C568" s="2423"/>
      <c r="D568" s="2423"/>
      <c r="E568" s="2423"/>
      <c r="F568" s="2423"/>
      <c r="G568" s="2423"/>
      <c r="H568" s="2423"/>
      <c r="I568" s="2423"/>
      <c r="J568" s="2423"/>
      <c r="K568" s="2423"/>
      <c r="L568" s="2423"/>
      <c r="M568" s="2423"/>
      <c r="N568" s="2423"/>
      <c r="O568" s="2423"/>
      <c r="P568" s="2423"/>
      <c r="Q568" s="2423"/>
      <c r="R568" s="2423"/>
      <c r="S568" s="2423"/>
      <c r="T568" s="2423"/>
      <c r="U568" s="2423"/>
      <c r="V568" s="2423"/>
      <c r="W568" s="2423"/>
      <c r="X568" s="2423"/>
      <c r="Y568" s="2423"/>
      <c r="Z568" s="2423"/>
      <c r="AA568" s="2423"/>
      <c r="AB568" s="2423"/>
      <c r="AC568" s="2423"/>
      <c r="AD568" s="2423"/>
      <c r="AE568" s="2423"/>
      <c r="AF568" s="2423"/>
      <c r="AG568" s="2423"/>
      <c r="AH568" s="2423"/>
      <c r="AI568" s="2423"/>
      <c r="AJ568" s="2423"/>
      <c r="AK568" s="642"/>
      <c r="AL568" s="573"/>
      <c r="AM568" s="603"/>
      <c r="AN568" s="597"/>
    </row>
    <row r="569" spans="1:42" s="550" customFormat="1" ht="12.75" customHeight="1">
      <c r="A569" s="603"/>
      <c r="B569" s="2423"/>
      <c r="C569" s="2423"/>
      <c r="D569" s="2423"/>
      <c r="E569" s="2423"/>
      <c r="F569" s="2423"/>
      <c r="G569" s="2423"/>
      <c r="H569" s="2423"/>
      <c r="I569" s="2423"/>
      <c r="J569" s="2423"/>
      <c r="K569" s="2423"/>
      <c r="L569" s="2423"/>
      <c r="M569" s="2423"/>
      <c r="N569" s="2423"/>
      <c r="O569" s="2423"/>
      <c r="P569" s="2423"/>
      <c r="Q569" s="2423"/>
      <c r="R569" s="2423"/>
      <c r="S569" s="2423"/>
      <c r="T569" s="2423"/>
      <c r="U569" s="2423"/>
      <c r="V569" s="2423"/>
      <c r="W569" s="2423"/>
      <c r="X569" s="2423"/>
      <c r="Y569" s="2423"/>
      <c r="Z569" s="2423"/>
      <c r="AA569" s="2423"/>
      <c r="AB569" s="2423"/>
      <c r="AC569" s="2423"/>
      <c r="AD569" s="2423"/>
      <c r="AE569" s="2423"/>
      <c r="AF569" s="2423"/>
      <c r="AG569" s="2423"/>
      <c r="AH569" s="2423"/>
      <c r="AI569" s="2423"/>
      <c r="AJ569" s="2423"/>
      <c r="AK569" s="642"/>
      <c r="AL569" s="573"/>
      <c r="AM569" s="603"/>
      <c r="AN569" s="597"/>
    </row>
    <row r="570" spans="1:42" s="550" customFormat="1" ht="12.75" customHeight="1">
      <c r="A570" s="603"/>
      <c r="B570" s="2423"/>
      <c r="C570" s="2423"/>
      <c r="D570" s="2423"/>
      <c r="E570" s="2423"/>
      <c r="F570" s="2423"/>
      <c r="G570" s="2423"/>
      <c r="H570" s="2423"/>
      <c r="I570" s="2423"/>
      <c r="J570" s="2423"/>
      <c r="K570" s="2423"/>
      <c r="L570" s="2423"/>
      <c r="M570" s="2423"/>
      <c r="N570" s="2423"/>
      <c r="O570" s="2423"/>
      <c r="P570" s="2423"/>
      <c r="Q570" s="2423"/>
      <c r="R570" s="2423"/>
      <c r="S570" s="2423"/>
      <c r="T570" s="2423"/>
      <c r="U570" s="2423"/>
      <c r="V570" s="2423"/>
      <c r="W570" s="2423"/>
      <c r="X570" s="2423"/>
      <c r="Y570" s="2423"/>
      <c r="Z570" s="2423"/>
      <c r="AA570" s="2423"/>
      <c r="AB570" s="2423"/>
      <c r="AC570" s="2423"/>
      <c r="AD570" s="2423"/>
      <c r="AE570" s="2423"/>
      <c r="AF570" s="2423"/>
      <c r="AG570" s="2423"/>
      <c r="AH570" s="2423"/>
      <c r="AI570" s="2423"/>
      <c r="AJ570" s="2423"/>
      <c r="AK570" s="642"/>
      <c r="AL570" s="573"/>
      <c r="AM570" s="603"/>
      <c r="AN570" s="597"/>
    </row>
    <row r="571" spans="1:42" ht="12.75" customHeight="1">
      <c r="A571" s="603"/>
      <c r="B571" s="2423"/>
      <c r="C571" s="2423"/>
      <c r="D571" s="2423"/>
      <c r="E571" s="2423"/>
      <c r="F571" s="2423"/>
      <c r="G571" s="2423"/>
      <c r="H571" s="2423"/>
      <c r="I571" s="2423"/>
      <c r="J571" s="2423"/>
      <c r="K571" s="2423"/>
      <c r="L571" s="2423"/>
      <c r="M571" s="2423"/>
      <c r="N571" s="2423"/>
      <c r="O571" s="2423"/>
      <c r="P571" s="2423"/>
      <c r="Q571" s="2423"/>
      <c r="R571" s="2423"/>
      <c r="S571" s="2423"/>
      <c r="T571" s="2423"/>
      <c r="U571" s="2423"/>
      <c r="V571" s="2423"/>
      <c r="W571" s="2423"/>
      <c r="X571" s="2423"/>
      <c r="Y571" s="2423"/>
      <c r="Z571" s="2423"/>
      <c r="AA571" s="2423"/>
      <c r="AB571" s="2423"/>
      <c r="AC571" s="2423"/>
      <c r="AD571" s="2423"/>
      <c r="AE571" s="2423"/>
      <c r="AF571" s="2423"/>
      <c r="AG571" s="2423"/>
      <c r="AH571" s="2423"/>
      <c r="AI571" s="2423"/>
      <c r="AJ571" s="2423"/>
      <c r="AK571" s="642"/>
      <c r="AL571" s="573"/>
      <c r="AM571" s="603"/>
    </row>
    <row r="572" spans="1:42" s="550" customFormat="1" ht="12.75" customHeight="1">
      <c r="B572" s="2423"/>
      <c r="C572" s="2423"/>
      <c r="D572" s="2423"/>
      <c r="E572" s="2423"/>
      <c r="F572" s="2423"/>
      <c r="G572" s="2423"/>
      <c r="H572" s="2423"/>
      <c r="I572" s="2423"/>
      <c r="J572" s="2423"/>
      <c r="K572" s="2423"/>
      <c r="L572" s="2423"/>
      <c r="M572" s="2423"/>
      <c r="N572" s="2423"/>
      <c r="O572" s="2423"/>
      <c r="P572" s="2423"/>
      <c r="Q572" s="2423"/>
      <c r="R572" s="2423"/>
      <c r="S572" s="2423"/>
      <c r="T572" s="2423"/>
      <c r="U572" s="2423"/>
      <c r="V572" s="2423"/>
      <c r="W572" s="2423"/>
      <c r="X572" s="2423"/>
      <c r="Y572" s="2423"/>
      <c r="Z572" s="2423"/>
      <c r="AA572" s="2423"/>
      <c r="AB572" s="2423"/>
      <c r="AC572" s="2423"/>
      <c r="AD572" s="2423"/>
      <c r="AE572" s="2423"/>
      <c r="AF572" s="2423"/>
      <c r="AG572" s="2423"/>
      <c r="AH572" s="2423"/>
      <c r="AI572" s="2423"/>
      <c r="AJ572" s="2423"/>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3" t="s">
        <v>1339</v>
      </c>
      <c r="AG578" s="2523"/>
      <c r="AH578" s="2523"/>
      <c r="AI578" s="2523"/>
      <c r="AJ578" s="2523"/>
      <c r="AK578" s="2523"/>
      <c r="AL578" s="2523"/>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0</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1</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3" t="s">
        <v>1397</v>
      </c>
      <c r="AG585" s="2523"/>
      <c r="AH585" s="2523"/>
      <c r="AI585" s="2523"/>
      <c r="AJ585" s="2523"/>
      <c r="AK585" s="2523"/>
      <c r="AL585" s="2523"/>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0</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3" t="s">
        <v>1379</v>
      </c>
      <c r="AG591" s="2523"/>
      <c r="AH591" s="2523"/>
      <c r="AI591" s="2523"/>
      <c r="AJ591" s="2523"/>
      <c r="AK591" s="2523"/>
      <c r="AL591" s="2523"/>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3" t="s">
        <v>1400</v>
      </c>
      <c r="AG597" s="2523"/>
      <c r="AH597" s="2523"/>
      <c r="AI597" s="2523"/>
      <c r="AJ597" s="2523"/>
      <c r="AK597" s="2523"/>
      <c r="AL597" s="2523"/>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9" t="s">
        <v>1185</v>
      </c>
      <c r="P601" s="2539"/>
      <c r="Q601" s="2539"/>
      <c r="R601" s="2539"/>
      <c r="S601" s="2539"/>
      <c r="T601" s="2539"/>
      <c r="U601" s="2539"/>
      <c r="V601" s="2539"/>
      <c r="W601" s="2539"/>
      <c r="X601" s="2539"/>
      <c r="Y601" s="2539"/>
      <c r="Z601" s="2539"/>
      <c r="AA601" s="2539"/>
      <c r="AB601" s="2539"/>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3" t="s">
        <v>1353</v>
      </c>
      <c r="AG603" s="2523"/>
      <c r="AH603" s="2523"/>
      <c r="AI603" s="2523"/>
      <c r="AJ603" s="2523"/>
      <c r="AK603" s="2523"/>
      <c r="AL603" s="2523"/>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47" t="s">
        <v>510</v>
      </c>
      <c r="I606" s="2447"/>
      <c r="J606" s="936"/>
      <c r="K606" s="936"/>
      <c r="L606" s="936"/>
      <c r="N606" s="22"/>
      <c r="O606" s="22"/>
      <c r="P606" s="22"/>
      <c r="Q606" s="1151" t="s">
        <v>2177</v>
      </c>
      <c r="R606" s="2540" t="s">
        <v>2178</v>
      </c>
      <c r="S606" s="2540"/>
      <c r="T606" s="2540"/>
      <c r="U606" s="2540"/>
      <c r="V606" s="2540"/>
      <c r="W606" s="2540"/>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1" t="str">
        <f>IF(AND(H606="(i)",NOT(AP582)),AO599,IF(AND(H606="(iv)",OR(R606=AO595,R606=AO594),NOT(AP583)),AO600,""))</f>
        <v/>
      </c>
      <c r="Z607" s="2541"/>
      <c r="AA607" s="2541"/>
      <c r="AB607" s="2541"/>
      <c r="AC607" s="2541"/>
      <c r="AD607" s="2541"/>
      <c r="AE607" s="2541"/>
      <c r="AF607" s="2541"/>
      <c r="AG607" s="2541"/>
      <c r="AH607" s="2541"/>
      <c r="AI607" s="2541"/>
      <c r="AJ607" s="2541"/>
      <c r="AK607" s="2541"/>
      <c r="AL607" s="2541"/>
      <c r="AM607" s="2542"/>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1"/>
      <c r="Z608" s="2541"/>
      <c r="AA608" s="2541"/>
      <c r="AB608" s="2541"/>
      <c r="AC608" s="2541"/>
      <c r="AD608" s="2541"/>
      <c r="AE608" s="2541"/>
      <c r="AF608" s="2541"/>
      <c r="AG608" s="2541"/>
      <c r="AH608" s="2541"/>
      <c r="AI608" s="2541"/>
      <c r="AJ608" s="2541"/>
      <c r="AK608" s="2541"/>
      <c r="AL608" s="2541"/>
      <c r="AM608" s="2542"/>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8" t="s">
        <v>592</v>
      </c>
      <c r="J614" s="2538"/>
      <c r="K614" s="2538"/>
      <c r="L614" s="2538"/>
      <c r="M614" s="2538"/>
      <c r="N614" s="2538"/>
      <c r="O614" s="2538"/>
      <c r="P614" s="2538"/>
      <c r="Q614" s="2538"/>
      <c r="R614" s="2538"/>
      <c r="S614" s="2538"/>
      <c r="T614" s="2538"/>
      <c r="U614" s="2538"/>
      <c r="V614" s="2538"/>
      <c r="W614" s="2538"/>
      <c r="X614" s="2538"/>
      <c r="Y614" s="2538"/>
      <c r="Z614" s="2538"/>
      <c r="AA614" s="2538"/>
      <c r="AB614" s="2538"/>
      <c r="AC614" s="2538"/>
      <c r="AD614" s="2538"/>
      <c r="AE614" s="2538"/>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95" t="s">
        <v>592</v>
      </c>
      <c r="C616" s="2395"/>
      <c r="D616" s="642"/>
      <c r="E616" s="2423" t="s">
        <v>1404</v>
      </c>
      <c r="F616" s="2423"/>
      <c r="G616" s="2423"/>
      <c r="H616" s="2423"/>
      <c r="I616" s="2423"/>
      <c r="J616" s="2423"/>
      <c r="K616" s="2423"/>
      <c r="L616" s="2423"/>
      <c r="M616" s="2423"/>
      <c r="N616" s="2423"/>
      <c r="O616" s="2423"/>
      <c r="P616" s="2423"/>
      <c r="Q616" s="2423"/>
      <c r="R616" s="2423"/>
      <c r="S616" s="2423"/>
      <c r="T616" s="2423"/>
      <c r="U616" s="2423"/>
      <c r="V616" s="2423"/>
      <c r="W616" s="2423"/>
      <c r="X616" s="2423"/>
      <c r="Y616" s="2423"/>
      <c r="Z616" s="2423"/>
      <c r="AA616" s="2423"/>
      <c r="AB616" s="2423"/>
      <c r="AC616" s="2423"/>
      <c r="AD616" s="2423"/>
      <c r="AE616" s="2423"/>
      <c r="AF616" s="2423"/>
      <c r="AG616" s="2423"/>
      <c r="AH616" s="642"/>
      <c r="AI616" s="642"/>
      <c r="AJ616" s="642"/>
      <c r="AK616" s="642"/>
      <c r="AL616" s="642"/>
      <c r="AN616" s="597"/>
    </row>
    <row r="617" spans="1:42" s="550" customFormat="1" ht="12.75" customHeight="1">
      <c r="B617" s="536"/>
      <c r="C617" s="933"/>
      <c r="D617" s="642"/>
      <c r="E617" s="2423"/>
      <c r="F617" s="2423"/>
      <c r="G617" s="2423"/>
      <c r="H617" s="2423"/>
      <c r="I617" s="2423"/>
      <c r="J617" s="2423"/>
      <c r="K617" s="2423"/>
      <c r="L617" s="2423"/>
      <c r="M617" s="2423"/>
      <c r="N617" s="2423"/>
      <c r="O617" s="2423"/>
      <c r="P617" s="2423"/>
      <c r="Q617" s="2423"/>
      <c r="R617" s="2423"/>
      <c r="S617" s="2423"/>
      <c r="T617" s="2423"/>
      <c r="U617" s="2423"/>
      <c r="V617" s="2423"/>
      <c r="W617" s="2423"/>
      <c r="X617" s="2423"/>
      <c r="Y617" s="2423"/>
      <c r="Z617" s="2423"/>
      <c r="AA617" s="2423"/>
      <c r="AB617" s="2423"/>
      <c r="AC617" s="2423"/>
      <c r="AD617" s="2423"/>
      <c r="AE617" s="2423"/>
      <c r="AF617" s="2423"/>
      <c r="AG617" s="2423"/>
      <c r="AH617" s="642"/>
      <c r="AI617" s="642"/>
      <c r="AJ617" s="642"/>
      <c r="AK617" s="642"/>
      <c r="AL617" s="642"/>
      <c r="AN617" s="597"/>
    </row>
    <row r="618" spans="1:42" s="550" customFormat="1" ht="12.75" customHeight="1">
      <c r="B618" s="536"/>
      <c r="C618" s="933"/>
      <c r="D618" s="642"/>
      <c r="E618" s="2423"/>
      <c r="F618" s="2423"/>
      <c r="G618" s="2423"/>
      <c r="H618" s="2423"/>
      <c r="I618" s="2423"/>
      <c r="J618" s="2423"/>
      <c r="K618" s="2423"/>
      <c r="L618" s="2423"/>
      <c r="M618" s="2423"/>
      <c r="N618" s="2423"/>
      <c r="O618" s="2423"/>
      <c r="P618" s="2423"/>
      <c r="Q618" s="2423"/>
      <c r="R618" s="2423"/>
      <c r="S618" s="2423"/>
      <c r="T618" s="2423"/>
      <c r="U618" s="2423"/>
      <c r="V618" s="2423"/>
      <c r="W618" s="2423"/>
      <c r="X618" s="2423"/>
      <c r="Y618" s="2423"/>
      <c r="Z618" s="2423"/>
      <c r="AA618" s="2423"/>
      <c r="AB618" s="2423"/>
      <c r="AC618" s="2423"/>
      <c r="AD618" s="2423"/>
      <c r="AE618" s="2423"/>
      <c r="AF618" s="2423"/>
      <c r="AG618" s="2423"/>
      <c r="AH618" s="642"/>
      <c r="AI618" s="642"/>
      <c r="AJ618" s="642"/>
      <c r="AK618" s="642"/>
      <c r="AL618" s="642"/>
      <c r="AN618" s="597"/>
    </row>
    <row r="619" spans="1:42" s="550" customFormat="1" ht="12.75" customHeight="1">
      <c r="B619" s="536"/>
      <c r="C619" s="933"/>
      <c r="D619" s="642"/>
      <c r="E619" s="2423"/>
      <c r="F619" s="2423"/>
      <c r="G619" s="2423"/>
      <c r="H619" s="2423"/>
      <c r="I619" s="2423"/>
      <c r="J619" s="2423"/>
      <c r="K619" s="2423"/>
      <c r="L619" s="2423"/>
      <c r="M619" s="2423"/>
      <c r="N619" s="2423"/>
      <c r="O619" s="2423"/>
      <c r="P619" s="2423"/>
      <c r="Q619" s="2423"/>
      <c r="R619" s="2423"/>
      <c r="S619" s="2423"/>
      <c r="T619" s="2423"/>
      <c r="U619" s="2423"/>
      <c r="V619" s="2423"/>
      <c r="W619" s="2423"/>
      <c r="X619" s="2423"/>
      <c r="Y619" s="2423"/>
      <c r="Z619" s="2423"/>
      <c r="AA619" s="2423"/>
      <c r="AB619" s="2423"/>
      <c r="AC619" s="2423"/>
      <c r="AD619" s="2423"/>
      <c r="AE619" s="2423"/>
      <c r="AF619" s="2423"/>
      <c r="AG619" s="2423"/>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30">
        <f>VLOOKUP($H$606,$AO$586:$AP$591,2,FALSE)+IF(R606=AO594,0,VLOOKUP($I$614,$AO$613:$AP$615,2,FALSE))</f>
        <v>6</v>
      </c>
      <c r="AK621" s="2432"/>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7" t="s">
        <v>1695</v>
      </c>
      <c r="F625" s="2537"/>
      <c r="G625" s="2537"/>
      <c r="H625" s="2537"/>
      <c r="I625" s="2537"/>
      <c r="J625" s="2537"/>
      <c r="K625" s="2537"/>
      <c r="L625" s="2537"/>
      <c r="M625" s="2537"/>
      <c r="N625" s="2537"/>
      <c r="O625" s="2537"/>
      <c r="P625" s="2537"/>
      <c r="Q625" s="2537"/>
      <c r="R625" s="2537"/>
      <c r="S625" s="2537"/>
      <c r="T625" s="2537"/>
      <c r="U625" s="2537"/>
      <c r="V625" s="2537"/>
      <c r="W625" s="2537"/>
      <c r="X625" s="2537"/>
      <c r="Y625" s="2537"/>
      <c r="Z625" s="2537"/>
      <c r="AA625" s="2537"/>
      <c r="AB625" s="2537"/>
      <c r="AC625" s="2537"/>
      <c r="AD625" s="2537"/>
      <c r="AE625" s="539"/>
      <c r="AF625" s="2523" t="s">
        <v>1353</v>
      </c>
      <c r="AG625" s="2523"/>
      <c r="AH625" s="2523"/>
      <c r="AI625" s="2523"/>
      <c r="AJ625" s="2523"/>
      <c r="AK625" s="2523"/>
      <c r="AL625" s="2523"/>
      <c r="AM625" s="550"/>
      <c r="AN625" s="678"/>
    </row>
    <row r="626" spans="1:42" s="550" customFormat="1" ht="12.75" customHeight="1">
      <c r="A626" s="679"/>
      <c r="B626" s="536"/>
      <c r="C626" s="933"/>
      <c r="D626" s="663"/>
      <c r="E626" s="2537"/>
      <c r="F626" s="2537"/>
      <c r="G626" s="2537"/>
      <c r="H626" s="2537"/>
      <c r="I626" s="2537"/>
      <c r="J626" s="2537"/>
      <c r="K626" s="2537"/>
      <c r="L626" s="2537"/>
      <c r="M626" s="2537"/>
      <c r="N626" s="2537"/>
      <c r="O626" s="2537"/>
      <c r="P626" s="2537"/>
      <c r="Q626" s="2537"/>
      <c r="R626" s="2537"/>
      <c r="S626" s="2537"/>
      <c r="T626" s="2537"/>
      <c r="U626" s="2537"/>
      <c r="V626" s="2537"/>
      <c r="W626" s="2537"/>
      <c r="X626" s="2537"/>
      <c r="Y626" s="2537"/>
      <c r="Z626" s="2537"/>
      <c r="AA626" s="2537"/>
      <c r="AB626" s="2537"/>
      <c r="AC626" s="2537"/>
      <c r="AD626" s="2537"/>
      <c r="AE626" s="536"/>
      <c r="AF626" s="536"/>
      <c r="AG626" s="536"/>
      <c r="AH626" s="536"/>
      <c r="AI626" s="536"/>
      <c r="AJ626" s="536"/>
      <c r="AK626" s="536"/>
      <c r="AL626" s="536"/>
      <c r="AN626" s="597"/>
    </row>
    <row r="627" spans="1:42" s="550" customFormat="1" ht="12.75" customHeight="1">
      <c r="B627" s="536"/>
      <c r="C627" s="931"/>
      <c r="D627" s="663"/>
      <c r="E627" s="2537"/>
      <c r="F627" s="2537"/>
      <c r="G627" s="2537"/>
      <c r="H627" s="2537"/>
      <c r="I627" s="2537"/>
      <c r="J627" s="2537"/>
      <c r="K627" s="2537"/>
      <c r="L627" s="2537"/>
      <c r="M627" s="2537"/>
      <c r="N627" s="2537"/>
      <c r="O627" s="2537"/>
      <c r="P627" s="2537"/>
      <c r="Q627" s="2537"/>
      <c r="R627" s="2537"/>
      <c r="S627" s="2537"/>
      <c r="T627" s="2537"/>
      <c r="U627" s="2537"/>
      <c r="V627" s="2537"/>
      <c r="W627" s="2537"/>
      <c r="X627" s="2537"/>
      <c r="Y627" s="2537"/>
      <c r="Z627" s="2537"/>
      <c r="AA627" s="2537"/>
      <c r="AB627" s="2537"/>
      <c r="AC627" s="2537"/>
      <c r="AD627" s="2537"/>
      <c r="AE627" s="536"/>
      <c r="AF627" s="536"/>
      <c r="AG627" s="536"/>
      <c r="AH627" s="536"/>
      <c r="AI627" s="536"/>
      <c r="AJ627" s="536"/>
      <c r="AK627" s="536"/>
      <c r="AL627" s="536"/>
      <c r="AN627" s="597"/>
    </row>
    <row r="628" spans="1:42" s="550" customFormat="1" ht="12.75" customHeight="1">
      <c r="B628" s="536"/>
      <c r="C628" s="931"/>
      <c r="D628" s="663"/>
      <c r="E628" s="2537"/>
      <c r="F628" s="2537"/>
      <c r="G628" s="2537"/>
      <c r="H628" s="2537"/>
      <c r="I628" s="2537"/>
      <c r="J628" s="2537"/>
      <c r="K628" s="2537"/>
      <c r="L628" s="2537"/>
      <c r="M628" s="2537"/>
      <c r="N628" s="2537"/>
      <c r="O628" s="2537"/>
      <c r="P628" s="2537"/>
      <c r="Q628" s="2537"/>
      <c r="R628" s="2537"/>
      <c r="S628" s="2537"/>
      <c r="T628" s="2537"/>
      <c r="U628" s="2537"/>
      <c r="V628" s="2537"/>
      <c r="W628" s="2537"/>
      <c r="X628" s="2537"/>
      <c r="Y628" s="2537"/>
      <c r="Z628" s="2537"/>
      <c r="AA628" s="2537"/>
      <c r="AB628" s="2537"/>
      <c r="AC628" s="2537"/>
      <c r="AD628" s="2537"/>
      <c r="AE628" s="536"/>
      <c r="AF628" s="536"/>
      <c r="AG628" s="536"/>
      <c r="AH628" s="536"/>
      <c r="AI628" s="536"/>
      <c r="AJ628" s="536"/>
      <c r="AK628" s="536"/>
      <c r="AL628" s="536"/>
      <c r="AN628" s="597"/>
    </row>
    <row r="629" spans="1:42" s="550" customFormat="1" ht="12.75" customHeight="1">
      <c r="B629" s="536"/>
      <c r="C629" s="931"/>
      <c r="D629" s="663"/>
      <c r="E629" s="2537"/>
      <c r="F629" s="2537"/>
      <c r="G629" s="2537"/>
      <c r="H629" s="2537"/>
      <c r="I629" s="2537"/>
      <c r="J629" s="2537"/>
      <c r="K629" s="2537"/>
      <c r="L629" s="2537"/>
      <c r="M629" s="2537"/>
      <c r="N629" s="2537"/>
      <c r="O629" s="2537"/>
      <c r="P629" s="2537"/>
      <c r="Q629" s="2537"/>
      <c r="R629" s="2537"/>
      <c r="S629" s="2537"/>
      <c r="T629" s="2537"/>
      <c r="U629" s="2537"/>
      <c r="V629" s="2537"/>
      <c r="W629" s="2537"/>
      <c r="X629" s="2537"/>
      <c r="Y629" s="2537"/>
      <c r="Z629" s="2537"/>
      <c r="AA629" s="2537"/>
      <c r="AB629" s="2537"/>
      <c r="AC629" s="2537"/>
      <c r="AD629" s="2537"/>
      <c r="AE629" s="536"/>
      <c r="AF629" s="536"/>
      <c r="AG629" s="536"/>
      <c r="AH629" s="536"/>
      <c r="AI629" s="536"/>
      <c r="AJ629" s="536"/>
      <c r="AK629" s="536"/>
      <c r="AL629" s="536"/>
      <c r="AN629" s="597"/>
    </row>
    <row r="630" spans="1:42" s="550" customFormat="1" ht="12.75" customHeight="1">
      <c r="B630" s="536"/>
      <c r="C630" s="931"/>
      <c r="D630" s="663"/>
      <c r="E630" s="2537"/>
      <c r="F630" s="2537"/>
      <c r="G630" s="2537"/>
      <c r="H630" s="2537"/>
      <c r="I630" s="2537"/>
      <c r="J630" s="2537"/>
      <c r="K630" s="2537"/>
      <c r="L630" s="2537"/>
      <c r="M630" s="2537"/>
      <c r="N630" s="2537"/>
      <c r="O630" s="2537"/>
      <c r="P630" s="2537"/>
      <c r="Q630" s="2537"/>
      <c r="R630" s="2537"/>
      <c r="S630" s="2537"/>
      <c r="T630" s="2537"/>
      <c r="U630" s="2537"/>
      <c r="V630" s="2537"/>
      <c r="W630" s="2537"/>
      <c r="X630" s="2537"/>
      <c r="Y630" s="2537"/>
      <c r="Z630" s="2537"/>
      <c r="AA630" s="2537"/>
      <c r="AB630" s="2537"/>
      <c r="AC630" s="2537"/>
      <c r="AD630" s="2537"/>
      <c r="AE630" s="536"/>
      <c r="AF630" s="536"/>
      <c r="AG630" s="536"/>
      <c r="AH630" s="536"/>
      <c r="AI630" s="536"/>
      <c r="AJ630" s="536"/>
      <c r="AK630" s="536"/>
      <c r="AL630" s="536"/>
      <c r="AN630" s="597"/>
    </row>
    <row r="631" spans="1:42" s="550" customFormat="1" ht="12.75" customHeight="1">
      <c r="A631" s="637"/>
      <c r="B631" s="616"/>
      <c r="C631" s="940"/>
      <c r="D631" s="663"/>
      <c r="E631" s="2537"/>
      <c r="F631" s="2537"/>
      <c r="G631" s="2537"/>
      <c r="H631" s="2537"/>
      <c r="I631" s="2537"/>
      <c r="J631" s="2537"/>
      <c r="K631" s="2537"/>
      <c r="L631" s="2537"/>
      <c r="M631" s="2537"/>
      <c r="N631" s="2537"/>
      <c r="O631" s="2537"/>
      <c r="P631" s="2537"/>
      <c r="Q631" s="2537"/>
      <c r="R631" s="2537"/>
      <c r="S631" s="2537"/>
      <c r="T631" s="2537"/>
      <c r="U631" s="2537"/>
      <c r="V631" s="2537"/>
      <c r="W631" s="2537"/>
      <c r="X631" s="2537"/>
      <c r="Y631" s="2537"/>
      <c r="Z631" s="2537"/>
      <c r="AA631" s="2537"/>
      <c r="AB631" s="2537"/>
      <c r="AC631" s="2537"/>
      <c r="AD631" s="2537"/>
      <c r="AE631" s="616"/>
      <c r="AF631" s="616"/>
      <c r="AG631" s="616"/>
      <c r="AH631" s="616"/>
      <c r="AI631" s="616"/>
      <c r="AJ631" s="616"/>
      <c r="AK631" s="536"/>
      <c r="AL631" s="536"/>
      <c r="AN631" s="597"/>
    </row>
    <row r="632" spans="1:42" s="550" customFormat="1" ht="12.75" customHeight="1">
      <c r="B632" s="616"/>
      <c r="C632" s="940"/>
      <c r="D632" s="663"/>
      <c r="E632" s="2537"/>
      <c r="F632" s="2537"/>
      <c r="G632" s="2537"/>
      <c r="H632" s="2537"/>
      <c r="I632" s="2537"/>
      <c r="J632" s="2537"/>
      <c r="K632" s="2537"/>
      <c r="L632" s="2537"/>
      <c r="M632" s="2537"/>
      <c r="N632" s="2537"/>
      <c r="O632" s="2537"/>
      <c r="P632" s="2537"/>
      <c r="Q632" s="2537"/>
      <c r="R632" s="2537"/>
      <c r="S632" s="2537"/>
      <c r="T632" s="2537"/>
      <c r="U632" s="2537"/>
      <c r="V632" s="2537"/>
      <c r="W632" s="2537"/>
      <c r="X632" s="2537"/>
      <c r="Y632" s="2537"/>
      <c r="Z632" s="2537"/>
      <c r="AA632" s="2537"/>
      <c r="AB632" s="2537"/>
      <c r="AC632" s="2537"/>
      <c r="AD632" s="2537"/>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95" t="s">
        <v>592</v>
      </c>
      <c r="Y634" s="2395"/>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3" t="s">
        <v>1409</v>
      </c>
      <c r="AG636" s="2523"/>
      <c r="AH636" s="2523"/>
      <c r="AI636" s="2523"/>
      <c r="AJ636" s="2523"/>
      <c r="AK636" s="2523"/>
      <c r="AL636" s="2523"/>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47" t="s">
        <v>688</v>
      </c>
      <c r="I638" s="2447"/>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30">
        <f>VLOOKUP($H$638,$AO$605:$AP$607,2,FALSE)</f>
        <v>3</v>
      </c>
      <c r="AK640" s="2432"/>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3" t="s">
        <v>2098</v>
      </c>
      <c r="F644" s="2423"/>
      <c r="G644" s="2423"/>
      <c r="H644" s="2423"/>
      <c r="I644" s="2423"/>
      <c r="J644" s="2423"/>
      <c r="K644" s="2423"/>
      <c r="L644" s="2423"/>
      <c r="M644" s="2423"/>
      <c r="N644" s="2423"/>
      <c r="O644" s="2423"/>
      <c r="P644" s="2423"/>
      <c r="Q644" s="2423"/>
      <c r="R644" s="2423"/>
      <c r="S644" s="2423"/>
      <c r="T644" s="2423"/>
      <c r="U644" s="2423"/>
      <c r="V644" s="2423"/>
      <c r="W644" s="2423"/>
      <c r="X644" s="2423"/>
      <c r="Y644" s="2423"/>
      <c r="Z644" s="2423"/>
      <c r="AA644" s="2423"/>
      <c r="AB644" s="2423"/>
      <c r="AC644" s="2423"/>
      <c r="AD644" s="2423"/>
      <c r="AE644" s="536"/>
      <c r="AF644" s="2523" t="s">
        <v>1353</v>
      </c>
      <c r="AG644" s="2523"/>
      <c r="AH644" s="2523"/>
      <c r="AI644" s="2523"/>
      <c r="AJ644" s="2523"/>
      <c r="AK644" s="2523"/>
      <c r="AL644" s="2523"/>
      <c r="AN644" s="597"/>
    </row>
    <row r="645" spans="1:42" s="550" customFormat="1" ht="12.75" customHeight="1">
      <c r="B645" s="536"/>
      <c r="C645" s="536"/>
      <c r="D645" s="663"/>
      <c r="E645" s="2423"/>
      <c r="F645" s="2423"/>
      <c r="G645" s="2423"/>
      <c r="H645" s="2423"/>
      <c r="I645" s="2423"/>
      <c r="J645" s="2423"/>
      <c r="K645" s="2423"/>
      <c r="L645" s="2423"/>
      <c r="M645" s="2423"/>
      <c r="N645" s="2423"/>
      <c r="O645" s="2423"/>
      <c r="P645" s="2423"/>
      <c r="Q645" s="2423"/>
      <c r="R645" s="2423"/>
      <c r="S645" s="2423"/>
      <c r="T645" s="2423"/>
      <c r="U645" s="2423"/>
      <c r="V645" s="2423"/>
      <c r="W645" s="2423"/>
      <c r="X645" s="2423"/>
      <c r="Y645" s="2423"/>
      <c r="Z645" s="2423"/>
      <c r="AA645" s="2423"/>
      <c r="AB645" s="2423"/>
      <c r="AC645" s="2423"/>
      <c r="AD645" s="2423"/>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3" t="s">
        <v>1409</v>
      </c>
      <c r="AG647" s="2523"/>
      <c r="AH647" s="2523"/>
      <c r="AI647" s="2523"/>
      <c r="AJ647" s="2523"/>
      <c r="AK647" s="2523"/>
      <c r="AL647" s="2523"/>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47" t="s">
        <v>592</v>
      </c>
      <c r="I650" s="2447"/>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30">
        <f>VLOOKUP(H650,AT605:AU607,2,FALSE)</f>
        <v>0</v>
      </c>
      <c r="AK652" s="2432"/>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3" t="s">
        <v>1419</v>
      </c>
      <c r="F657" s="2423"/>
      <c r="G657" s="2423"/>
      <c r="H657" s="2423"/>
      <c r="I657" s="2423"/>
      <c r="J657" s="2423"/>
      <c r="K657" s="2423"/>
      <c r="L657" s="2423"/>
      <c r="M657" s="2423"/>
      <c r="N657" s="2423"/>
      <c r="O657" s="2423"/>
      <c r="P657" s="2423"/>
      <c r="Q657" s="2423"/>
      <c r="R657" s="2423"/>
      <c r="S657" s="2423"/>
      <c r="T657" s="2423"/>
      <c r="U657" s="2423"/>
      <c r="V657" s="2423"/>
      <c r="W657" s="2423"/>
      <c r="X657" s="2423"/>
      <c r="Y657" s="2423"/>
      <c r="Z657" s="2423"/>
      <c r="AA657" s="2423"/>
      <c r="AB657" s="2423"/>
      <c r="AC657" s="2423"/>
      <c r="AD657" s="536"/>
      <c r="AE657" s="536"/>
      <c r="AF657" s="2523" t="s">
        <v>1379</v>
      </c>
      <c r="AG657" s="2523"/>
      <c r="AH657" s="2523"/>
      <c r="AI657" s="2523"/>
      <c r="AJ657" s="2523"/>
      <c r="AK657" s="2523"/>
      <c r="AL657" s="2523"/>
      <c r="AN657" s="597"/>
    </row>
    <row r="658" spans="1:42" s="550" customFormat="1" ht="12.75" customHeight="1">
      <c r="B658" s="536"/>
      <c r="C658" s="539"/>
      <c r="D658" s="536"/>
      <c r="E658" s="2423"/>
      <c r="F658" s="2423"/>
      <c r="G658" s="2423"/>
      <c r="H658" s="2423"/>
      <c r="I658" s="2423"/>
      <c r="J658" s="2423"/>
      <c r="K658" s="2423"/>
      <c r="L658" s="2423"/>
      <c r="M658" s="2423"/>
      <c r="N658" s="2423"/>
      <c r="O658" s="2423"/>
      <c r="P658" s="2423"/>
      <c r="Q658" s="2423"/>
      <c r="R658" s="2423"/>
      <c r="S658" s="2423"/>
      <c r="T658" s="2423"/>
      <c r="U658" s="2423"/>
      <c r="V658" s="2423"/>
      <c r="W658" s="2423"/>
      <c r="X658" s="2423"/>
      <c r="Y658" s="2423"/>
      <c r="Z658" s="2423"/>
      <c r="AA658" s="2423"/>
      <c r="AB658" s="2423"/>
      <c r="AC658" s="2423"/>
      <c r="AD658" s="536"/>
      <c r="AE658" s="536"/>
      <c r="AF658" s="536"/>
      <c r="AG658" s="536"/>
      <c r="AH658" s="536"/>
      <c r="AI658" s="536"/>
      <c r="AJ658" s="536"/>
      <c r="AK658" s="536"/>
      <c r="AL658" s="536"/>
      <c r="AN658" s="597"/>
    </row>
    <row r="659" spans="1:42" s="550" customFormat="1" ht="12.75" customHeight="1">
      <c r="B659" s="536"/>
      <c r="C659" s="539"/>
      <c r="D659" s="663"/>
      <c r="E659" s="2423"/>
      <c r="F659" s="2423"/>
      <c r="G659" s="2423"/>
      <c r="H659" s="2423"/>
      <c r="I659" s="2423"/>
      <c r="J659" s="2423"/>
      <c r="K659" s="2423"/>
      <c r="L659" s="2423"/>
      <c r="M659" s="2423"/>
      <c r="N659" s="2423"/>
      <c r="O659" s="2423"/>
      <c r="P659" s="2423"/>
      <c r="Q659" s="2423"/>
      <c r="R659" s="2423"/>
      <c r="S659" s="2423"/>
      <c r="T659" s="2423"/>
      <c r="U659" s="2423"/>
      <c r="V659" s="2423"/>
      <c r="W659" s="2423"/>
      <c r="X659" s="2423"/>
      <c r="Y659" s="2423"/>
      <c r="Z659" s="2423"/>
      <c r="AA659" s="2423"/>
      <c r="AB659" s="2423"/>
      <c r="AC659" s="2423"/>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3" t="s">
        <v>1420</v>
      </c>
      <c r="F661" s="2423"/>
      <c r="G661" s="2423"/>
      <c r="H661" s="2423"/>
      <c r="I661" s="2423"/>
      <c r="J661" s="2423"/>
      <c r="K661" s="2423"/>
      <c r="L661" s="2423"/>
      <c r="M661" s="2423"/>
      <c r="N661" s="2423"/>
      <c r="O661" s="2423"/>
      <c r="P661" s="2423"/>
      <c r="Q661" s="2423"/>
      <c r="R661" s="2423"/>
      <c r="S661" s="2423"/>
      <c r="T661" s="2423"/>
      <c r="U661" s="2423"/>
      <c r="V661" s="2423"/>
      <c r="W661" s="2423"/>
      <c r="X661" s="2423"/>
      <c r="Y661" s="2423"/>
      <c r="Z661" s="2423"/>
      <c r="AA661" s="2423"/>
      <c r="AB661" s="2423"/>
      <c r="AC661" s="2423"/>
      <c r="AD661" s="536"/>
      <c r="AE661" s="536"/>
      <c r="AF661" s="2523" t="s">
        <v>1400</v>
      </c>
      <c r="AG661" s="2523"/>
      <c r="AH661" s="2523"/>
      <c r="AI661" s="2523"/>
      <c r="AJ661" s="2523"/>
      <c r="AK661" s="2523"/>
      <c r="AL661" s="2523"/>
      <c r="AN661" s="597"/>
    </row>
    <row r="662" spans="1:42" s="550" customFormat="1" ht="12.75" customHeight="1">
      <c r="B662" s="536"/>
      <c r="C662" s="539"/>
      <c r="D662" s="536"/>
      <c r="E662" s="2423"/>
      <c r="F662" s="2423"/>
      <c r="G662" s="2423"/>
      <c r="H662" s="2423"/>
      <c r="I662" s="2423"/>
      <c r="J662" s="2423"/>
      <c r="K662" s="2423"/>
      <c r="L662" s="2423"/>
      <c r="M662" s="2423"/>
      <c r="N662" s="2423"/>
      <c r="O662" s="2423"/>
      <c r="P662" s="2423"/>
      <c r="Q662" s="2423"/>
      <c r="R662" s="2423"/>
      <c r="S662" s="2423"/>
      <c r="T662" s="2423"/>
      <c r="U662" s="2423"/>
      <c r="V662" s="2423"/>
      <c r="W662" s="2423"/>
      <c r="X662" s="2423"/>
      <c r="Y662" s="2423"/>
      <c r="Z662" s="2423"/>
      <c r="AA662" s="2423"/>
      <c r="AB662" s="2423"/>
      <c r="AC662" s="2423"/>
      <c r="AD662" s="536"/>
      <c r="AE662" s="536"/>
      <c r="AF662" s="536"/>
      <c r="AG662" s="536"/>
      <c r="AH662" s="536"/>
      <c r="AI662" s="536"/>
      <c r="AJ662" s="536"/>
      <c r="AK662" s="536"/>
      <c r="AL662" s="536"/>
      <c r="AN662" s="597"/>
    </row>
    <row r="663" spans="1:42" s="550" customFormat="1" ht="15" customHeight="1">
      <c r="B663" s="536"/>
      <c r="C663" s="539"/>
      <c r="D663" s="663"/>
      <c r="E663" s="2423"/>
      <c r="F663" s="2423"/>
      <c r="G663" s="2423"/>
      <c r="H663" s="2423"/>
      <c r="I663" s="2423"/>
      <c r="J663" s="2423"/>
      <c r="K663" s="2423"/>
      <c r="L663" s="2423"/>
      <c r="M663" s="2423"/>
      <c r="N663" s="2423"/>
      <c r="O663" s="2423"/>
      <c r="P663" s="2423"/>
      <c r="Q663" s="2423"/>
      <c r="R663" s="2423"/>
      <c r="S663" s="2423"/>
      <c r="T663" s="2423"/>
      <c r="U663" s="2423"/>
      <c r="V663" s="2423"/>
      <c r="W663" s="2423"/>
      <c r="X663" s="2423"/>
      <c r="Y663" s="2423"/>
      <c r="Z663" s="2423"/>
      <c r="AA663" s="2423"/>
      <c r="AB663" s="2423"/>
      <c r="AC663" s="2423"/>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3" t="s">
        <v>1421</v>
      </c>
      <c r="F665" s="2423"/>
      <c r="G665" s="2423"/>
      <c r="H665" s="2423"/>
      <c r="I665" s="2423"/>
      <c r="J665" s="2423"/>
      <c r="K665" s="2423"/>
      <c r="L665" s="2423"/>
      <c r="M665" s="2423"/>
      <c r="N665" s="2423"/>
      <c r="O665" s="2423"/>
      <c r="P665" s="2423"/>
      <c r="Q665" s="2423"/>
      <c r="R665" s="2423"/>
      <c r="S665" s="2423"/>
      <c r="T665" s="2423"/>
      <c r="U665" s="2423"/>
      <c r="V665" s="2423"/>
      <c r="W665" s="2423"/>
      <c r="X665" s="2423"/>
      <c r="Y665" s="2423"/>
      <c r="Z665" s="2423"/>
      <c r="AA665" s="2423"/>
      <c r="AB665" s="2423"/>
      <c r="AC665" s="2423"/>
      <c r="AD665" s="536"/>
      <c r="AE665" s="536"/>
      <c r="AF665" s="2523" t="s">
        <v>1353</v>
      </c>
      <c r="AG665" s="2523"/>
      <c r="AH665" s="2523"/>
      <c r="AI665" s="2523"/>
      <c r="AJ665" s="2523"/>
      <c r="AK665" s="2523"/>
      <c r="AL665" s="2523"/>
      <c r="AN665" s="597"/>
    </row>
    <row r="666" spans="1:42" s="550" customFormat="1" ht="12.75" customHeight="1">
      <c r="B666" s="536"/>
      <c r="C666" s="931"/>
      <c r="D666" s="536"/>
      <c r="E666" s="2423"/>
      <c r="F666" s="2423"/>
      <c r="G666" s="2423"/>
      <c r="H666" s="2423"/>
      <c r="I666" s="2423"/>
      <c r="J666" s="2423"/>
      <c r="K666" s="2423"/>
      <c r="L666" s="2423"/>
      <c r="M666" s="2423"/>
      <c r="N666" s="2423"/>
      <c r="O666" s="2423"/>
      <c r="P666" s="2423"/>
      <c r="Q666" s="2423"/>
      <c r="R666" s="2423"/>
      <c r="S666" s="2423"/>
      <c r="T666" s="2423"/>
      <c r="U666" s="2423"/>
      <c r="V666" s="2423"/>
      <c r="W666" s="2423"/>
      <c r="X666" s="2423"/>
      <c r="Y666" s="2423"/>
      <c r="Z666" s="2423"/>
      <c r="AA666" s="2423"/>
      <c r="AB666" s="2423"/>
      <c r="AC666" s="2423"/>
      <c r="AD666" s="536"/>
      <c r="AE666" s="2523"/>
      <c r="AF666" s="2523"/>
      <c r="AG666" s="2523"/>
      <c r="AH666" s="2523"/>
      <c r="AI666" s="2523"/>
      <c r="AJ666" s="2523"/>
      <c r="AK666" s="2523"/>
      <c r="AL666" s="594"/>
      <c r="AN666" s="597"/>
      <c r="AO666" s="550" t="s">
        <v>592</v>
      </c>
      <c r="AP666" s="673">
        <v>0</v>
      </c>
    </row>
    <row r="667" spans="1:42" s="550" customFormat="1" ht="12.75" customHeight="1">
      <c r="A667" s="679"/>
      <c r="B667" s="536"/>
      <c r="C667" s="536"/>
      <c r="D667" s="663"/>
      <c r="E667" s="2423"/>
      <c r="F667" s="2423"/>
      <c r="G667" s="2423"/>
      <c r="H667" s="2423"/>
      <c r="I667" s="2423"/>
      <c r="J667" s="2423"/>
      <c r="K667" s="2423"/>
      <c r="L667" s="2423"/>
      <c r="M667" s="2423"/>
      <c r="N667" s="2423"/>
      <c r="O667" s="2423"/>
      <c r="P667" s="2423"/>
      <c r="Q667" s="2423"/>
      <c r="R667" s="2423"/>
      <c r="S667" s="2423"/>
      <c r="T667" s="2423"/>
      <c r="U667" s="2423"/>
      <c r="V667" s="2423"/>
      <c r="W667" s="2423"/>
      <c r="X667" s="2423"/>
      <c r="Y667" s="2423"/>
      <c r="Z667" s="2423"/>
      <c r="AA667" s="2423"/>
      <c r="AB667" s="2423"/>
      <c r="AC667" s="2423"/>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23" t="s">
        <v>1422</v>
      </c>
      <c r="F669" s="2423"/>
      <c r="G669" s="2423"/>
      <c r="H669" s="2423"/>
      <c r="I669" s="2423"/>
      <c r="J669" s="2423"/>
      <c r="K669" s="2423"/>
      <c r="L669" s="2423"/>
      <c r="M669" s="2423"/>
      <c r="N669" s="2423"/>
      <c r="O669" s="2423"/>
      <c r="P669" s="2423"/>
      <c r="Q669" s="2423"/>
      <c r="R669" s="2423"/>
      <c r="S669" s="2423"/>
      <c r="T669" s="2423"/>
      <c r="U669" s="2423"/>
      <c r="V669" s="2423"/>
      <c r="W669" s="2423"/>
      <c r="X669" s="2423"/>
      <c r="Y669" s="2423"/>
      <c r="Z669" s="2423"/>
      <c r="AA669" s="2423"/>
      <c r="AB669" s="2423"/>
      <c r="AC669" s="2423"/>
      <c r="AD669" s="536"/>
      <c r="AE669" s="536"/>
      <c r="AF669" s="2523" t="s">
        <v>1400</v>
      </c>
      <c r="AG669" s="2523"/>
      <c r="AH669" s="2523"/>
      <c r="AI669" s="2523"/>
      <c r="AJ669" s="2523"/>
      <c r="AK669" s="2523"/>
      <c r="AL669" s="2523"/>
      <c r="AN669" s="597"/>
    </row>
    <row r="670" spans="1:42" s="550" customFormat="1" ht="12.75" customHeight="1">
      <c r="A670" s="670"/>
      <c r="B670" s="536"/>
      <c r="C670" s="947"/>
      <c r="D670" s="663"/>
      <c r="E670" s="2423"/>
      <c r="F670" s="2423"/>
      <c r="G670" s="2423"/>
      <c r="H670" s="2423"/>
      <c r="I670" s="2423"/>
      <c r="J670" s="2423"/>
      <c r="K670" s="2423"/>
      <c r="L670" s="2423"/>
      <c r="M670" s="2423"/>
      <c r="N670" s="2423"/>
      <c r="O670" s="2423"/>
      <c r="P670" s="2423"/>
      <c r="Q670" s="2423"/>
      <c r="R670" s="2423"/>
      <c r="S670" s="2423"/>
      <c r="T670" s="2423"/>
      <c r="U670" s="2423"/>
      <c r="V670" s="2423"/>
      <c r="W670" s="2423"/>
      <c r="X670" s="2423"/>
      <c r="Y670" s="2423"/>
      <c r="Z670" s="2423"/>
      <c r="AA670" s="2423"/>
      <c r="AB670" s="2423"/>
      <c r="AC670" s="2423"/>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3"/>
      <c r="F671" s="2423"/>
      <c r="G671" s="2423"/>
      <c r="H671" s="2423"/>
      <c r="I671" s="2423"/>
      <c r="J671" s="2423"/>
      <c r="K671" s="2423"/>
      <c r="L671" s="2423"/>
      <c r="M671" s="2423"/>
      <c r="N671" s="2423"/>
      <c r="O671" s="2423"/>
      <c r="P671" s="2423"/>
      <c r="Q671" s="2423"/>
      <c r="R671" s="2423"/>
      <c r="S671" s="2423"/>
      <c r="T671" s="2423"/>
      <c r="U671" s="2423"/>
      <c r="V671" s="2423"/>
      <c r="W671" s="2423"/>
      <c r="X671" s="2423"/>
      <c r="Y671" s="2423"/>
      <c r="Z671" s="2423"/>
      <c r="AA671" s="2423"/>
      <c r="AB671" s="2423"/>
      <c r="AC671" s="2423"/>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23" t="s">
        <v>1423</v>
      </c>
      <c r="F673" s="2423"/>
      <c r="G673" s="2423"/>
      <c r="H673" s="2423"/>
      <c r="I673" s="2423"/>
      <c r="J673" s="2423"/>
      <c r="K673" s="2423"/>
      <c r="L673" s="2423"/>
      <c r="M673" s="2423"/>
      <c r="N673" s="2423"/>
      <c r="O673" s="2423"/>
      <c r="P673" s="2423"/>
      <c r="Q673" s="2423"/>
      <c r="R673" s="2423"/>
      <c r="S673" s="2423"/>
      <c r="T673" s="2423"/>
      <c r="U673" s="2423"/>
      <c r="V673" s="2423"/>
      <c r="W673" s="2423"/>
      <c r="X673" s="2423"/>
      <c r="Y673" s="2423"/>
      <c r="Z673" s="2423"/>
      <c r="AA673" s="2423"/>
      <c r="AB673" s="2423"/>
      <c r="AC673" s="2423"/>
      <c r="AD673" s="536"/>
      <c r="AE673" s="536"/>
      <c r="AF673" s="2523" t="s">
        <v>1353</v>
      </c>
      <c r="AG673" s="2523"/>
      <c r="AH673" s="2523"/>
      <c r="AI673" s="2523"/>
      <c r="AJ673" s="2523"/>
      <c r="AK673" s="2523"/>
      <c r="AL673" s="2523"/>
      <c r="AM673" s="596"/>
      <c r="AN673" s="597"/>
    </row>
    <row r="674" spans="1:42" s="550" customFormat="1" ht="12.75" customHeight="1">
      <c r="B674" s="536"/>
      <c r="C674" s="931"/>
      <c r="D674" s="663"/>
      <c r="E674" s="2423"/>
      <c r="F674" s="2423"/>
      <c r="G674" s="2423"/>
      <c r="H674" s="2423"/>
      <c r="I674" s="2423"/>
      <c r="J674" s="2423"/>
      <c r="K674" s="2423"/>
      <c r="L674" s="2423"/>
      <c r="M674" s="2423"/>
      <c r="N674" s="2423"/>
      <c r="O674" s="2423"/>
      <c r="P674" s="2423"/>
      <c r="Q674" s="2423"/>
      <c r="R674" s="2423"/>
      <c r="S674" s="2423"/>
      <c r="T674" s="2423"/>
      <c r="U674" s="2423"/>
      <c r="V674" s="2423"/>
      <c r="W674" s="2423"/>
      <c r="X674" s="2423"/>
      <c r="Y674" s="2423"/>
      <c r="Z674" s="2423"/>
      <c r="AA674" s="2423"/>
      <c r="AB674" s="2423"/>
      <c r="AC674" s="2423"/>
      <c r="AD674" s="536"/>
      <c r="AE674" s="536"/>
      <c r="AF674" s="536"/>
      <c r="AG674" s="536"/>
      <c r="AH674" s="536"/>
      <c r="AI674" s="536"/>
      <c r="AJ674" s="536"/>
      <c r="AK674" s="536"/>
      <c r="AL674" s="536"/>
      <c r="AM674" s="596"/>
      <c r="AN674" s="597"/>
    </row>
    <row r="675" spans="1:42" s="550" customFormat="1" ht="12.75" customHeight="1">
      <c r="B675" s="536"/>
      <c r="C675" s="931"/>
      <c r="D675" s="663"/>
      <c r="E675" s="2423"/>
      <c r="F675" s="2423"/>
      <c r="G675" s="2423"/>
      <c r="H675" s="2423"/>
      <c r="I675" s="2423"/>
      <c r="J675" s="2423"/>
      <c r="K675" s="2423"/>
      <c r="L675" s="2423"/>
      <c r="M675" s="2423"/>
      <c r="N675" s="2423"/>
      <c r="O675" s="2423"/>
      <c r="P675" s="2423"/>
      <c r="Q675" s="2423"/>
      <c r="R675" s="2423"/>
      <c r="S675" s="2423"/>
      <c r="T675" s="2423"/>
      <c r="U675" s="2423"/>
      <c r="V675" s="2423"/>
      <c r="W675" s="2423"/>
      <c r="X675" s="2423"/>
      <c r="Y675" s="2423"/>
      <c r="Z675" s="2423"/>
      <c r="AA675" s="2423"/>
      <c r="AB675" s="2423"/>
      <c r="AC675" s="2423"/>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23" t="s">
        <v>1424</v>
      </c>
      <c r="F677" s="2423"/>
      <c r="G677" s="2423"/>
      <c r="H677" s="2423"/>
      <c r="I677" s="2423"/>
      <c r="J677" s="2423"/>
      <c r="K677" s="2423"/>
      <c r="L677" s="2423"/>
      <c r="M677" s="2423"/>
      <c r="N677" s="2423"/>
      <c r="O677" s="2423"/>
      <c r="P677" s="2423"/>
      <c r="Q677" s="2423"/>
      <c r="R677" s="2423"/>
      <c r="S677" s="2423"/>
      <c r="T677" s="2423"/>
      <c r="U677" s="2423"/>
      <c r="V677" s="2423"/>
      <c r="W677" s="2423"/>
      <c r="X677" s="2423"/>
      <c r="Y677" s="2423"/>
      <c r="Z677" s="2423"/>
      <c r="AA677" s="2423"/>
      <c r="AB677" s="2423"/>
      <c r="AC677" s="2423"/>
      <c r="AD677" s="536"/>
      <c r="AE677" s="536"/>
      <c r="AF677" s="2523" t="s">
        <v>1409</v>
      </c>
      <c r="AG677" s="2523"/>
      <c r="AH677" s="2523"/>
      <c r="AI677" s="2523"/>
      <c r="AJ677" s="2523"/>
      <c r="AK677" s="2523"/>
      <c r="AL677" s="2523"/>
      <c r="AM677" s="596"/>
      <c r="AN677" s="597"/>
    </row>
    <row r="678" spans="1:42" s="550" customFormat="1" ht="12.75" customHeight="1">
      <c r="A678" s="679"/>
      <c r="B678" s="536"/>
      <c r="C678" s="931"/>
      <c r="D678" s="663"/>
      <c r="E678" s="2423"/>
      <c r="F678" s="2423"/>
      <c r="G678" s="2423"/>
      <c r="H678" s="2423"/>
      <c r="I678" s="2423"/>
      <c r="J678" s="2423"/>
      <c r="K678" s="2423"/>
      <c r="L678" s="2423"/>
      <c r="M678" s="2423"/>
      <c r="N678" s="2423"/>
      <c r="O678" s="2423"/>
      <c r="P678" s="2423"/>
      <c r="Q678" s="2423"/>
      <c r="R678" s="2423"/>
      <c r="S678" s="2423"/>
      <c r="T678" s="2423"/>
      <c r="U678" s="2423"/>
      <c r="V678" s="2423"/>
      <c r="W678" s="2423"/>
      <c r="X678" s="2423"/>
      <c r="Y678" s="2423"/>
      <c r="Z678" s="2423"/>
      <c r="AA678" s="2423"/>
      <c r="AB678" s="2423"/>
      <c r="AC678" s="2423"/>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3"/>
      <c r="F679" s="2423"/>
      <c r="G679" s="2423"/>
      <c r="H679" s="2423"/>
      <c r="I679" s="2423"/>
      <c r="J679" s="2423"/>
      <c r="K679" s="2423"/>
      <c r="L679" s="2423"/>
      <c r="M679" s="2423"/>
      <c r="N679" s="2423"/>
      <c r="O679" s="2423"/>
      <c r="P679" s="2423"/>
      <c r="Q679" s="2423"/>
      <c r="R679" s="2423"/>
      <c r="S679" s="2423"/>
      <c r="T679" s="2423"/>
      <c r="U679" s="2423"/>
      <c r="V679" s="2423"/>
      <c r="W679" s="2423"/>
      <c r="X679" s="2423"/>
      <c r="Y679" s="2423"/>
      <c r="Z679" s="2423"/>
      <c r="AA679" s="2423"/>
      <c r="AB679" s="2423"/>
      <c r="AC679" s="2423"/>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23" t="s">
        <v>1425</v>
      </c>
      <c r="F681" s="2423"/>
      <c r="G681" s="2423"/>
      <c r="H681" s="2423"/>
      <c r="I681" s="2423"/>
      <c r="J681" s="2423"/>
      <c r="K681" s="2423"/>
      <c r="L681" s="2423"/>
      <c r="M681" s="2423"/>
      <c r="N681" s="2423"/>
      <c r="O681" s="2423"/>
      <c r="P681" s="2423"/>
      <c r="Q681" s="2423"/>
      <c r="R681" s="2423"/>
      <c r="S681" s="2423"/>
      <c r="T681" s="2423"/>
      <c r="U681" s="2423"/>
      <c r="V681" s="2423"/>
      <c r="W681" s="2423"/>
      <c r="X681" s="2423"/>
      <c r="Y681" s="2423"/>
      <c r="Z681" s="2423"/>
      <c r="AA681" s="2423"/>
      <c r="AB681" s="2423"/>
      <c r="AC681" s="2423"/>
      <c r="AD681" s="536"/>
      <c r="AE681" s="536"/>
      <c r="AF681" s="2523" t="s">
        <v>1426</v>
      </c>
      <c r="AG681" s="2523"/>
      <c r="AH681" s="2523"/>
      <c r="AI681" s="2523"/>
      <c r="AJ681" s="2523"/>
      <c r="AK681" s="2523"/>
      <c r="AL681" s="2523"/>
      <c r="AM681" s="596"/>
      <c r="AN681" s="597"/>
      <c r="AO681" s="611" t="s">
        <v>688</v>
      </c>
      <c r="AP681" s="550">
        <v>3</v>
      </c>
    </row>
    <row r="682" spans="1:42" s="550" customFormat="1" ht="12.75" customHeight="1">
      <c r="A682" s="679"/>
      <c r="B682" s="536"/>
      <c r="C682" s="931"/>
      <c r="D682" s="663"/>
      <c r="E682" s="2423"/>
      <c r="F682" s="2423"/>
      <c r="G682" s="2423"/>
      <c r="H682" s="2423"/>
      <c r="I682" s="2423"/>
      <c r="J682" s="2423"/>
      <c r="K682" s="2423"/>
      <c r="L682" s="2423"/>
      <c r="M682" s="2423"/>
      <c r="N682" s="2423"/>
      <c r="O682" s="2423"/>
      <c r="P682" s="2423"/>
      <c r="Q682" s="2423"/>
      <c r="R682" s="2423"/>
      <c r="S682" s="2423"/>
      <c r="T682" s="2423"/>
      <c r="U682" s="2423"/>
      <c r="V682" s="2423"/>
      <c r="W682" s="2423"/>
      <c r="X682" s="2423"/>
      <c r="Y682" s="2423"/>
      <c r="Z682" s="2423"/>
      <c r="AA682" s="2423"/>
      <c r="AB682" s="2423"/>
      <c r="AC682" s="2423"/>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3"/>
      <c r="F683" s="2423"/>
      <c r="G683" s="2423"/>
      <c r="H683" s="2423"/>
      <c r="I683" s="2423"/>
      <c r="J683" s="2423"/>
      <c r="K683" s="2423"/>
      <c r="L683" s="2423"/>
      <c r="M683" s="2423"/>
      <c r="N683" s="2423"/>
      <c r="O683" s="2423"/>
      <c r="P683" s="2423"/>
      <c r="Q683" s="2423"/>
      <c r="R683" s="2423"/>
      <c r="S683" s="2423"/>
      <c r="T683" s="2423"/>
      <c r="U683" s="2423"/>
      <c r="V683" s="2423"/>
      <c r="W683" s="2423"/>
      <c r="X683" s="2423"/>
      <c r="Y683" s="2423"/>
      <c r="Z683" s="2423"/>
      <c r="AA683" s="2423"/>
      <c r="AB683" s="2423"/>
      <c r="AC683" s="2423"/>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47" t="s">
        <v>688</v>
      </c>
      <c r="I685" s="2447"/>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30">
        <f>VLOOKUP($H$685,$AO$633:$AP$640,2,FALSE)</f>
        <v>5</v>
      </c>
      <c r="AK687" s="2432"/>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141</v>
      </c>
    </row>
    <row r="691" spans="1:51" s="550" customFormat="1" ht="12.75" customHeight="1">
      <c r="A691" s="679"/>
      <c r="B691" s="536"/>
      <c r="C691" s="948"/>
      <c r="D691" s="663" t="s">
        <v>688</v>
      </c>
      <c r="E691" s="2393" t="s">
        <v>2190</v>
      </c>
      <c r="F691" s="2393"/>
      <c r="G691" s="2393"/>
      <c r="H691" s="2393"/>
      <c r="I691" s="2393"/>
      <c r="J691" s="2393"/>
      <c r="K691" s="2393"/>
      <c r="L691" s="2393"/>
      <c r="M691" s="2393"/>
      <c r="N691" s="2393"/>
      <c r="O691" s="2393"/>
      <c r="P691" s="2393"/>
      <c r="Q691" s="2393"/>
      <c r="R691" s="2393"/>
      <c r="S691" s="2393"/>
      <c r="T691" s="2393"/>
      <c r="U691" s="2393"/>
      <c r="V691" s="2393"/>
      <c r="W691" s="2393"/>
      <c r="X691" s="2393"/>
      <c r="Y691" s="2393"/>
      <c r="Z691" s="2393"/>
      <c r="AA691" s="2393"/>
      <c r="AB691" s="2393"/>
      <c r="AC691" s="536"/>
      <c r="AD691" s="536"/>
      <c r="AE691" s="536"/>
      <c r="AF691" s="2523" t="s">
        <v>1353</v>
      </c>
      <c r="AG691" s="2523"/>
      <c r="AH691" s="2523"/>
      <c r="AI691" s="2523"/>
      <c r="AJ691" s="2523"/>
      <c r="AK691" s="2523"/>
      <c r="AL691" s="2523"/>
      <c r="AN691" s="597"/>
      <c r="AW691" s="22" t="s">
        <v>2185</v>
      </c>
      <c r="AX691" s="550">
        <f>Application!DE753</f>
        <v>35</v>
      </c>
    </row>
    <row r="692" spans="1:51" s="550" customFormat="1" ht="12.75" customHeight="1">
      <c r="A692" s="679"/>
      <c r="B692" s="536"/>
      <c r="C692" s="948"/>
      <c r="D692" s="663"/>
      <c r="E692" s="2393"/>
      <c r="F692" s="2393"/>
      <c r="G692" s="2393"/>
      <c r="H692" s="2393"/>
      <c r="I692" s="2393"/>
      <c r="J692" s="2393"/>
      <c r="K692" s="2393"/>
      <c r="L692" s="2393"/>
      <c r="M692" s="2393"/>
      <c r="N692" s="2393"/>
      <c r="O692" s="2393"/>
      <c r="P692" s="2393"/>
      <c r="Q692" s="2393"/>
      <c r="R692" s="2393"/>
      <c r="S692" s="2393"/>
      <c r="T692" s="2393"/>
      <c r="U692" s="2393"/>
      <c r="V692" s="2393"/>
      <c r="W692" s="2393"/>
      <c r="X692" s="2393"/>
      <c r="Y692" s="2393"/>
      <c r="Z692" s="2393"/>
      <c r="AA692" s="2393"/>
      <c r="AB692" s="2393"/>
      <c r="AC692" s="536"/>
      <c r="AD692" s="536"/>
      <c r="AE692" s="536"/>
      <c r="AF692" s="536"/>
      <c r="AG692" s="536"/>
      <c r="AH692" s="536"/>
      <c r="AI692" s="536"/>
      <c r="AJ692" s="536"/>
      <c r="AK692" s="536"/>
      <c r="AL692" s="536"/>
      <c r="AN692" s="597"/>
      <c r="AW692" s="22" t="s">
        <v>2186</v>
      </c>
      <c r="AX692" s="550">
        <f>Application!DJ753</f>
        <v>12</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23" t="s">
        <v>2134</v>
      </c>
      <c r="F694" s="2423"/>
      <c r="G694" s="2423"/>
      <c r="H694" s="2423"/>
      <c r="I694" s="2423"/>
      <c r="J694" s="2423"/>
      <c r="K694" s="2423"/>
      <c r="L694" s="2423"/>
      <c r="M694" s="2423"/>
      <c r="N694" s="2423"/>
      <c r="O694" s="2423"/>
      <c r="P694" s="2423"/>
      <c r="Q694" s="2423"/>
      <c r="R694" s="2423"/>
      <c r="S694" s="2423"/>
      <c r="T694" s="2423"/>
      <c r="U694" s="2423"/>
      <c r="V694" s="2423"/>
      <c r="W694" s="2423"/>
      <c r="X694" s="2423"/>
      <c r="Y694" s="2423"/>
      <c r="Z694" s="2423"/>
      <c r="AA694" s="2423"/>
      <c r="AB694" s="2423"/>
      <c r="AC694" s="536"/>
      <c r="AD694" s="536"/>
      <c r="AE694" s="536"/>
      <c r="AF694" s="2523" t="s">
        <v>1353</v>
      </c>
      <c r="AG694" s="2523"/>
      <c r="AH694" s="2523"/>
      <c r="AI694" s="2523"/>
      <c r="AJ694" s="2523"/>
      <c r="AK694" s="2523"/>
      <c r="AL694" s="2523"/>
      <c r="AN694" s="597"/>
      <c r="AW694" s="22" t="s">
        <v>2188</v>
      </c>
      <c r="AX694" s="550">
        <f>AX691+AX692+AX693</f>
        <v>47</v>
      </c>
    </row>
    <row r="695" spans="1:51" s="550" customFormat="1" ht="12.75" customHeight="1">
      <c r="B695" s="536"/>
      <c r="C695" s="940"/>
      <c r="D695" s="663"/>
      <c r="E695" s="2423"/>
      <c r="F695" s="2423"/>
      <c r="G695" s="2423"/>
      <c r="H695" s="2423"/>
      <c r="I695" s="2423"/>
      <c r="J695" s="2423"/>
      <c r="K695" s="2423"/>
      <c r="L695" s="2423"/>
      <c r="M695" s="2423"/>
      <c r="N695" s="2423"/>
      <c r="O695" s="2423"/>
      <c r="P695" s="2423"/>
      <c r="Q695" s="2423"/>
      <c r="R695" s="2423"/>
      <c r="S695" s="2423"/>
      <c r="T695" s="2423"/>
      <c r="U695" s="2423"/>
      <c r="V695" s="2423"/>
      <c r="W695" s="2423"/>
      <c r="X695" s="2423"/>
      <c r="Y695" s="2423"/>
      <c r="Z695" s="2423"/>
      <c r="AA695" s="2423"/>
      <c r="AB695" s="2423"/>
      <c r="AC695" s="536"/>
      <c r="AD695" s="536"/>
      <c r="AE695" s="616"/>
      <c r="AF695" s="536"/>
      <c r="AG695" s="536"/>
      <c r="AH695" s="536"/>
      <c r="AI695" s="536"/>
      <c r="AJ695" s="536"/>
      <c r="AK695" s="536"/>
      <c r="AL695" s="536"/>
      <c r="AN695" s="597"/>
      <c r="AO695" s="2437" t="b">
        <f>IF(Application!D211="Special Needs",IF(AY695&gt;=0.25,TRUE,FALSE),IF(AX695&gt;=0.25,TRUE,FALSE))</f>
        <v>1</v>
      </c>
      <c r="AP695" s="2437"/>
      <c r="AW695" s="22" t="s">
        <v>2189</v>
      </c>
      <c r="AX695" s="550">
        <f>IFERROR(AX694/AX690,0)</f>
        <v>0.33333333333333331</v>
      </c>
      <c r="AY695" s="550">
        <f>IFERROR(AX694/(AX690-AX689),0)</f>
        <v>0.33333333333333331</v>
      </c>
    </row>
    <row r="696" spans="1:51" s="550" customFormat="1" ht="12.75" customHeight="1">
      <c r="B696" s="536"/>
      <c r="C696" s="940"/>
      <c r="E696" s="2423"/>
      <c r="F696" s="2423"/>
      <c r="G696" s="2423"/>
      <c r="H696" s="2423"/>
      <c r="I696" s="2423"/>
      <c r="J696" s="2423"/>
      <c r="K696" s="2423"/>
      <c r="L696" s="2423"/>
      <c r="M696" s="2423"/>
      <c r="N696" s="2423"/>
      <c r="O696" s="2423"/>
      <c r="P696" s="2423"/>
      <c r="Q696" s="2423"/>
      <c r="R696" s="2423"/>
      <c r="S696" s="2423"/>
      <c r="T696" s="2423"/>
      <c r="U696" s="2423"/>
      <c r="V696" s="2423"/>
      <c r="W696" s="2423"/>
      <c r="X696" s="2423"/>
      <c r="Y696" s="2423"/>
      <c r="Z696" s="2423"/>
      <c r="AA696" s="2423"/>
      <c r="AB696" s="2423"/>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3"/>
      <c r="F697" s="2423"/>
      <c r="G697" s="2423"/>
      <c r="H697" s="2423"/>
      <c r="I697" s="2423"/>
      <c r="J697" s="2423"/>
      <c r="K697" s="2423"/>
      <c r="L697" s="2423"/>
      <c r="M697" s="2423"/>
      <c r="N697" s="2423"/>
      <c r="O697" s="2423"/>
      <c r="P697" s="2423"/>
      <c r="Q697" s="2423"/>
      <c r="R697" s="2423"/>
      <c r="S697" s="2423"/>
      <c r="T697" s="2423"/>
      <c r="U697" s="2423"/>
      <c r="V697" s="2423"/>
      <c r="W697" s="2423"/>
      <c r="X697" s="2423"/>
      <c r="Y697" s="2423"/>
      <c r="Z697" s="2423"/>
      <c r="AA697" s="2423"/>
      <c r="AB697" s="2423"/>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3" t="s">
        <v>2135</v>
      </c>
      <c r="F699" s="2423"/>
      <c r="G699" s="2423"/>
      <c r="H699" s="2423"/>
      <c r="I699" s="2423"/>
      <c r="J699" s="2423"/>
      <c r="K699" s="2423"/>
      <c r="L699" s="2423"/>
      <c r="M699" s="2423"/>
      <c r="N699" s="2423"/>
      <c r="O699" s="2423"/>
      <c r="P699" s="2423"/>
      <c r="Q699" s="2423"/>
      <c r="R699" s="2423"/>
      <c r="S699" s="2423"/>
      <c r="T699" s="2423"/>
      <c r="U699" s="2423"/>
      <c r="V699" s="2423"/>
      <c r="W699" s="2423"/>
      <c r="X699" s="2423"/>
      <c r="Y699" s="2423"/>
      <c r="Z699" s="2423"/>
      <c r="AA699" s="2423"/>
      <c r="AB699" s="2423"/>
      <c r="AC699" s="536"/>
      <c r="AD699" s="536"/>
      <c r="AE699" s="536"/>
      <c r="AF699" s="2523" t="s">
        <v>1409</v>
      </c>
      <c r="AG699" s="2523"/>
      <c r="AH699" s="2523"/>
      <c r="AI699" s="2523"/>
      <c r="AJ699" s="2523"/>
      <c r="AK699" s="2523"/>
      <c r="AL699" s="2523"/>
      <c r="AN699" s="597"/>
      <c r="AO699" s="611" t="s">
        <v>510</v>
      </c>
      <c r="AP699" s="550">
        <v>1</v>
      </c>
    </row>
    <row r="700" spans="1:51" s="550" customFormat="1" ht="12" customHeight="1">
      <c r="B700" s="536"/>
      <c r="C700" s="931"/>
      <c r="E700" s="2423"/>
      <c r="F700" s="2423"/>
      <c r="G700" s="2423"/>
      <c r="H700" s="2423"/>
      <c r="I700" s="2423"/>
      <c r="J700" s="2423"/>
      <c r="K700" s="2423"/>
      <c r="L700" s="2423"/>
      <c r="M700" s="2423"/>
      <c r="N700" s="2423"/>
      <c r="O700" s="2423"/>
      <c r="P700" s="2423"/>
      <c r="Q700" s="2423"/>
      <c r="R700" s="2423"/>
      <c r="S700" s="2423"/>
      <c r="T700" s="2423"/>
      <c r="U700" s="2423"/>
      <c r="V700" s="2423"/>
      <c r="W700" s="2423"/>
      <c r="X700" s="2423"/>
      <c r="Y700" s="2423"/>
      <c r="Z700" s="2423"/>
      <c r="AA700" s="2423"/>
      <c r="AB700" s="2423"/>
      <c r="AC700" s="536"/>
      <c r="AD700" s="536"/>
      <c r="AE700" s="616"/>
      <c r="AF700" s="536"/>
      <c r="AG700" s="536"/>
      <c r="AH700" s="536"/>
      <c r="AI700" s="536"/>
      <c r="AJ700" s="536"/>
      <c r="AK700" s="536"/>
      <c r="AL700" s="536"/>
      <c r="AN700" s="597"/>
    </row>
    <row r="701" spans="1:51" s="550" customFormat="1" ht="12" customHeight="1">
      <c r="B701" s="536"/>
      <c r="C701" s="931"/>
      <c r="D701" s="536"/>
      <c r="E701" s="2423"/>
      <c r="F701" s="2423"/>
      <c r="G701" s="2423"/>
      <c r="H701" s="2423"/>
      <c r="I701" s="2423"/>
      <c r="J701" s="2423"/>
      <c r="K701" s="2423"/>
      <c r="L701" s="2423"/>
      <c r="M701" s="2423"/>
      <c r="N701" s="2423"/>
      <c r="O701" s="2423"/>
      <c r="P701" s="2423"/>
      <c r="Q701" s="2423"/>
      <c r="R701" s="2423"/>
      <c r="S701" s="2423"/>
      <c r="T701" s="2423"/>
      <c r="U701" s="2423"/>
      <c r="V701" s="2423"/>
      <c r="W701" s="2423"/>
      <c r="X701" s="2423"/>
      <c r="Y701" s="2423"/>
      <c r="Z701" s="2423"/>
      <c r="AA701" s="2423"/>
      <c r="AB701" s="2423"/>
      <c r="AC701" s="536"/>
      <c r="AD701" s="536"/>
      <c r="AE701" s="616"/>
      <c r="AF701" s="536"/>
      <c r="AG701" s="536"/>
      <c r="AH701" s="536"/>
      <c r="AI701" s="536"/>
      <c r="AJ701" s="536"/>
      <c r="AK701" s="536"/>
      <c r="AL701" s="536"/>
      <c r="AN701" s="597"/>
    </row>
    <row r="702" spans="1:51" s="550" customFormat="1" ht="12" customHeight="1">
      <c r="B702" s="536"/>
      <c r="C702" s="931"/>
      <c r="D702" s="536"/>
      <c r="E702" s="2423"/>
      <c r="F702" s="2423"/>
      <c r="G702" s="2423"/>
      <c r="H702" s="2423"/>
      <c r="I702" s="2423"/>
      <c r="J702" s="2423"/>
      <c r="K702" s="2423"/>
      <c r="L702" s="2423"/>
      <c r="M702" s="2423"/>
      <c r="N702" s="2423"/>
      <c r="O702" s="2423"/>
      <c r="P702" s="2423"/>
      <c r="Q702" s="2423"/>
      <c r="R702" s="2423"/>
      <c r="S702" s="2423"/>
      <c r="T702" s="2423"/>
      <c r="U702" s="2423"/>
      <c r="V702" s="2423"/>
      <c r="W702" s="2423"/>
      <c r="X702" s="2423"/>
      <c r="Y702" s="2423"/>
      <c r="Z702" s="2423"/>
      <c r="AA702" s="2423"/>
      <c r="AB702" s="2423"/>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3"/>
      <c r="F703" s="2423"/>
      <c r="G703" s="2423"/>
      <c r="H703" s="2423"/>
      <c r="I703" s="2423"/>
      <c r="J703" s="2423"/>
      <c r="K703" s="2423"/>
      <c r="L703" s="2423"/>
      <c r="M703" s="2423"/>
      <c r="N703" s="2423"/>
      <c r="O703" s="2423"/>
      <c r="P703" s="2423"/>
      <c r="Q703" s="2423"/>
      <c r="R703" s="2423"/>
      <c r="S703" s="2423"/>
      <c r="T703" s="2423"/>
      <c r="U703" s="2423"/>
      <c r="V703" s="2423"/>
      <c r="W703" s="2423"/>
      <c r="X703" s="2423"/>
      <c r="Y703" s="2423"/>
      <c r="Z703" s="2423"/>
      <c r="AA703" s="2423"/>
      <c r="AB703" s="2423"/>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3" t="s">
        <v>1694</v>
      </c>
      <c r="F705" s="2423"/>
      <c r="G705" s="2423"/>
      <c r="H705" s="2423"/>
      <c r="I705" s="2423"/>
      <c r="J705" s="2423"/>
      <c r="K705" s="2423"/>
      <c r="L705" s="2423"/>
      <c r="M705" s="2423"/>
      <c r="N705" s="2423"/>
      <c r="O705" s="2423"/>
      <c r="P705" s="2423"/>
      <c r="Q705" s="2423"/>
      <c r="R705" s="2423"/>
      <c r="S705" s="2423"/>
      <c r="T705" s="2423"/>
      <c r="U705" s="2423"/>
      <c r="V705" s="2423"/>
      <c r="W705" s="2423"/>
      <c r="X705" s="2423"/>
      <c r="Y705" s="2423"/>
      <c r="Z705" s="2423"/>
      <c r="AA705" s="2423"/>
      <c r="AB705" s="2423"/>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23"/>
      <c r="F706" s="2423"/>
      <c r="G706" s="2423"/>
      <c r="H706" s="2423"/>
      <c r="I706" s="2423"/>
      <c r="J706" s="2423"/>
      <c r="K706" s="2423"/>
      <c r="L706" s="2423"/>
      <c r="M706" s="2423"/>
      <c r="N706" s="2423"/>
      <c r="O706" s="2423"/>
      <c r="P706" s="2423"/>
      <c r="Q706" s="2423"/>
      <c r="R706" s="2423"/>
      <c r="S706" s="2423"/>
      <c r="T706" s="2423"/>
      <c r="U706" s="2423"/>
      <c r="V706" s="2423"/>
      <c r="W706" s="2423"/>
      <c r="X706" s="2423"/>
      <c r="Y706" s="2423"/>
      <c r="Z706" s="2423"/>
      <c r="AA706" s="2423"/>
      <c r="AB706" s="2423"/>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23"/>
      <c r="F707" s="2423"/>
      <c r="G707" s="2423"/>
      <c r="H707" s="2423"/>
      <c r="I707" s="2423"/>
      <c r="J707" s="2423"/>
      <c r="K707" s="2423"/>
      <c r="L707" s="2423"/>
      <c r="M707" s="2423"/>
      <c r="N707" s="2423"/>
      <c r="O707" s="2423"/>
      <c r="P707" s="2423"/>
      <c r="Q707" s="2423"/>
      <c r="R707" s="2423"/>
      <c r="S707" s="2423"/>
      <c r="T707" s="2423"/>
      <c r="U707" s="2423"/>
      <c r="V707" s="2423"/>
      <c r="W707" s="2423"/>
      <c r="X707" s="2423"/>
      <c r="Y707" s="2423"/>
      <c r="Z707" s="2423"/>
      <c r="AA707" s="2423"/>
      <c r="AB707" s="2423"/>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47" t="s">
        <v>510</v>
      </c>
      <c r="I709" s="2447"/>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30">
        <f>VLOOKUP($H$709,$AO$703:$AP$706,2,FALSE)</f>
        <v>3</v>
      </c>
      <c r="AK711" s="2432"/>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5" t="s">
        <v>1696</v>
      </c>
      <c r="F715" s="2535"/>
      <c r="G715" s="2535"/>
      <c r="H715" s="2535"/>
      <c r="I715" s="2535"/>
      <c r="J715" s="2535"/>
      <c r="K715" s="2535"/>
      <c r="L715" s="2535"/>
      <c r="M715" s="2535"/>
      <c r="N715" s="2535"/>
      <c r="O715" s="2535"/>
      <c r="P715" s="2535"/>
      <c r="Q715" s="2535"/>
      <c r="R715" s="2535"/>
      <c r="S715" s="2535"/>
      <c r="T715" s="2535"/>
      <c r="U715" s="2535"/>
      <c r="V715" s="2535"/>
      <c r="W715" s="2535"/>
      <c r="X715" s="2535"/>
      <c r="Y715" s="2535"/>
      <c r="Z715" s="2535"/>
      <c r="AA715" s="2535"/>
      <c r="AB715" s="2535"/>
      <c r="AC715" s="536"/>
      <c r="AD715" s="536"/>
      <c r="AE715" s="536"/>
      <c r="AF715" s="2523" t="s">
        <v>1353</v>
      </c>
      <c r="AG715" s="2523"/>
      <c r="AH715" s="2523"/>
      <c r="AI715" s="2523"/>
      <c r="AJ715" s="2523"/>
      <c r="AK715" s="2523"/>
      <c r="AL715" s="2523"/>
      <c r="AM715" s="550"/>
      <c r="AN715" s="684"/>
      <c r="AP715" s="570" t="s">
        <v>1433</v>
      </c>
    </row>
    <row r="716" spans="1:43" s="570" customFormat="1" ht="11.85" customHeight="1">
      <c r="A716" s="550"/>
      <c r="B716" s="536"/>
      <c r="C716" s="933"/>
      <c r="D716" s="663"/>
      <c r="E716" s="2535"/>
      <c r="F716" s="2535"/>
      <c r="G716" s="2535"/>
      <c r="H716" s="2535"/>
      <c r="I716" s="2535"/>
      <c r="J716" s="2535"/>
      <c r="K716" s="2535"/>
      <c r="L716" s="2535"/>
      <c r="M716" s="2535"/>
      <c r="N716" s="2535"/>
      <c r="O716" s="2535"/>
      <c r="P716" s="2535"/>
      <c r="Q716" s="2535"/>
      <c r="R716" s="2535"/>
      <c r="S716" s="2535"/>
      <c r="T716" s="2535"/>
      <c r="U716" s="2535"/>
      <c r="V716" s="2535"/>
      <c r="W716" s="2535"/>
      <c r="X716" s="2535"/>
      <c r="Y716" s="2535"/>
      <c r="Z716" s="2535"/>
      <c r="AA716" s="2535"/>
      <c r="AB716" s="2535"/>
      <c r="AC716" s="536"/>
      <c r="AD716" s="536"/>
      <c r="AE716" s="536"/>
      <c r="AF716" s="536"/>
      <c r="AG716" s="536"/>
      <c r="AH716" s="536"/>
      <c r="AI716" s="536"/>
      <c r="AJ716" s="536"/>
      <c r="AK716" s="536"/>
      <c r="AL716" s="536"/>
      <c r="AM716" s="550"/>
      <c r="AN716" s="684"/>
      <c r="AP716" s="570" t="s">
        <v>1434</v>
      </c>
    </row>
    <row r="717" spans="1:43" s="570" customFormat="1" ht="14.1" customHeight="1">
      <c r="A717" s="550"/>
      <c r="B717" s="610"/>
      <c r="C717" s="931"/>
      <c r="D717" s="663"/>
      <c r="E717" s="2535"/>
      <c r="F717" s="2535"/>
      <c r="G717" s="2535"/>
      <c r="H717" s="2535"/>
      <c r="I717" s="2535"/>
      <c r="J717" s="2535"/>
      <c r="K717" s="2535"/>
      <c r="L717" s="2535"/>
      <c r="M717" s="2535"/>
      <c r="N717" s="2535"/>
      <c r="O717" s="2535"/>
      <c r="P717" s="2535"/>
      <c r="Q717" s="2535"/>
      <c r="R717" s="2535"/>
      <c r="S717" s="2535"/>
      <c r="T717" s="2535"/>
      <c r="U717" s="2535"/>
      <c r="V717" s="2535"/>
      <c r="W717" s="2535"/>
      <c r="X717" s="2535"/>
      <c r="Y717" s="2535"/>
      <c r="Z717" s="2535"/>
      <c r="AA717" s="2535"/>
      <c r="AB717" s="2535"/>
      <c r="AC717" s="536"/>
      <c r="AD717" s="536"/>
      <c r="AE717" s="616"/>
      <c r="AF717" s="536"/>
      <c r="AG717" s="536"/>
      <c r="AH717" s="536"/>
      <c r="AI717" s="536"/>
      <c r="AJ717" s="536"/>
      <c r="AK717" s="536"/>
      <c r="AL717" s="536"/>
      <c r="AM717" s="550"/>
      <c r="AN717" s="684"/>
      <c r="AP717" s="570" t="s">
        <v>1435</v>
      </c>
    </row>
    <row r="718" spans="1:43" s="570" customFormat="1" ht="14.1"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4.1" customHeight="1">
      <c r="A719" s="550"/>
      <c r="B719" s="536"/>
      <c r="C719" s="931"/>
      <c r="D719" s="663" t="s">
        <v>510</v>
      </c>
      <c r="E719" s="2536" t="s">
        <v>1436</v>
      </c>
      <c r="F719" s="2536"/>
      <c r="G719" s="2536"/>
      <c r="H719" s="2536"/>
      <c r="I719" s="2536"/>
      <c r="J719" s="2536"/>
      <c r="K719" s="2536"/>
      <c r="L719" s="2536"/>
      <c r="M719" s="2536"/>
      <c r="N719" s="2536"/>
      <c r="O719" s="2536"/>
      <c r="P719" s="2536"/>
      <c r="Q719" s="2536"/>
      <c r="R719" s="2536"/>
      <c r="S719" s="2536"/>
      <c r="T719" s="2536"/>
      <c r="U719" s="2536"/>
      <c r="V719" s="2536"/>
      <c r="W719" s="2536"/>
      <c r="X719" s="2536"/>
      <c r="Y719" s="2536"/>
      <c r="Z719" s="2536"/>
      <c r="AA719" s="2536"/>
      <c r="AB719" s="2536"/>
      <c r="AC719" s="536"/>
      <c r="AD719" s="536"/>
      <c r="AE719" s="536"/>
      <c r="AF719" s="2523" t="s">
        <v>1409</v>
      </c>
      <c r="AG719" s="2523"/>
      <c r="AH719" s="2523"/>
      <c r="AI719" s="2523"/>
      <c r="AJ719" s="2523"/>
      <c r="AK719" s="2523"/>
      <c r="AL719" s="2523"/>
      <c r="AM719" s="550"/>
      <c r="AN719" s="685"/>
    </row>
    <row r="720" spans="1:43" s="570" customFormat="1" ht="12.75" customHeight="1">
      <c r="A720" s="550"/>
      <c r="B720" s="536"/>
      <c r="C720" s="933"/>
      <c r="D720" s="536"/>
      <c r="E720" s="2536"/>
      <c r="F720" s="2536"/>
      <c r="G720" s="2536"/>
      <c r="H720" s="2536"/>
      <c r="I720" s="2536"/>
      <c r="J720" s="2536"/>
      <c r="K720" s="2536"/>
      <c r="L720" s="2536"/>
      <c r="M720" s="2536"/>
      <c r="N720" s="2536"/>
      <c r="O720" s="2536"/>
      <c r="P720" s="2536"/>
      <c r="Q720" s="2536"/>
      <c r="R720" s="2536"/>
      <c r="S720" s="2536"/>
      <c r="T720" s="2536"/>
      <c r="U720" s="2536"/>
      <c r="V720" s="2536"/>
      <c r="W720" s="2536"/>
      <c r="X720" s="2536"/>
      <c r="Y720" s="2536"/>
      <c r="Z720" s="2536"/>
      <c r="AA720" s="2536"/>
      <c r="AB720" s="2536"/>
      <c r="AC720" s="536"/>
      <c r="AD720" s="536"/>
      <c r="AE720" s="536"/>
      <c r="AF720" s="536"/>
      <c r="AG720" s="536"/>
      <c r="AH720" s="536"/>
      <c r="AI720" s="536"/>
      <c r="AJ720" s="536"/>
      <c r="AK720" s="536"/>
      <c r="AL720" s="536"/>
      <c r="AM720" s="550"/>
      <c r="AN720" s="684"/>
      <c r="AP720" s="550" t="s">
        <v>592</v>
      </c>
      <c r="AQ720" s="673">
        <v>0</v>
      </c>
    </row>
    <row r="721" spans="1:81" s="570" customFormat="1" ht="14.1" customHeight="1">
      <c r="A721" s="550"/>
      <c r="B721" s="536"/>
      <c r="C721" s="933"/>
      <c r="D721" s="536"/>
      <c r="E721" s="2536"/>
      <c r="F721" s="2536"/>
      <c r="G721" s="2536"/>
      <c r="H721" s="2536"/>
      <c r="I721" s="2536"/>
      <c r="J721" s="2536"/>
      <c r="K721" s="2536"/>
      <c r="L721" s="2536"/>
      <c r="M721" s="2536"/>
      <c r="N721" s="2536"/>
      <c r="O721" s="2536"/>
      <c r="P721" s="2536"/>
      <c r="Q721" s="2536"/>
      <c r="R721" s="2536"/>
      <c r="S721" s="2536"/>
      <c r="T721" s="2536"/>
      <c r="U721" s="2536"/>
      <c r="V721" s="2536"/>
      <c r="W721" s="2536"/>
      <c r="X721" s="2536"/>
      <c r="Y721" s="2536"/>
      <c r="Z721" s="2536"/>
      <c r="AA721" s="2536"/>
      <c r="AB721" s="2536"/>
      <c r="AC721" s="536"/>
      <c r="AD721" s="536"/>
      <c r="AE721" s="536"/>
      <c r="AF721" s="536"/>
      <c r="AG721" s="536"/>
      <c r="AH721" s="536"/>
      <c r="AI721" s="536"/>
      <c r="AJ721" s="536"/>
      <c r="AK721" s="536"/>
      <c r="AL721" s="536"/>
      <c r="AM721" s="550"/>
      <c r="AN721" s="684"/>
      <c r="AP721" s="611" t="s">
        <v>688</v>
      </c>
      <c r="AQ721" s="550">
        <v>3</v>
      </c>
    </row>
    <row r="722" spans="1:81" s="570" customFormat="1" ht="14.1"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4.1" customHeight="1">
      <c r="A723" s="550"/>
      <c r="B723" s="536"/>
      <c r="C723" s="933"/>
      <c r="D723" s="536" t="s">
        <v>1401</v>
      </c>
      <c r="E723" s="936"/>
      <c r="F723" s="936"/>
      <c r="G723" s="936"/>
      <c r="H723" s="2447" t="s">
        <v>592</v>
      </c>
      <c r="I723" s="2447"/>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30">
        <f>VLOOKUP($H$723,$AP$720:$AQ$722,2,FALSE)</f>
        <v>0</v>
      </c>
      <c r="AK725" s="2432"/>
      <c r="AL725" s="595"/>
      <c r="AM725" s="550"/>
      <c r="AN725" s="684"/>
      <c r="AP725" s="2430"/>
      <c r="AQ725" s="2432"/>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23" t="s">
        <v>1697</v>
      </c>
      <c r="F729" s="2423"/>
      <c r="G729" s="2423"/>
      <c r="H729" s="2423"/>
      <c r="I729" s="2423"/>
      <c r="J729" s="2423"/>
      <c r="K729" s="2423"/>
      <c r="L729" s="2423"/>
      <c r="M729" s="2423"/>
      <c r="N729" s="2423"/>
      <c r="O729" s="2423"/>
      <c r="P729" s="2423"/>
      <c r="Q729" s="2423"/>
      <c r="R729" s="2423"/>
      <c r="S729" s="2423"/>
      <c r="T729" s="2423"/>
      <c r="U729" s="2423"/>
      <c r="V729" s="2423"/>
      <c r="W729" s="2423"/>
      <c r="X729" s="2423"/>
      <c r="Y729" s="2423"/>
      <c r="Z729" s="2423"/>
      <c r="AA729" s="2423"/>
      <c r="AB729" s="2423"/>
      <c r="AC729" s="536"/>
      <c r="AD729" s="536"/>
      <c r="AE729" s="536"/>
      <c r="AF729" s="2523" t="s">
        <v>1353</v>
      </c>
      <c r="AG729" s="2523"/>
      <c r="AH729" s="2523"/>
      <c r="AI729" s="2523"/>
      <c r="AJ729" s="2523"/>
      <c r="AK729" s="2523"/>
      <c r="AL729" s="2523"/>
      <c r="AM729" s="550"/>
      <c r="AN729" s="684"/>
      <c r="AT729" s="14"/>
      <c r="AU729" s="14"/>
      <c r="AV729" s="14"/>
      <c r="AW729" s="14"/>
      <c r="AX729" s="14"/>
      <c r="AY729" s="14"/>
      <c r="AZ729" s="14"/>
    </row>
    <row r="730" spans="1:81" s="570" customFormat="1">
      <c r="A730" s="550"/>
      <c r="B730" s="536"/>
      <c r="C730" s="933"/>
      <c r="D730" s="663"/>
      <c r="E730" s="2423"/>
      <c r="F730" s="2423"/>
      <c r="G730" s="2423"/>
      <c r="H730" s="2423"/>
      <c r="I730" s="2423"/>
      <c r="J730" s="2423"/>
      <c r="K730" s="2423"/>
      <c r="L730" s="2423"/>
      <c r="M730" s="2423"/>
      <c r="N730" s="2423"/>
      <c r="O730" s="2423"/>
      <c r="P730" s="2423"/>
      <c r="Q730" s="2423"/>
      <c r="R730" s="2423"/>
      <c r="S730" s="2423"/>
      <c r="T730" s="2423"/>
      <c r="U730" s="2423"/>
      <c r="V730" s="2423"/>
      <c r="W730" s="2423"/>
      <c r="X730" s="2423"/>
      <c r="Y730" s="2423"/>
      <c r="Z730" s="2423"/>
      <c r="AA730" s="2423"/>
      <c r="AB730" s="2423"/>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3" t="s">
        <v>1440</v>
      </c>
      <c r="F732" s="2423"/>
      <c r="G732" s="2423"/>
      <c r="H732" s="2423"/>
      <c r="I732" s="2423"/>
      <c r="J732" s="2423"/>
      <c r="K732" s="2423"/>
      <c r="L732" s="2423"/>
      <c r="M732" s="2423"/>
      <c r="N732" s="2423"/>
      <c r="O732" s="2423"/>
      <c r="P732" s="2423"/>
      <c r="Q732" s="2423"/>
      <c r="R732" s="2423"/>
      <c r="S732" s="2423"/>
      <c r="T732" s="2423"/>
      <c r="U732" s="2423"/>
      <c r="V732" s="2423"/>
      <c r="W732" s="2423"/>
      <c r="X732" s="2423"/>
      <c r="Y732" s="2423"/>
      <c r="Z732" s="2423"/>
      <c r="AA732" s="2423"/>
      <c r="AB732" s="2423"/>
      <c r="AC732" s="536"/>
      <c r="AD732" s="536"/>
      <c r="AE732" s="536"/>
      <c r="AF732" s="2523" t="s">
        <v>1409</v>
      </c>
      <c r="AG732" s="2523"/>
      <c r="AH732" s="2523"/>
      <c r="AI732" s="2523"/>
      <c r="AJ732" s="2523"/>
      <c r="AK732" s="2523"/>
      <c r="AL732" s="2523"/>
      <c r="AM732" s="550"/>
      <c r="AN732" s="684"/>
      <c r="AT732" s="14"/>
      <c r="AU732" s="14"/>
      <c r="AV732" s="14"/>
      <c r="AW732" s="14"/>
      <c r="AX732" s="14"/>
      <c r="AY732" s="14"/>
      <c r="AZ732" s="14"/>
    </row>
    <row r="733" spans="1:81" s="570" customFormat="1">
      <c r="A733" s="550"/>
      <c r="B733" s="536"/>
      <c r="C733" s="933"/>
      <c r="D733" s="536"/>
      <c r="E733" s="2423"/>
      <c r="F733" s="2423"/>
      <c r="G733" s="2423"/>
      <c r="H733" s="2423"/>
      <c r="I733" s="2423"/>
      <c r="J733" s="2423"/>
      <c r="K733" s="2423"/>
      <c r="L733" s="2423"/>
      <c r="M733" s="2423"/>
      <c r="N733" s="2423"/>
      <c r="O733" s="2423"/>
      <c r="P733" s="2423"/>
      <c r="Q733" s="2423"/>
      <c r="R733" s="2423"/>
      <c r="S733" s="2423"/>
      <c r="T733" s="2423"/>
      <c r="U733" s="2423"/>
      <c r="V733" s="2423"/>
      <c r="W733" s="2423"/>
      <c r="X733" s="2423"/>
      <c r="Y733" s="2423"/>
      <c r="Z733" s="2423"/>
      <c r="AA733" s="2423"/>
      <c r="AB733" s="2423"/>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47" t="s">
        <v>592</v>
      </c>
      <c r="I735" s="2447"/>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30">
        <f>VLOOKUP($H$735,$AO$666:$AP$668,2,FALSE)</f>
        <v>0</v>
      </c>
      <c r="AK737" s="2432"/>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23" t="s">
        <v>1443</v>
      </c>
      <c r="F741" s="2423"/>
      <c r="G741" s="2423"/>
      <c r="H741" s="2423"/>
      <c r="I741" s="2423"/>
      <c r="J741" s="2423"/>
      <c r="K741" s="2423"/>
      <c r="L741" s="2423"/>
      <c r="M741" s="2423"/>
      <c r="N741" s="2423"/>
      <c r="O741" s="2423"/>
      <c r="P741" s="2423"/>
      <c r="Q741" s="2423"/>
      <c r="R741" s="2423"/>
      <c r="S741" s="2423"/>
      <c r="T741" s="2423"/>
      <c r="U741" s="2423"/>
      <c r="V741" s="2423"/>
      <c r="W741" s="2423"/>
      <c r="X741" s="2423"/>
      <c r="Y741" s="2423"/>
      <c r="Z741" s="2423"/>
      <c r="AA741" s="2423"/>
      <c r="AB741" s="2423"/>
      <c r="AC741" s="536"/>
      <c r="AD741" s="536"/>
      <c r="AE741" s="536"/>
      <c r="AF741" s="2523" t="s">
        <v>1353</v>
      </c>
      <c r="AG741" s="2523"/>
      <c r="AH741" s="2523"/>
      <c r="AI741" s="2523"/>
      <c r="AJ741" s="2523"/>
      <c r="AK741" s="2523"/>
      <c r="AL741" s="2523"/>
      <c r="AM741" s="550"/>
      <c r="AN741" s="684"/>
      <c r="AT741" s="14"/>
      <c r="AU741" s="14"/>
      <c r="AV741" s="14"/>
      <c r="AW741" s="14"/>
      <c r="AX741" s="14"/>
      <c r="AY741" s="14"/>
      <c r="AZ741" s="14"/>
    </row>
    <row r="742" spans="1:81" s="570" customFormat="1">
      <c r="A742" s="550"/>
      <c r="B742" s="536"/>
      <c r="C742" s="931"/>
      <c r="D742" s="663"/>
      <c r="E742" s="2423"/>
      <c r="F742" s="2423"/>
      <c r="G742" s="2423"/>
      <c r="H742" s="2423"/>
      <c r="I742" s="2423"/>
      <c r="J742" s="2423"/>
      <c r="K742" s="2423"/>
      <c r="L742" s="2423"/>
      <c r="M742" s="2423"/>
      <c r="N742" s="2423"/>
      <c r="O742" s="2423"/>
      <c r="P742" s="2423"/>
      <c r="Q742" s="2423"/>
      <c r="R742" s="2423"/>
      <c r="S742" s="2423"/>
      <c r="T742" s="2423"/>
      <c r="U742" s="2423"/>
      <c r="V742" s="2423"/>
      <c r="W742" s="2423"/>
      <c r="X742" s="2423"/>
      <c r="Y742" s="2423"/>
      <c r="Z742" s="2423"/>
      <c r="AA742" s="2423"/>
      <c r="AB742" s="2423"/>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3"/>
      <c r="F743" s="2423"/>
      <c r="G743" s="2423"/>
      <c r="H743" s="2423"/>
      <c r="I743" s="2423"/>
      <c r="J743" s="2423"/>
      <c r="K743" s="2423"/>
      <c r="L743" s="2423"/>
      <c r="M743" s="2423"/>
      <c r="N743" s="2423"/>
      <c r="O743" s="2423"/>
      <c r="P743" s="2423"/>
      <c r="Q743" s="2423"/>
      <c r="R743" s="2423"/>
      <c r="S743" s="2423"/>
      <c r="T743" s="2423"/>
      <c r="U743" s="2423"/>
      <c r="V743" s="2423"/>
      <c r="W743" s="2423"/>
      <c r="X743" s="2423"/>
      <c r="Y743" s="2423"/>
      <c r="Z743" s="2423"/>
      <c r="AA743" s="2423"/>
      <c r="AB743" s="2423"/>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3"/>
      <c r="F744" s="2423"/>
      <c r="G744" s="2423"/>
      <c r="H744" s="2423"/>
      <c r="I744" s="2423"/>
      <c r="J744" s="2423"/>
      <c r="K744" s="2423"/>
      <c r="L744" s="2423"/>
      <c r="M744" s="2423"/>
      <c r="N744" s="2423"/>
      <c r="O744" s="2423"/>
      <c r="P744" s="2423"/>
      <c r="Q744" s="2423"/>
      <c r="R744" s="2423"/>
      <c r="S744" s="2423"/>
      <c r="T744" s="2423"/>
      <c r="U744" s="2423"/>
      <c r="V744" s="2423"/>
      <c r="W744" s="2423"/>
      <c r="X744" s="2423"/>
      <c r="Y744" s="2423"/>
      <c r="Z744" s="2423"/>
      <c r="AA744" s="2423"/>
      <c r="AB744" s="2423"/>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23" t="s">
        <v>1444</v>
      </c>
      <c r="F746" s="2423"/>
      <c r="G746" s="2423"/>
      <c r="H746" s="2423"/>
      <c r="I746" s="2423"/>
      <c r="J746" s="2423"/>
      <c r="K746" s="2423"/>
      <c r="L746" s="2423"/>
      <c r="M746" s="2423"/>
      <c r="N746" s="2423"/>
      <c r="O746" s="2423"/>
      <c r="P746" s="2423"/>
      <c r="Q746" s="2423"/>
      <c r="R746" s="2423"/>
      <c r="S746" s="2423"/>
      <c r="T746" s="2423"/>
      <c r="U746" s="2423"/>
      <c r="V746" s="2423"/>
      <c r="W746" s="2423"/>
      <c r="X746" s="2423"/>
      <c r="Y746" s="2423"/>
      <c r="Z746" s="2423"/>
      <c r="AA746" s="2423"/>
      <c r="AB746" s="575"/>
      <c r="AC746" s="536"/>
      <c r="AD746" s="536"/>
      <c r="AE746" s="536"/>
      <c r="AF746" s="2523" t="s">
        <v>1409</v>
      </c>
      <c r="AG746" s="2523"/>
      <c r="AH746" s="2523"/>
      <c r="AI746" s="2523"/>
      <c r="AJ746" s="2523"/>
      <c r="AK746" s="2523"/>
      <c r="AL746" s="2523"/>
      <c r="AM746" s="550"/>
      <c r="AN746" s="684"/>
      <c r="AO746" s="30"/>
      <c r="AP746" s="14"/>
    </row>
    <row r="747" spans="1:81" s="570" customFormat="1">
      <c r="A747" s="550"/>
      <c r="B747" s="536"/>
      <c r="C747" s="931"/>
      <c r="D747" s="663"/>
      <c r="E747" s="2423"/>
      <c r="F747" s="2423"/>
      <c r="G747" s="2423"/>
      <c r="H747" s="2423"/>
      <c r="I747" s="2423"/>
      <c r="J747" s="2423"/>
      <c r="K747" s="2423"/>
      <c r="L747" s="2423"/>
      <c r="M747" s="2423"/>
      <c r="N747" s="2423"/>
      <c r="O747" s="2423"/>
      <c r="P747" s="2423"/>
      <c r="Q747" s="2423"/>
      <c r="R747" s="2423"/>
      <c r="S747" s="2423"/>
      <c r="T747" s="2423"/>
      <c r="U747" s="2423"/>
      <c r="V747" s="2423"/>
      <c r="W747" s="2423"/>
      <c r="X747" s="2423"/>
      <c r="Y747" s="2423"/>
      <c r="Z747" s="2423"/>
      <c r="AA747" s="2423"/>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3"/>
      <c r="F748" s="2423"/>
      <c r="G748" s="2423"/>
      <c r="H748" s="2423"/>
      <c r="I748" s="2423"/>
      <c r="J748" s="2423"/>
      <c r="K748" s="2423"/>
      <c r="L748" s="2423"/>
      <c r="M748" s="2423"/>
      <c r="N748" s="2423"/>
      <c r="O748" s="2423"/>
      <c r="P748" s="2423"/>
      <c r="Q748" s="2423"/>
      <c r="R748" s="2423"/>
      <c r="S748" s="2423"/>
      <c r="T748" s="2423"/>
      <c r="U748" s="2423"/>
      <c r="V748" s="2423"/>
      <c r="W748" s="2423"/>
      <c r="X748" s="2423"/>
      <c r="Y748" s="2423"/>
      <c r="Z748" s="2423"/>
      <c r="AA748" s="2423"/>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3"/>
      <c r="F749" s="2423"/>
      <c r="G749" s="2423"/>
      <c r="H749" s="2423"/>
      <c r="I749" s="2423"/>
      <c r="J749" s="2423"/>
      <c r="K749" s="2423"/>
      <c r="L749" s="2423"/>
      <c r="M749" s="2423"/>
      <c r="N749" s="2423"/>
      <c r="O749" s="2423"/>
      <c r="P749" s="2423"/>
      <c r="Q749" s="2423"/>
      <c r="R749" s="2423"/>
      <c r="S749" s="2423"/>
      <c r="T749" s="2423"/>
      <c r="U749" s="2423"/>
      <c r="V749" s="2423"/>
      <c r="W749" s="2423"/>
      <c r="X749" s="2423"/>
      <c r="Y749" s="2423"/>
      <c r="Z749" s="2423"/>
      <c r="AA749" s="2423"/>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47" t="s">
        <v>592</v>
      </c>
      <c r="I751" s="2447"/>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30">
        <f>VLOOKUP($H$751,$AO$680:$AP$682,2,FALSE)</f>
        <v>0</v>
      </c>
      <c r="AK753" s="2432"/>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23" t="s">
        <v>1446</v>
      </c>
      <c r="F757" s="2423"/>
      <c r="G757" s="2423"/>
      <c r="H757" s="2423"/>
      <c r="I757" s="2423"/>
      <c r="J757" s="2423"/>
      <c r="K757" s="2423"/>
      <c r="L757" s="2423"/>
      <c r="M757" s="2423"/>
      <c r="N757" s="2423"/>
      <c r="O757" s="2423"/>
      <c r="P757" s="2423"/>
      <c r="Q757" s="2423"/>
      <c r="R757" s="2423"/>
      <c r="S757" s="2423"/>
      <c r="T757" s="2423"/>
      <c r="U757" s="2423"/>
      <c r="V757" s="2423"/>
      <c r="W757" s="2423"/>
      <c r="X757" s="2423"/>
      <c r="Y757" s="2423"/>
      <c r="Z757" s="2423"/>
      <c r="AA757" s="2423"/>
      <c r="AB757" s="2423"/>
      <c r="AC757" s="536"/>
      <c r="AD757" s="536"/>
      <c r="AE757" s="536"/>
      <c r="AF757" s="2523" t="s">
        <v>1409</v>
      </c>
      <c r="AG757" s="2523"/>
      <c r="AH757" s="2523"/>
      <c r="AI757" s="2523"/>
      <c r="AJ757" s="2523"/>
      <c r="AK757" s="2523"/>
      <c r="AL757" s="2523"/>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3"/>
      <c r="F758" s="2423"/>
      <c r="G758" s="2423"/>
      <c r="H758" s="2423"/>
      <c r="I758" s="2423"/>
      <c r="J758" s="2423"/>
      <c r="K758" s="2423"/>
      <c r="L758" s="2423"/>
      <c r="M758" s="2423"/>
      <c r="N758" s="2423"/>
      <c r="O758" s="2423"/>
      <c r="P758" s="2423"/>
      <c r="Q758" s="2423"/>
      <c r="R758" s="2423"/>
      <c r="S758" s="2423"/>
      <c r="T758" s="2423"/>
      <c r="U758" s="2423"/>
      <c r="V758" s="2423"/>
      <c r="W758" s="2423"/>
      <c r="X758" s="2423"/>
      <c r="Y758" s="2423"/>
      <c r="Z758" s="2423"/>
      <c r="AA758" s="2423"/>
      <c r="AB758" s="2423"/>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23" t="s">
        <v>1447</v>
      </c>
      <c r="F760" s="2423"/>
      <c r="G760" s="2423"/>
      <c r="H760" s="2423"/>
      <c r="I760" s="2423"/>
      <c r="J760" s="2423"/>
      <c r="K760" s="2423"/>
      <c r="L760" s="2423"/>
      <c r="M760" s="2423"/>
      <c r="N760" s="2423"/>
      <c r="O760" s="2423"/>
      <c r="P760" s="2423"/>
      <c r="Q760" s="2423"/>
      <c r="R760" s="2423"/>
      <c r="S760" s="2423"/>
      <c r="T760" s="2423"/>
      <c r="U760" s="2423"/>
      <c r="V760" s="2423"/>
      <c r="W760" s="2423"/>
      <c r="X760" s="2423"/>
      <c r="Y760" s="2423"/>
      <c r="Z760" s="2423"/>
      <c r="AA760" s="2423"/>
      <c r="AB760" s="2423"/>
      <c r="AC760" s="536"/>
      <c r="AD760" s="536"/>
      <c r="AE760" s="536"/>
      <c r="AF760" s="2523" t="s">
        <v>1426</v>
      </c>
      <c r="AG760" s="2523"/>
      <c r="AH760" s="2523"/>
      <c r="AI760" s="2523"/>
      <c r="AJ760" s="2523"/>
      <c r="AK760" s="2523"/>
      <c r="AL760" s="2523"/>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3"/>
      <c r="F761" s="2423"/>
      <c r="G761" s="2423"/>
      <c r="H761" s="2423"/>
      <c r="I761" s="2423"/>
      <c r="J761" s="2423"/>
      <c r="K761" s="2423"/>
      <c r="L761" s="2423"/>
      <c r="M761" s="2423"/>
      <c r="N761" s="2423"/>
      <c r="O761" s="2423"/>
      <c r="P761" s="2423"/>
      <c r="Q761" s="2423"/>
      <c r="R761" s="2423"/>
      <c r="S761" s="2423"/>
      <c r="T761" s="2423"/>
      <c r="U761" s="2423"/>
      <c r="V761" s="2423"/>
      <c r="W761" s="2423"/>
      <c r="X761" s="2423"/>
      <c r="Y761" s="2423"/>
      <c r="Z761" s="2423"/>
      <c r="AA761" s="2423"/>
      <c r="AB761" s="2423"/>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47" t="s">
        <v>688</v>
      </c>
      <c r="I763" s="2447"/>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30">
        <f>VLOOKUP($H$763,$AO$697:$AP$699,2,FALSE)</f>
        <v>2</v>
      </c>
      <c r="AK765" s="2432"/>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23" t="s">
        <v>1693</v>
      </c>
      <c r="F769" s="2423"/>
      <c r="G769" s="2423"/>
      <c r="H769" s="2423"/>
      <c r="I769" s="2423"/>
      <c r="J769" s="2423"/>
      <c r="K769" s="2423"/>
      <c r="L769" s="2423"/>
      <c r="M769" s="2423"/>
      <c r="N769" s="2423"/>
      <c r="O769" s="2423"/>
      <c r="P769" s="2423"/>
      <c r="Q769" s="2423"/>
      <c r="R769" s="2423"/>
      <c r="S769" s="2423"/>
      <c r="T769" s="2423"/>
      <c r="U769" s="2423"/>
      <c r="V769" s="2423"/>
      <c r="W769" s="2423"/>
      <c r="X769" s="2423"/>
      <c r="Y769" s="2423"/>
      <c r="Z769" s="2423"/>
      <c r="AA769" s="2423"/>
      <c r="AB769" s="2423"/>
      <c r="AC769" s="2423"/>
      <c r="AD769" s="2423"/>
      <c r="AE769" s="536"/>
      <c r="AF769" s="2523" t="s">
        <v>1409</v>
      </c>
      <c r="AG769" s="2523"/>
      <c r="AH769" s="2523"/>
      <c r="AI769" s="2523"/>
      <c r="AJ769" s="2523"/>
      <c r="AK769" s="2523"/>
      <c r="AL769" s="2523"/>
      <c r="AM769" s="613"/>
      <c r="AN769" s="684"/>
      <c r="AO769" s="550" t="s">
        <v>592</v>
      </c>
      <c r="AP769" s="673">
        <v>0</v>
      </c>
    </row>
    <row r="770" spans="1:81" s="570" customFormat="1" ht="13.7" customHeight="1">
      <c r="A770" s="550"/>
      <c r="B770" s="616"/>
      <c r="C770" s="940"/>
      <c r="D770" s="663"/>
      <c r="E770" s="2423"/>
      <c r="F770" s="2423"/>
      <c r="G770" s="2423"/>
      <c r="H770" s="2423"/>
      <c r="I770" s="2423"/>
      <c r="J770" s="2423"/>
      <c r="K770" s="2423"/>
      <c r="L770" s="2423"/>
      <c r="M770" s="2423"/>
      <c r="N770" s="2423"/>
      <c r="O770" s="2423"/>
      <c r="P770" s="2423"/>
      <c r="Q770" s="2423"/>
      <c r="R770" s="2423"/>
      <c r="S770" s="2423"/>
      <c r="T770" s="2423"/>
      <c r="U770" s="2423"/>
      <c r="V770" s="2423"/>
      <c r="W770" s="2423"/>
      <c r="X770" s="2423"/>
      <c r="Y770" s="2423"/>
      <c r="Z770" s="2423"/>
      <c r="AA770" s="2423"/>
      <c r="AB770" s="2423"/>
      <c r="AC770" s="2423"/>
      <c r="AD770" s="2423"/>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23"/>
      <c r="F771" s="2423"/>
      <c r="G771" s="2423"/>
      <c r="H771" s="2423"/>
      <c r="I771" s="2423"/>
      <c r="J771" s="2423"/>
      <c r="K771" s="2423"/>
      <c r="L771" s="2423"/>
      <c r="M771" s="2423"/>
      <c r="N771" s="2423"/>
      <c r="O771" s="2423"/>
      <c r="P771" s="2423"/>
      <c r="Q771" s="2423"/>
      <c r="R771" s="2423"/>
      <c r="S771" s="2423"/>
      <c r="T771" s="2423"/>
      <c r="U771" s="2423"/>
      <c r="V771" s="2423"/>
      <c r="W771" s="2423"/>
      <c r="X771" s="2423"/>
      <c r="Y771" s="2423"/>
      <c r="Z771" s="2423"/>
      <c r="AA771" s="2423"/>
      <c r="AB771" s="2423"/>
      <c r="AC771" s="2423"/>
      <c r="AD771" s="2423"/>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3"/>
      <c r="F772" s="2423"/>
      <c r="G772" s="2423"/>
      <c r="H772" s="2423"/>
      <c r="I772" s="2423"/>
      <c r="J772" s="2423"/>
      <c r="K772" s="2423"/>
      <c r="L772" s="2423"/>
      <c r="M772" s="2423"/>
      <c r="N772" s="2423"/>
      <c r="O772" s="2423"/>
      <c r="P772" s="2423"/>
      <c r="Q772" s="2423"/>
      <c r="R772" s="2423"/>
      <c r="S772" s="2423"/>
      <c r="T772" s="2423"/>
      <c r="U772" s="2423"/>
      <c r="V772" s="2423"/>
      <c r="W772" s="2423"/>
      <c r="X772" s="2423"/>
      <c r="Y772" s="2423"/>
      <c r="Z772" s="2423"/>
      <c r="AA772" s="2423"/>
      <c r="AB772" s="2423"/>
      <c r="AC772" s="2423"/>
      <c r="AD772" s="2423"/>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4" t="s">
        <v>1698</v>
      </c>
      <c r="F774" s="2534"/>
      <c r="G774" s="2534"/>
      <c r="H774" s="2534"/>
      <c r="I774" s="2534"/>
      <c r="J774" s="2534"/>
      <c r="K774" s="2534"/>
      <c r="L774" s="2534"/>
      <c r="M774" s="2534"/>
      <c r="N774" s="2534"/>
      <c r="O774" s="2534"/>
      <c r="P774" s="2534"/>
      <c r="Q774" s="2534"/>
      <c r="R774" s="2534"/>
      <c r="S774" s="2534"/>
      <c r="T774" s="2534"/>
      <c r="U774" s="2534"/>
      <c r="V774" s="2534"/>
      <c r="W774" s="2534"/>
      <c r="X774" s="2534"/>
      <c r="Y774" s="2534"/>
      <c r="Z774" s="2534"/>
      <c r="AA774" s="2534"/>
      <c r="AB774" s="2534"/>
      <c r="AC774" s="2534"/>
      <c r="AD774" s="2534"/>
      <c r="AE774" s="536"/>
      <c r="AF774" s="2523" t="s">
        <v>1353</v>
      </c>
      <c r="AG774" s="2523"/>
      <c r="AH774" s="2523"/>
      <c r="AI774" s="2523"/>
      <c r="AJ774" s="2523"/>
      <c r="AK774" s="2523"/>
      <c r="AL774" s="2523"/>
      <c r="AM774" s="613"/>
      <c r="AN774" s="597"/>
    </row>
    <row r="775" spans="1:81" s="550" customFormat="1" ht="12.75" customHeight="1">
      <c r="B775" s="616"/>
      <c r="C775" s="940"/>
      <c r="D775" s="663"/>
      <c r="E775" s="2534"/>
      <c r="F775" s="2534"/>
      <c r="G775" s="2534"/>
      <c r="H775" s="2534"/>
      <c r="I775" s="2534"/>
      <c r="J775" s="2534"/>
      <c r="K775" s="2534"/>
      <c r="L775" s="2534"/>
      <c r="M775" s="2534"/>
      <c r="N775" s="2534"/>
      <c r="O775" s="2534"/>
      <c r="P775" s="2534"/>
      <c r="Q775" s="2534"/>
      <c r="R775" s="2534"/>
      <c r="S775" s="2534"/>
      <c r="T775" s="2534"/>
      <c r="U775" s="2534"/>
      <c r="V775" s="2534"/>
      <c r="W775" s="2534"/>
      <c r="X775" s="2534"/>
      <c r="Y775" s="2534"/>
      <c r="Z775" s="2534"/>
      <c r="AA775" s="2534"/>
      <c r="AB775" s="2534"/>
      <c r="AC775" s="2534"/>
      <c r="AD775" s="2534"/>
      <c r="AE775" s="594"/>
      <c r="AF775" s="594"/>
      <c r="AG775" s="594"/>
      <c r="AH775" s="594"/>
      <c r="AI775" s="594"/>
      <c r="AJ775" s="594"/>
      <c r="AK775" s="594"/>
      <c r="AL775" s="594"/>
      <c r="AM775" s="613"/>
      <c r="AN775" s="597"/>
    </row>
    <row r="776" spans="1:81" s="550" customFormat="1" ht="12.75" customHeight="1">
      <c r="B776" s="616"/>
      <c r="C776" s="940"/>
      <c r="D776" s="663"/>
      <c r="E776" s="2534"/>
      <c r="F776" s="2534"/>
      <c r="G776" s="2534"/>
      <c r="H776" s="2534"/>
      <c r="I776" s="2534"/>
      <c r="J776" s="2534"/>
      <c r="K776" s="2534"/>
      <c r="L776" s="2534"/>
      <c r="M776" s="2534"/>
      <c r="N776" s="2534"/>
      <c r="O776" s="2534"/>
      <c r="P776" s="2534"/>
      <c r="Q776" s="2534"/>
      <c r="R776" s="2534"/>
      <c r="S776" s="2534"/>
      <c r="T776" s="2534"/>
      <c r="U776" s="2534"/>
      <c r="V776" s="2534"/>
      <c r="W776" s="2534"/>
      <c r="X776" s="2534"/>
      <c r="Y776" s="2534"/>
      <c r="Z776" s="2534"/>
      <c r="AA776" s="2534"/>
      <c r="AB776" s="2534"/>
      <c r="AC776" s="2534"/>
      <c r="AD776" s="2534"/>
      <c r="AE776" s="594"/>
      <c r="AF776" s="594"/>
      <c r="AG776" s="594"/>
      <c r="AH776" s="594"/>
      <c r="AI776" s="594"/>
      <c r="AJ776" s="594"/>
      <c r="AK776" s="594"/>
      <c r="AL776" s="594"/>
      <c r="AM776" s="613"/>
      <c r="AN776" s="597"/>
    </row>
    <row r="777" spans="1:81" s="550" customFormat="1" ht="12.75" customHeight="1">
      <c r="B777" s="616"/>
      <c r="C777" s="940"/>
      <c r="D777" s="663"/>
      <c r="E777" s="2534"/>
      <c r="F777" s="2534"/>
      <c r="G777" s="2534"/>
      <c r="H777" s="2534"/>
      <c r="I777" s="2534"/>
      <c r="J777" s="2534"/>
      <c r="K777" s="2534"/>
      <c r="L777" s="2534"/>
      <c r="M777" s="2534"/>
      <c r="N777" s="2534"/>
      <c r="O777" s="2534"/>
      <c r="P777" s="2534"/>
      <c r="Q777" s="2534"/>
      <c r="R777" s="2534"/>
      <c r="S777" s="2534"/>
      <c r="T777" s="2534"/>
      <c r="U777" s="2534"/>
      <c r="V777" s="2534"/>
      <c r="W777" s="2534"/>
      <c r="X777" s="2534"/>
      <c r="Y777" s="2534"/>
      <c r="Z777" s="2534"/>
      <c r="AA777" s="2534"/>
      <c r="AB777" s="2534"/>
      <c r="AC777" s="2534"/>
      <c r="AD777" s="2534"/>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47" t="s">
        <v>592</v>
      </c>
      <c r="I779" s="2447"/>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30">
        <f>VLOOKUP($H$779,$AO$769:$AP$771,2,FALSE)</f>
        <v>0</v>
      </c>
      <c r="AK781" s="2432"/>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23" t="s">
        <v>2033</v>
      </c>
      <c r="F785" s="2423"/>
      <c r="G785" s="2423"/>
      <c r="H785" s="2423"/>
      <c r="I785" s="2423"/>
      <c r="J785" s="2423"/>
      <c r="K785" s="2423"/>
      <c r="L785" s="2423"/>
      <c r="M785" s="2423"/>
      <c r="N785" s="2423"/>
      <c r="O785" s="2423"/>
      <c r="P785" s="2423"/>
      <c r="Q785" s="2423"/>
      <c r="R785" s="2423"/>
      <c r="S785" s="2423"/>
      <c r="T785" s="2423"/>
      <c r="U785" s="2423"/>
      <c r="V785" s="2423"/>
      <c r="W785" s="2423"/>
      <c r="X785" s="2423"/>
      <c r="Y785" s="2423"/>
      <c r="Z785" s="2423"/>
      <c r="AA785" s="2423"/>
      <c r="AB785" s="2423"/>
      <c r="AC785" s="2423"/>
      <c r="AD785" s="2423"/>
      <c r="AE785" s="536"/>
      <c r="AF785" s="2523" t="s">
        <v>1353</v>
      </c>
      <c r="AG785" s="2523"/>
      <c r="AH785" s="2523"/>
      <c r="AI785" s="2523"/>
      <c r="AJ785" s="2523"/>
      <c r="AK785" s="2523"/>
      <c r="AL785" s="2523"/>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23"/>
      <c r="F786" s="2423"/>
      <c r="G786" s="2423"/>
      <c r="H786" s="2423"/>
      <c r="I786" s="2423"/>
      <c r="J786" s="2423"/>
      <c r="K786" s="2423"/>
      <c r="L786" s="2423"/>
      <c r="M786" s="2423"/>
      <c r="N786" s="2423"/>
      <c r="O786" s="2423"/>
      <c r="P786" s="2423"/>
      <c r="Q786" s="2423"/>
      <c r="R786" s="2423"/>
      <c r="S786" s="2423"/>
      <c r="T786" s="2423"/>
      <c r="U786" s="2423"/>
      <c r="V786" s="2423"/>
      <c r="W786" s="2423"/>
      <c r="X786" s="2423"/>
      <c r="Y786" s="2423"/>
      <c r="Z786" s="2423"/>
      <c r="AA786" s="2423"/>
      <c r="AB786" s="2423"/>
      <c r="AC786" s="2423"/>
      <c r="AD786" s="2423"/>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3"/>
      <c r="F787" s="2423"/>
      <c r="G787" s="2423"/>
      <c r="H787" s="2423"/>
      <c r="I787" s="2423"/>
      <c r="J787" s="2423"/>
      <c r="K787" s="2423"/>
      <c r="L787" s="2423"/>
      <c r="M787" s="2423"/>
      <c r="N787" s="2423"/>
      <c r="O787" s="2423"/>
      <c r="P787" s="2423"/>
      <c r="Q787" s="2423"/>
      <c r="R787" s="2423"/>
      <c r="S787" s="2423"/>
      <c r="T787" s="2423"/>
      <c r="U787" s="2423"/>
      <c r="V787" s="2423"/>
      <c r="W787" s="2423"/>
      <c r="X787" s="2423"/>
      <c r="Y787" s="2423"/>
      <c r="Z787" s="2423"/>
      <c r="AA787" s="2423"/>
      <c r="AB787" s="2423"/>
      <c r="AC787" s="2423"/>
      <c r="AD787" s="2423"/>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3"/>
      <c r="F788" s="2423"/>
      <c r="G788" s="2423"/>
      <c r="H788" s="2423"/>
      <c r="I788" s="2423"/>
      <c r="J788" s="2423"/>
      <c r="K788" s="2423"/>
      <c r="L788" s="2423"/>
      <c r="M788" s="2423"/>
      <c r="N788" s="2423"/>
      <c r="O788" s="2423"/>
      <c r="P788" s="2423"/>
      <c r="Q788" s="2423"/>
      <c r="R788" s="2423"/>
      <c r="S788" s="2423"/>
      <c r="T788" s="2423"/>
      <c r="U788" s="2423"/>
      <c r="V788" s="2423"/>
      <c r="W788" s="2423"/>
      <c r="X788" s="2423"/>
      <c r="Y788" s="2423"/>
      <c r="Z788" s="2423"/>
      <c r="AA788" s="2423"/>
      <c r="AB788" s="2423"/>
      <c r="AC788" s="2423"/>
      <c r="AD788" s="2423"/>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447" t="s">
        <v>592</v>
      </c>
      <c r="I790" s="2447"/>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30">
        <f>VLOOKUP($H$790,$AO$784:$AP$785,2,FALSE)</f>
        <v>0</v>
      </c>
      <c r="AK792" s="2432"/>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30">
        <f>IF(($AJ$621+$AJ$640+$AJ$652+$AJ$687+$AJ$711+$AJ$725+$AJ$737+$AJ$753+$AJ$765+$AJ$781+AJ792)&gt;10,10,($AJ$621+$AJ$640+$AJ$652+$AJ$687+$AJ$711+$AJ$725+$AJ$737+$AJ$753+$AJ$765+$AJ$781+AJ792))</f>
        <v>10</v>
      </c>
      <c r="AL794" s="2431"/>
      <c r="AM794" s="2432"/>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4" t="s">
        <v>1569</v>
      </c>
      <c r="B797" s="2515"/>
      <c r="C797" s="2515"/>
      <c r="D797" s="2515"/>
      <c r="E797" s="2515"/>
      <c r="F797" s="2515"/>
      <c r="G797" s="2515"/>
      <c r="H797" s="2515"/>
      <c r="I797" s="2515"/>
      <c r="J797" s="2515"/>
      <c r="K797" s="2515"/>
      <c r="L797" s="2515"/>
      <c r="M797" s="2515"/>
      <c r="N797" s="2515"/>
      <c r="O797" s="2515"/>
      <c r="P797" s="2515"/>
      <c r="Q797" s="2515"/>
      <c r="R797" s="2515"/>
      <c r="S797" s="2515"/>
      <c r="T797" s="2515"/>
      <c r="U797" s="2515"/>
      <c r="V797" s="2515"/>
      <c r="W797" s="2515"/>
      <c r="X797" s="2515"/>
      <c r="Y797" s="2515"/>
      <c r="Z797" s="2515"/>
      <c r="AA797" s="2515"/>
      <c r="AB797" s="2515"/>
      <c r="AC797" s="2515"/>
      <c r="AD797" s="2515"/>
      <c r="AE797" s="2515"/>
      <c r="AF797" s="2515"/>
      <c r="AG797" s="2515"/>
      <c r="AH797" s="2515"/>
      <c r="AI797" s="2515"/>
      <c r="AJ797" s="2515"/>
      <c r="AK797" s="2515"/>
      <c r="AL797" s="2515"/>
      <c r="AM797" s="2515"/>
    </row>
    <row r="798" spans="1:81">
      <c r="A798" s="2516"/>
      <c r="B798" s="2516"/>
      <c r="C798" s="2516"/>
      <c r="D798" s="2516"/>
      <c r="E798" s="2516"/>
      <c r="F798" s="2516"/>
      <c r="G798" s="2516"/>
      <c r="H798" s="2516"/>
      <c r="I798" s="2516"/>
      <c r="J798" s="2516"/>
      <c r="K798" s="2516"/>
      <c r="L798" s="2516"/>
      <c r="M798" s="2516"/>
      <c r="N798" s="2516"/>
      <c r="O798" s="2516"/>
      <c r="P798" s="2516"/>
      <c r="Q798" s="2516"/>
      <c r="R798" s="2516"/>
      <c r="S798" s="2516"/>
      <c r="T798" s="2516"/>
      <c r="U798" s="2516"/>
      <c r="V798" s="2516"/>
      <c r="W798" s="2516"/>
      <c r="X798" s="2516"/>
      <c r="Y798" s="2516"/>
      <c r="Z798" s="2516"/>
      <c r="AA798" s="2516"/>
      <c r="AB798" s="2516"/>
      <c r="AC798" s="2516"/>
      <c r="AD798" s="2516"/>
      <c r="AE798" s="2516"/>
      <c r="AF798" s="2516"/>
      <c r="AG798" s="2516"/>
      <c r="AH798" s="2516"/>
      <c r="AI798" s="2516"/>
      <c r="AJ798" s="2516"/>
      <c r="AK798" s="2516"/>
      <c r="AL798" s="2516"/>
      <c r="AM798" s="2516"/>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5"/>
      <c r="B800" s="2445"/>
      <c r="C800" s="2445"/>
      <c r="D800" s="2445"/>
      <c r="E800" s="2445"/>
      <c r="F800" s="2445"/>
      <c r="G800" s="2445"/>
      <c r="H800" s="2445"/>
      <c r="I800" s="2445"/>
      <c r="J800" s="2445"/>
      <c r="K800" s="2445"/>
      <c r="L800" s="2445"/>
      <c r="M800" s="2445"/>
      <c r="N800" s="2445"/>
      <c r="O800" s="2445"/>
      <c r="P800" s="2445"/>
      <c r="Q800" s="2445"/>
      <c r="R800" s="2445"/>
      <c r="S800" s="2445"/>
      <c r="T800" s="2445"/>
      <c r="U800" s="2445"/>
      <c r="V800" s="2445"/>
      <c r="W800" s="2445"/>
      <c r="X800" s="2445"/>
      <c r="Y800" s="2445"/>
      <c r="Z800" s="2445"/>
      <c r="AA800" s="2445"/>
      <c r="AB800" s="2445"/>
      <c r="AC800" s="2445"/>
      <c r="AD800" s="2445"/>
      <c r="AE800" s="2445"/>
      <c r="AF800" s="2445"/>
      <c r="AG800" s="2445"/>
      <c r="AH800" s="2445"/>
      <c r="AI800" s="2445"/>
      <c r="AJ800" s="2445"/>
      <c r="AK800" s="2445"/>
      <c r="AL800" s="2445"/>
      <c r="AM800" s="2445"/>
      <c r="AP800" s="816"/>
      <c r="AQ800" s="816"/>
    </row>
    <row r="801" spans="1:81">
      <c r="A801" s="2445"/>
      <c r="B801" s="2445"/>
      <c r="C801" s="2445"/>
      <c r="D801" s="2445"/>
      <c r="E801" s="2445"/>
      <c r="F801" s="2445"/>
      <c r="G801" s="2445"/>
      <c r="H801" s="2445"/>
      <c r="I801" s="2445"/>
      <c r="J801" s="2445"/>
      <c r="K801" s="2445"/>
      <c r="L801" s="2445"/>
      <c r="M801" s="2445"/>
      <c r="N801" s="2445"/>
      <c r="O801" s="2445"/>
      <c r="P801" s="2445"/>
      <c r="Q801" s="2445"/>
      <c r="R801" s="2445"/>
      <c r="S801" s="2445"/>
      <c r="T801" s="2445"/>
      <c r="U801" s="2445"/>
      <c r="V801" s="2445"/>
      <c r="W801" s="2445"/>
      <c r="X801" s="2445"/>
      <c r="Y801" s="2445"/>
      <c r="Z801" s="2445"/>
      <c r="AA801" s="2445"/>
      <c r="AB801" s="2445"/>
      <c r="AC801" s="2445"/>
      <c r="AD801" s="2445"/>
      <c r="AE801" s="2445"/>
      <c r="AF801" s="2445"/>
      <c r="AG801" s="2445"/>
      <c r="AH801" s="2445"/>
      <c r="AI801" s="2445"/>
      <c r="AJ801" s="2445"/>
      <c r="AK801" s="2445"/>
      <c r="AL801" s="2445"/>
      <c r="AM801" s="2445"/>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7" t="s">
        <v>1570</v>
      </c>
      <c r="U802" s="2518"/>
      <c r="V802" s="2518"/>
      <c r="W802" s="2518"/>
      <c r="X802" s="2518"/>
      <c r="Y802" s="2519"/>
      <c r="Z802" s="2517" t="s">
        <v>1571</v>
      </c>
      <c r="AA802" s="2518"/>
      <c r="AB802" s="2518"/>
      <c r="AC802" s="2518"/>
      <c r="AD802" s="2518"/>
      <c r="AE802" s="2519"/>
      <c r="AF802" s="2517" t="s">
        <v>1572</v>
      </c>
      <c r="AG802" s="2518"/>
      <c r="AH802" s="2518"/>
      <c r="AI802" s="2518"/>
      <c r="AJ802" s="2518"/>
      <c r="AK802" s="2519"/>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20"/>
      <c r="U803" s="2521"/>
      <c r="V803" s="2521"/>
      <c r="W803" s="2521"/>
      <c r="X803" s="2521"/>
      <c r="Y803" s="2522"/>
      <c r="Z803" s="2520"/>
      <c r="AA803" s="2521"/>
      <c r="AB803" s="2521"/>
      <c r="AC803" s="2521"/>
      <c r="AD803" s="2521"/>
      <c r="AE803" s="2522"/>
      <c r="AF803" s="2520"/>
      <c r="AG803" s="2521"/>
      <c r="AH803" s="2521"/>
      <c r="AI803" s="2521"/>
      <c r="AJ803" s="2521"/>
      <c r="AK803" s="2522"/>
      <c r="AL803" s="818"/>
      <c r="AM803" s="596"/>
      <c r="AO803" s="816"/>
      <c r="AP803" s="816"/>
      <c r="AQ803" s="816"/>
    </row>
    <row r="804" spans="1:81">
      <c r="A804" s="819" t="s">
        <v>758</v>
      </c>
      <c r="B804" s="2474" t="s">
        <v>1305</v>
      </c>
      <c r="C804" s="2474"/>
      <c r="D804" s="2474"/>
      <c r="E804" s="2474"/>
      <c r="F804" s="2474"/>
      <c r="G804" s="2474"/>
      <c r="H804" s="2474"/>
      <c r="I804" s="2474"/>
      <c r="J804" s="2474"/>
      <c r="K804" s="2474"/>
      <c r="L804" s="2474"/>
      <c r="M804" s="2474"/>
      <c r="N804" s="2474"/>
      <c r="O804" s="2474"/>
      <c r="P804" s="2474"/>
      <c r="Q804" s="2474"/>
      <c r="R804" s="2474"/>
      <c r="S804" s="2475"/>
      <c r="T804" s="2502">
        <f>AK62</f>
        <v>20</v>
      </c>
      <c r="U804" s="2478"/>
      <c r="V804" s="2478"/>
      <c r="W804" s="2478"/>
      <c r="X804" s="2478"/>
      <c r="Y804" s="2479"/>
      <c r="Z804" s="2477">
        <v>20</v>
      </c>
      <c r="AA804" s="2478"/>
      <c r="AB804" s="2478"/>
      <c r="AC804" s="2478"/>
      <c r="AD804" s="2478"/>
      <c r="AE804" s="2479"/>
      <c r="AF804" s="2442">
        <f>IF(T804&gt;Z804,Z804,T804)</f>
        <v>20</v>
      </c>
      <c r="AG804" s="2442"/>
      <c r="AH804" s="2442"/>
      <c r="AI804" s="2442"/>
      <c r="AJ804" s="2442"/>
      <c r="AK804" s="2442"/>
      <c r="AL804" s="818"/>
      <c r="AM804" s="596"/>
      <c r="AO804" s="816"/>
      <c r="AP804" s="816"/>
      <c r="AQ804" s="816"/>
    </row>
    <row r="805" spans="1:81">
      <c r="A805" s="819" t="s">
        <v>1542</v>
      </c>
      <c r="B805" s="2474" t="s">
        <v>1314</v>
      </c>
      <c r="C805" s="2474"/>
      <c r="D805" s="2474"/>
      <c r="E805" s="2474"/>
      <c r="F805" s="2474"/>
      <c r="G805" s="2474"/>
      <c r="H805" s="2474"/>
      <c r="I805" s="2474"/>
      <c r="J805" s="2474"/>
      <c r="K805" s="2474"/>
      <c r="L805" s="2474"/>
      <c r="M805" s="2474"/>
      <c r="N805" s="2474"/>
      <c r="O805" s="2474"/>
      <c r="P805" s="2474"/>
      <c r="Q805" s="2474"/>
      <c r="R805" s="2474"/>
      <c r="S805" s="2475"/>
      <c r="T805" s="2502">
        <f>AK84</f>
        <v>0</v>
      </c>
      <c r="U805" s="2478"/>
      <c r="V805" s="2478"/>
      <c r="W805" s="2478"/>
      <c r="X805" s="2478"/>
      <c r="Y805" s="2479"/>
      <c r="Z805" s="2477">
        <v>10</v>
      </c>
      <c r="AA805" s="2478"/>
      <c r="AB805" s="2478"/>
      <c r="AC805" s="2478"/>
      <c r="AD805" s="2478"/>
      <c r="AE805" s="2479"/>
      <c r="AF805" s="2442">
        <f>IF(T805&gt;Z805,Z805,T805)</f>
        <v>0</v>
      </c>
      <c r="AG805" s="2442"/>
      <c r="AH805" s="2442"/>
      <c r="AI805" s="2442"/>
      <c r="AJ805" s="2442"/>
      <c r="AK805" s="2442"/>
      <c r="AL805" s="818"/>
      <c r="AM805" s="596"/>
      <c r="AO805" s="816"/>
      <c r="AP805" s="816"/>
      <c r="AQ805" s="816"/>
    </row>
    <row r="806" spans="1:81">
      <c r="A806" s="819" t="s">
        <v>1551</v>
      </c>
      <c r="B806" s="2474" t="s">
        <v>1324</v>
      </c>
      <c r="C806" s="2474"/>
      <c r="D806" s="2474"/>
      <c r="E806" s="2474"/>
      <c r="F806" s="2474"/>
      <c r="G806" s="2474"/>
      <c r="H806" s="2474"/>
      <c r="I806" s="2474"/>
      <c r="J806" s="2474"/>
      <c r="K806" s="2474"/>
      <c r="L806" s="2474"/>
      <c r="M806" s="2474"/>
      <c r="N806" s="2474"/>
      <c r="O806" s="2474"/>
      <c r="P806" s="2474"/>
      <c r="Q806" s="2474"/>
      <c r="R806" s="2474"/>
      <c r="S806" s="2475"/>
      <c r="T806" s="2502">
        <f ca="1">AK109</f>
        <v>20</v>
      </c>
      <c r="U806" s="2478"/>
      <c r="V806" s="2478"/>
      <c r="W806" s="2478"/>
      <c r="X806" s="2478"/>
      <c r="Y806" s="2479"/>
      <c r="Z806" s="2477">
        <v>20</v>
      </c>
      <c r="AA806" s="2478"/>
      <c r="AB806" s="2478"/>
      <c r="AC806" s="2478"/>
      <c r="AD806" s="2478"/>
      <c r="AE806" s="2479"/>
      <c r="AF806" s="2442">
        <f ca="1">IF(T806&gt;Z806,Z806,T806)</f>
        <v>20</v>
      </c>
      <c r="AG806" s="2442"/>
      <c r="AH806" s="2442"/>
      <c r="AI806" s="2442"/>
      <c r="AJ806" s="2442"/>
      <c r="AK806" s="2442"/>
      <c r="AL806" s="818"/>
      <c r="AM806" s="596"/>
      <c r="AO806" s="816"/>
      <c r="AP806" s="816"/>
      <c r="AQ806" s="816"/>
    </row>
    <row r="807" spans="1:81">
      <c r="A807" s="819" t="s">
        <v>1573</v>
      </c>
      <c r="B807" s="2474" t="s">
        <v>1334</v>
      </c>
      <c r="C807" s="2474"/>
      <c r="D807" s="2474"/>
      <c r="E807" s="2474"/>
      <c r="F807" s="2474"/>
      <c r="G807" s="2474"/>
      <c r="H807" s="2474"/>
      <c r="I807" s="2474"/>
      <c r="J807" s="2474"/>
      <c r="K807" s="2474"/>
      <c r="L807" s="2474"/>
      <c r="M807" s="2474"/>
      <c r="N807" s="2474"/>
      <c r="O807" s="2474"/>
      <c r="P807" s="2474"/>
      <c r="Q807" s="2474"/>
      <c r="R807" s="2474"/>
      <c r="S807" s="2475"/>
      <c r="T807" s="2502">
        <f>AK143</f>
        <v>10</v>
      </c>
      <c r="U807" s="2478"/>
      <c r="V807" s="2478"/>
      <c r="W807" s="2478"/>
      <c r="X807" s="2478"/>
      <c r="Y807" s="2479"/>
      <c r="Z807" s="2477">
        <v>10</v>
      </c>
      <c r="AA807" s="2478"/>
      <c r="AB807" s="2478"/>
      <c r="AC807" s="2478"/>
      <c r="AD807" s="2478"/>
      <c r="AE807" s="2479"/>
      <c r="AF807" s="2442">
        <f>IF(T807&gt;Z807,Z807,T807)</f>
        <v>10</v>
      </c>
      <c r="AG807" s="2442"/>
      <c r="AH807" s="2442"/>
      <c r="AI807" s="2442"/>
      <c r="AJ807" s="2442"/>
      <c r="AK807" s="2442"/>
      <c r="AL807" s="818"/>
      <c r="AM807" s="596"/>
      <c r="AO807" s="816"/>
      <c r="AP807" s="816"/>
      <c r="AQ807" s="816"/>
    </row>
    <row r="808" spans="1:81">
      <c r="A808" s="820" t="s">
        <v>1574</v>
      </c>
      <c r="B808" s="2474" t="s">
        <v>1575</v>
      </c>
      <c r="C808" s="2474"/>
      <c r="D808" s="2474"/>
      <c r="E808" s="2474"/>
      <c r="F808" s="2474"/>
      <c r="G808" s="2474"/>
      <c r="H808" s="2474"/>
      <c r="I808" s="2474"/>
      <c r="J808" s="2474"/>
      <c r="K808" s="2474"/>
      <c r="L808" s="2474"/>
      <c r="M808" s="2474"/>
      <c r="N808" s="2474"/>
      <c r="O808" s="2474"/>
      <c r="P808" s="2474"/>
      <c r="Q808" s="2474"/>
      <c r="R808" s="2474"/>
      <c r="S808" s="2475"/>
      <c r="T808" s="2476">
        <f>SUM(T809:Y810)</f>
        <v>10</v>
      </c>
      <c r="U808" s="2476"/>
      <c r="V808" s="2476"/>
      <c r="W808" s="2476"/>
      <c r="X808" s="2476"/>
      <c r="Y808" s="2476"/>
      <c r="Z808" s="2442">
        <v>10</v>
      </c>
      <c r="AA808" s="2442"/>
      <c r="AB808" s="2442"/>
      <c r="AC808" s="2442"/>
      <c r="AD808" s="2442"/>
      <c r="AE808" s="2442"/>
      <c r="AF808" s="2442">
        <f>IF(T808&gt;Z808,Z808,T808)</f>
        <v>10</v>
      </c>
      <c r="AG808" s="2442"/>
      <c r="AH808" s="2442"/>
      <c r="AI808" s="2442"/>
      <c r="AJ808" s="2442"/>
      <c r="AK808" s="2442"/>
      <c r="AL808" s="818"/>
      <c r="AM808" s="596"/>
    </row>
    <row r="809" spans="1:81">
      <c r="A809" s="535"/>
      <c r="B809" s="601"/>
      <c r="C809" s="2480" t="s">
        <v>1576</v>
      </c>
      <c r="D809" s="2480"/>
      <c r="E809" s="2480"/>
      <c r="F809" s="2480"/>
      <c r="G809" s="2480"/>
      <c r="H809" s="2480"/>
      <c r="I809" s="2480"/>
      <c r="J809" s="2480"/>
      <c r="K809" s="2480"/>
      <c r="L809" s="2480"/>
      <c r="M809" s="2480"/>
      <c r="N809" s="2480"/>
      <c r="O809" s="2480"/>
      <c r="P809" s="2480"/>
      <c r="Q809" s="2480"/>
      <c r="R809" s="2480"/>
      <c r="S809" s="2481"/>
      <c r="T809" s="2482">
        <f>AJ166</f>
        <v>7</v>
      </c>
      <c r="U809" s="2482"/>
      <c r="V809" s="2482"/>
      <c r="W809" s="2482"/>
      <c r="X809" s="2482"/>
      <c r="Y809" s="2482"/>
      <c r="Z809" s="2483">
        <v>7</v>
      </c>
      <c r="AA809" s="2483"/>
      <c r="AB809" s="2483"/>
      <c r="AC809" s="2483"/>
      <c r="AD809" s="2483"/>
      <c r="AE809" s="2483"/>
      <c r="AF809" s="2484"/>
      <c r="AG809" s="2484"/>
      <c r="AH809" s="2484"/>
      <c r="AI809" s="2484"/>
      <c r="AJ809" s="2484"/>
      <c r="AK809" s="2484"/>
      <c r="AL809" s="818"/>
      <c r="AM809" s="596"/>
    </row>
    <row r="810" spans="1:81">
      <c r="A810" s="600"/>
      <c r="B810" s="601"/>
      <c r="C810" s="2480" t="s">
        <v>1577</v>
      </c>
      <c r="D810" s="2480"/>
      <c r="E810" s="2480"/>
      <c r="F810" s="2480"/>
      <c r="G810" s="2480"/>
      <c r="H810" s="2480"/>
      <c r="I810" s="2480"/>
      <c r="J810" s="2480"/>
      <c r="K810" s="2480"/>
      <c r="L810" s="2480"/>
      <c r="M810" s="2480"/>
      <c r="N810" s="2480"/>
      <c r="O810" s="2480"/>
      <c r="P810" s="2480"/>
      <c r="Q810" s="2480"/>
      <c r="R810" s="2480"/>
      <c r="S810" s="2481"/>
      <c r="T810" s="2482">
        <f>AJ180</f>
        <v>3</v>
      </c>
      <c r="U810" s="2482"/>
      <c r="V810" s="2482"/>
      <c r="W810" s="2482"/>
      <c r="X810" s="2482"/>
      <c r="Y810" s="2482"/>
      <c r="Z810" s="2483">
        <v>3</v>
      </c>
      <c r="AA810" s="2483"/>
      <c r="AB810" s="2483"/>
      <c r="AC810" s="2483"/>
      <c r="AD810" s="2483"/>
      <c r="AE810" s="2483"/>
      <c r="AF810" s="2484"/>
      <c r="AG810" s="2484"/>
      <c r="AH810" s="2484"/>
      <c r="AI810" s="2484"/>
      <c r="AJ810" s="2484"/>
      <c r="AK810" s="2484"/>
      <c r="AL810" s="818"/>
      <c r="AM810" s="596"/>
      <c r="AO810" s="550"/>
    </row>
    <row r="811" spans="1:81">
      <c r="A811" s="820" t="s">
        <v>1362</v>
      </c>
      <c r="B811" s="2474" t="s">
        <v>1578</v>
      </c>
      <c r="C811" s="2474"/>
      <c r="D811" s="2474"/>
      <c r="E811" s="2474"/>
      <c r="F811" s="2474"/>
      <c r="G811" s="2474"/>
      <c r="H811" s="2474"/>
      <c r="I811" s="2474"/>
      <c r="J811" s="2474"/>
      <c r="K811" s="2474"/>
      <c r="L811" s="2474"/>
      <c r="M811" s="2474"/>
      <c r="N811" s="2474"/>
      <c r="O811" s="2474"/>
      <c r="P811" s="2474"/>
      <c r="Q811" s="2474"/>
      <c r="R811" s="2474"/>
      <c r="S811" s="2475"/>
      <c r="T811" s="2476">
        <f>AK191</f>
        <v>0</v>
      </c>
      <c r="U811" s="2476"/>
      <c r="V811" s="2476"/>
      <c r="W811" s="2476"/>
      <c r="X811" s="2476"/>
      <c r="Y811" s="2476"/>
      <c r="Z811" s="2442">
        <v>10</v>
      </c>
      <c r="AA811" s="2442"/>
      <c r="AB811" s="2442"/>
      <c r="AC811" s="2442"/>
      <c r="AD811" s="2442"/>
      <c r="AE811" s="2442"/>
      <c r="AF811" s="2442">
        <f>IF(T811&gt;Z811,Z811,T811)</f>
        <v>0</v>
      </c>
      <c r="AG811" s="2442"/>
      <c r="AH811" s="2442"/>
      <c r="AI811" s="2442"/>
      <c r="AJ811" s="2442"/>
      <c r="AK811" s="2442"/>
      <c r="AL811" s="818"/>
      <c r="AM811" s="596"/>
    </row>
    <row r="812" spans="1:81">
      <c r="A812" s="819" t="s">
        <v>1371</v>
      </c>
      <c r="B812" s="2474" t="s">
        <v>1372</v>
      </c>
      <c r="C812" s="2474"/>
      <c r="D812" s="2474"/>
      <c r="E812" s="2474"/>
      <c r="F812" s="2474"/>
      <c r="G812" s="2474"/>
      <c r="H812" s="2474"/>
      <c r="I812" s="2474"/>
      <c r="J812" s="2474"/>
      <c r="K812" s="2474"/>
      <c r="L812" s="2474"/>
      <c r="M812" s="2474"/>
      <c r="N812" s="2474"/>
      <c r="O812" s="2474"/>
      <c r="P812" s="2474"/>
      <c r="Q812" s="2474"/>
      <c r="R812" s="2474"/>
      <c r="S812" s="2475"/>
      <c r="T812" s="2476">
        <f>AK273</f>
        <v>8</v>
      </c>
      <c r="U812" s="2476"/>
      <c r="V812" s="2476"/>
      <c r="W812" s="2476"/>
      <c r="X812" s="2476"/>
      <c r="Y812" s="2476"/>
      <c r="Z812" s="2477">
        <v>8</v>
      </c>
      <c r="AA812" s="2478"/>
      <c r="AB812" s="2478"/>
      <c r="AC812" s="2478"/>
      <c r="AD812" s="2478"/>
      <c r="AE812" s="2479"/>
      <c r="AF812" s="2442">
        <f>IF(T812&gt;Z812,Z812,T812)</f>
        <v>8</v>
      </c>
      <c r="AG812" s="2442"/>
      <c r="AH812" s="2442"/>
      <c r="AI812" s="2442"/>
      <c r="AJ812" s="2442"/>
      <c r="AK812" s="2442"/>
      <c r="AL812" s="818"/>
      <c r="AM812" s="596"/>
    </row>
    <row r="813" spans="1:81" s="534" customFormat="1" hidden="1">
      <c r="A813" s="820" t="s">
        <v>590</v>
      </c>
      <c r="B813" s="2474" t="s">
        <v>1579</v>
      </c>
      <c r="C813" s="2474"/>
      <c r="D813" s="2474"/>
      <c r="E813" s="2474"/>
      <c r="F813" s="2474"/>
      <c r="G813" s="2474"/>
      <c r="H813" s="2474"/>
      <c r="I813" s="2474"/>
      <c r="J813" s="2474"/>
      <c r="K813" s="2474"/>
      <c r="L813" s="2474"/>
      <c r="M813" s="2474"/>
      <c r="N813" s="2474"/>
      <c r="O813" s="2474"/>
      <c r="P813" s="2474"/>
      <c r="Q813" s="2474"/>
      <c r="R813" s="2474"/>
      <c r="S813" s="2475"/>
      <c r="T813" s="2476">
        <f>IF(AK535&gt;5,5,AK535)</f>
        <v>0</v>
      </c>
      <c r="U813" s="2476"/>
      <c r="V813" s="2476"/>
      <c r="W813" s="2476"/>
      <c r="X813" s="2476"/>
      <c r="Y813" s="2476"/>
      <c r="Z813" s="2442">
        <v>5</v>
      </c>
      <c r="AA813" s="2442"/>
      <c r="AB813" s="2442"/>
      <c r="AC813" s="2442"/>
      <c r="AD813" s="2442"/>
      <c r="AE813" s="2442"/>
      <c r="AF813" s="2442">
        <f>IF(T813&gt;Z813,5,T813)</f>
        <v>0</v>
      </c>
      <c r="AG813" s="2442"/>
      <c r="AH813" s="2442"/>
      <c r="AI813" s="2442"/>
      <c r="AJ813" s="2442"/>
      <c r="AK813" s="2442"/>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474" t="s">
        <v>1580</v>
      </c>
      <c r="C814" s="2474"/>
      <c r="D814" s="2474"/>
      <c r="E814" s="2474"/>
      <c r="F814" s="2474"/>
      <c r="G814" s="2474"/>
      <c r="H814" s="2474"/>
      <c r="I814" s="2474"/>
      <c r="J814" s="2474"/>
      <c r="K814" s="2474"/>
      <c r="L814" s="2474"/>
      <c r="M814" s="2474"/>
      <c r="N814" s="2474"/>
      <c r="O814" s="2474"/>
      <c r="P814" s="2474"/>
      <c r="Q814" s="2474"/>
      <c r="R814" s="2474"/>
      <c r="S814" s="2475"/>
      <c r="T814" s="2476">
        <f>AK285</f>
        <v>10</v>
      </c>
      <c r="U814" s="2476"/>
      <c r="V814" s="2476"/>
      <c r="W814" s="2476"/>
      <c r="X814" s="2476"/>
      <c r="Y814" s="2476"/>
      <c r="Z814" s="2442">
        <v>10</v>
      </c>
      <c r="AA814" s="2442"/>
      <c r="AB814" s="2442"/>
      <c r="AC814" s="2442"/>
      <c r="AD814" s="2442"/>
      <c r="AE814" s="2442"/>
      <c r="AF814" s="2485">
        <f>IF(T814&gt;Z814,Z814,T814)</f>
        <v>10</v>
      </c>
      <c r="AG814" s="2486"/>
      <c r="AH814" s="2486"/>
      <c r="AI814" s="2486"/>
      <c r="AJ814" s="2486"/>
      <c r="AK814" s="2487"/>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474" t="s">
        <v>1382</v>
      </c>
      <c r="C815" s="2474"/>
      <c r="D815" s="2474"/>
      <c r="E815" s="2474"/>
      <c r="F815" s="2474"/>
      <c r="G815" s="2474"/>
      <c r="H815" s="2474"/>
      <c r="I815" s="2474"/>
      <c r="J815" s="2474"/>
      <c r="K815" s="2474"/>
      <c r="L815" s="2474"/>
      <c r="M815" s="2474"/>
      <c r="N815" s="2474"/>
      <c r="O815" s="2474"/>
      <c r="P815" s="2474"/>
      <c r="Q815" s="2474"/>
      <c r="R815" s="2474"/>
      <c r="S815" s="2475"/>
      <c r="T815" s="2476">
        <f>AK338</f>
        <v>9</v>
      </c>
      <c r="U815" s="2476"/>
      <c r="V815" s="2476"/>
      <c r="W815" s="2476"/>
      <c r="X815" s="2476"/>
      <c r="Y815" s="2476"/>
      <c r="Z815" s="2485">
        <v>10</v>
      </c>
      <c r="AA815" s="2486"/>
      <c r="AB815" s="2486"/>
      <c r="AC815" s="2486"/>
      <c r="AD815" s="2486"/>
      <c r="AE815" s="2487"/>
      <c r="AF815" s="2485">
        <f>IF(T815&gt;Z815,Z815,T815)</f>
        <v>9</v>
      </c>
      <c r="AG815" s="2486"/>
      <c r="AH815" s="2486"/>
      <c r="AI815" s="2486"/>
      <c r="AJ815" s="2486"/>
      <c r="AK815" s="2487"/>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82">
        <f>AK338</f>
        <v>9</v>
      </c>
      <c r="U816" s="2482"/>
      <c r="V816" s="2482"/>
      <c r="W816" s="2482"/>
      <c r="X816" s="2482"/>
      <c r="Y816" s="2482"/>
      <c r="Z816" s="2430">
        <v>20</v>
      </c>
      <c r="AA816" s="2431"/>
      <c r="AB816" s="2431"/>
      <c r="AC816" s="2431"/>
      <c r="AD816" s="2431"/>
      <c r="AE816" s="2432"/>
      <c r="AF816" s="2484"/>
      <c r="AG816" s="2484"/>
      <c r="AH816" s="2484"/>
      <c r="AI816" s="2484"/>
      <c r="AJ816" s="2484"/>
      <c r="AK816" s="2484"/>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474" t="s">
        <v>846</v>
      </c>
      <c r="C817" s="2474"/>
      <c r="D817" s="2474"/>
      <c r="E817" s="2474"/>
      <c r="F817" s="2474"/>
      <c r="G817" s="2474"/>
      <c r="H817" s="2474"/>
      <c r="I817" s="2474"/>
      <c r="J817" s="2474"/>
      <c r="K817" s="2474"/>
      <c r="L817" s="2474"/>
      <c r="M817" s="2474"/>
      <c r="N817" s="2474"/>
      <c r="O817" s="2474"/>
      <c r="P817" s="2474"/>
      <c r="Q817" s="2474"/>
      <c r="R817" s="2474"/>
      <c r="S817" s="2475"/>
      <c r="T817" s="2476">
        <f>AK469</f>
        <v>10</v>
      </c>
      <c r="U817" s="2476"/>
      <c r="V817" s="2476"/>
      <c r="W817" s="2476"/>
      <c r="X817" s="2476"/>
      <c r="Y817" s="2476"/>
      <c r="Z817" s="2485">
        <v>10</v>
      </c>
      <c r="AA817" s="2486"/>
      <c r="AB817" s="2486"/>
      <c r="AC817" s="2486"/>
      <c r="AD817" s="2486"/>
      <c r="AE817" s="2487"/>
      <c r="AF817" s="2442">
        <f>IF(T817&gt;Z817,Z817,T817)</f>
        <v>10</v>
      </c>
      <c r="AG817" s="2442"/>
      <c r="AH817" s="2442"/>
      <c r="AI817" s="2442"/>
      <c r="AJ817" s="2442"/>
      <c r="AK817" s="2442"/>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474" t="s">
        <v>1560</v>
      </c>
      <c r="C818" s="2474"/>
      <c r="D818" s="2474"/>
      <c r="E818" s="2474"/>
      <c r="F818" s="2474"/>
      <c r="G818" s="2474"/>
      <c r="H818" s="2474"/>
      <c r="I818" s="2474"/>
      <c r="J818" s="2474"/>
      <c r="K818" s="2474"/>
      <c r="L818" s="2474"/>
      <c r="M818" s="2474"/>
      <c r="N818" s="2474"/>
      <c r="O818" s="2474"/>
      <c r="P818" s="2474"/>
      <c r="Q818" s="2474"/>
      <c r="R818" s="2474"/>
      <c r="S818" s="2475"/>
      <c r="T818" s="2476">
        <f>AK559</f>
        <v>12</v>
      </c>
      <c r="U818" s="2476"/>
      <c r="V818" s="2476"/>
      <c r="W818" s="2476"/>
      <c r="X818" s="2476"/>
      <c r="Y818" s="2476"/>
      <c r="Z818" s="2485">
        <v>12</v>
      </c>
      <c r="AA818" s="2486"/>
      <c r="AB818" s="2486"/>
      <c r="AC818" s="2486"/>
      <c r="AD818" s="2486"/>
      <c r="AE818" s="2487"/>
      <c r="AF818" s="2442">
        <f>IF(T818&gt;Z818,Z818,T818)</f>
        <v>12</v>
      </c>
      <c r="AG818" s="2442"/>
      <c r="AH818" s="2442"/>
      <c r="AI818" s="2442"/>
      <c r="AJ818" s="2442"/>
      <c r="AK818" s="2442"/>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74" t="s">
        <v>1582</v>
      </c>
      <c r="C819" s="2474"/>
      <c r="D819" s="2474"/>
      <c r="E819" s="2474"/>
      <c r="F819" s="2474"/>
      <c r="G819" s="2474"/>
      <c r="H819" s="2474"/>
      <c r="I819" s="2474"/>
      <c r="J819" s="2474"/>
      <c r="K819" s="2474"/>
      <c r="L819" s="2474"/>
      <c r="M819" s="2474"/>
      <c r="N819" s="2474"/>
      <c r="O819" s="2474"/>
      <c r="P819" s="2474"/>
      <c r="Q819" s="2474"/>
      <c r="R819" s="2474"/>
      <c r="S819" s="2475"/>
      <c r="T819" s="2476">
        <f>AK794</f>
        <v>10</v>
      </c>
      <c r="U819" s="2476"/>
      <c r="V819" s="2476"/>
      <c r="W819" s="2476"/>
      <c r="X819" s="2476"/>
      <c r="Y819" s="2476"/>
      <c r="Z819" s="2485">
        <v>10</v>
      </c>
      <c r="AA819" s="2486"/>
      <c r="AB819" s="2486"/>
      <c r="AC819" s="2486"/>
      <c r="AD819" s="2486"/>
      <c r="AE819" s="2487"/>
      <c r="AF819" s="2442">
        <f>IF(T819&gt;Z819,Z819,T819)</f>
        <v>10</v>
      </c>
      <c r="AG819" s="2442"/>
      <c r="AH819" s="2442"/>
      <c r="AI819" s="2442"/>
      <c r="AJ819" s="2442"/>
      <c r="AK819" s="2442"/>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8" t="s">
        <v>1583</v>
      </c>
      <c r="B820" s="2474"/>
      <c r="C820" s="2474"/>
      <c r="D820" s="2474"/>
      <c r="E820" s="2474"/>
      <c r="F820" s="2474"/>
      <c r="G820" s="2474"/>
      <c r="H820" s="2474"/>
      <c r="I820" s="2474"/>
      <c r="J820" s="2474"/>
      <c r="K820" s="2474"/>
      <c r="L820" s="2474"/>
      <c r="M820" s="2474"/>
      <c r="N820" s="2474"/>
      <c r="O820" s="2474"/>
      <c r="P820" s="2474"/>
      <c r="Q820" s="2474"/>
      <c r="R820" s="2474"/>
      <c r="S820" s="2475"/>
      <c r="T820" s="2489"/>
      <c r="U820" s="2489"/>
      <c r="V820" s="2489"/>
      <c r="W820" s="2489"/>
      <c r="X820" s="2489"/>
      <c r="Y820" s="2489"/>
      <c r="Z820" s="2483" t="s">
        <v>1584</v>
      </c>
      <c r="AA820" s="2483"/>
      <c r="AB820" s="2483"/>
      <c r="AC820" s="2483"/>
      <c r="AD820" s="2483"/>
      <c r="AE820" s="2483"/>
      <c r="AF820" s="2485">
        <f>IF(T820&gt;0,T820,0)</f>
        <v>0</v>
      </c>
      <c r="AG820" s="2486"/>
      <c r="AH820" s="2486"/>
      <c r="AI820" s="2486"/>
      <c r="AJ820" s="2486"/>
      <c r="AK820" s="2487"/>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90" t="s">
        <v>1585</v>
      </c>
      <c r="B821" s="2491"/>
      <c r="C821" s="2491"/>
      <c r="D821" s="2491"/>
      <c r="E821" s="2491"/>
      <c r="F821" s="2491"/>
      <c r="G821" s="2491"/>
      <c r="H821" s="2491"/>
      <c r="I821" s="2491"/>
      <c r="J821" s="2491"/>
      <c r="K821" s="2491"/>
      <c r="L821" s="2491"/>
      <c r="M821" s="2491"/>
      <c r="N821" s="2491"/>
      <c r="O821" s="2491"/>
      <c r="P821" s="2491"/>
      <c r="Q821" s="2491"/>
      <c r="R821" s="2491"/>
      <c r="S821" s="2491"/>
      <c r="T821" s="2491"/>
      <c r="U821" s="2491"/>
      <c r="V821" s="2491"/>
      <c r="W821" s="2491"/>
      <c r="X821" s="2491"/>
      <c r="Y821" s="2491"/>
      <c r="Z821" s="2491"/>
      <c r="AA821" s="2491"/>
      <c r="AB821" s="2491"/>
      <c r="AC821" s="2491"/>
      <c r="AD821" s="2491"/>
      <c r="AE821" s="2492"/>
      <c r="AF821" s="2496">
        <f ca="1">SUM(AF804:AK819)-AF820</f>
        <v>119</v>
      </c>
      <c r="AG821" s="2497"/>
      <c r="AH821" s="2497"/>
      <c r="AI821" s="2497"/>
      <c r="AJ821" s="2497"/>
      <c r="AK821" s="2498"/>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3"/>
      <c r="B822" s="2494"/>
      <c r="C822" s="2494"/>
      <c r="D822" s="2494"/>
      <c r="E822" s="2494"/>
      <c r="F822" s="2494"/>
      <c r="G822" s="2494"/>
      <c r="H822" s="2494"/>
      <c r="I822" s="2494"/>
      <c r="J822" s="2494"/>
      <c r="K822" s="2494"/>
      <c r="L822" s="2494"/>
      <c r="M822" s="2494"/>
      <c r="N822" s="2494"/>
      <c r="O822" s="2494"/>
      <c r="P822" s="2494"/>
      <c r="Q822" s="2494"/>
      <c r="R822" s="2494"/>
      <c r="S822" s="2494"/>
      <c r="T822" s="2494"/>
      <c r="U822" s="2494"/>
      <c r="V822" s="2494"/>
      <c r="W822" s="2494"/>
      <c r="X822" s="2494"/>
      <c r="Y822" s="2494"/>
      <c r="Z822" s="2494"/>
      <c r="AA822" s="2494"/>
      <c r="AB822" s="2494"/>
      <c r="AC822" s="2494"/>
      <c r="AD822" s="2494"/>
      <c r="AE822" s="2495"/>
      <c r="AF822" s="2499"/>
      <c r="AG822" s="2500"/>
      <c r="AH822" s="2500"/>
      <c r="AI822" s="2500"/>
      <c r="AJ822" s="2500"/>
      <c r="AK822" s="2501"/>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Maggie Mullen</cp:lastModifiedBy>
  <cp:lastPrinted>2025-09-05T00:07:11Z</cp:lastPrinted>
  <dcterms:created xsi:type="dcterms:W3CDTF">2007-12-27T18:26:28Z</dcterms:created>
  <dcterms:modified xsi:type="dcterms:W3CDTF">2025-09-06T05:11:10Z</dcterms:modified>
</cp:coreProperties>
</file>