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C:\Users\Danny Kolosta\CO- Dropbox\Collective Operations\Development\2022_Eden Housing\2024_Eden Palms\8.0 FINANCING\8.8 TAX CREDITS\2025 CDLAC TCAC R3\"/>
    </mc:Choice>
  </mc:AlternateContent>
  <xr:revisionPtr revIDLastSave="0" documentId="13_ncr:1_{D6AAC51D-5019-489B-9B60-7975ED3442EB}" xr6:coauthVersionLast="47" xr6:coauthVersionMax="47" xr10:uidLastSave="{00000000-0000-0000-0000-000000000000}"/>
  <bookViews>
    <workbookView xWindow="-120" yWindow="-120" windowWidth="29040" windowHeight="1572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S53" i="4"/>
  <c r="AD199" i="20"/>
  <c r="AA949" i="3"/>
  <c r="AA919" i="3"/>
  <c r="AA918" i="3"/>
  <c r="A66" i="7"/>
  <c r="J99" i="4"/>
  <c r="I17" i="4"/>
  <c r="H45" i="4"/>
  <c r="AF627" i="3"/>
  <c r="C94" i="4"/>
  <c r="S101" i="4"/>
  <c r="S100" i="4"/>
  <c r="S95" i="4"/>
  <c r="S93" i="4"/>
  <c r="S92" i="4"/>
  <c r="S91" i="4"/>
  <c r="S89" i="4"/>
  <c r="S87" i="4"/>
  <c r="S86" i="4"/>
  <c r="S85" i="4"/>
  <c r="S84" i="4"/>
  <c r="S80" i="4"/>
  <c r="S79" i="4"/>
  <c r="S68" i="4"/>
  <c r="S67" i="4"/>
  <c r="S66" i="4"/>
  <c r="S52" i="4"/>
  <c r="S51" i="4"/>
  <c r="S50" i="4"/>
  <c r="S48" i="4"/>
  <c r="S47" i="4"/>
  <c r="S43" i="4"/>
  <c r="S41" i="4"/>
  <c r="S40" i="4"/>
  <c r="S37" i="4"/>
  <c r="S36" i="4"/>
  <c r="S35" i="4"/>
  <c r="S34" i="4"/>
  <c r="S33" i="4"/>
  <c r="S32" i="4"/>
  <c r="S31" i="4"/>
  <c r="S30" i="4"/>
  <c r="S29" i="4"/>
  <c r="S27" i="4"/>
  <c r="S25" i="4"/>
  <c r="S24" i="4"/>
  <c r="S23" i="4"/>
  <c r="S22" i="4"/>
  <c r="S21" i="4"/>
  <c r="S20" i="4"/>
  <c r="S19" i="4"/>
  <c r="S18" i="4"/>
  <c r="S17" i="4"/>
  <c r="S14" i="4"/>
  <c r="S13" i="4"/>
  <c r="S10" i="4"/>
  <c r="B150" i="20"/>
  <c r="AF574" i="3"/>
  <c r="AG448" i="3"/>
  <c r="AG446" i="3"/>
  <c r="AG442" i="3"/>
  <c r="C6" i="4" l="1"/>
  <c r="T94" i="4"/>
  <c r="S94"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U45" i="21"/>
  <c r="T45" i="21"/>
  <c r="S45" i="21"/>
  <c r="S47"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L100" i="21"/>
  <c r="X752" i="3" l="1"/>
  <c r="AH752" i="3"/>
  <c r="BF751" i="3"/>
  <c r="BS751" i="3"/>
  <c r="BS752"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E24" i="4" s="1"/>
  <c r="R24" i="4" s="1"/>
  <c r="B36" i="4"/>
  <c r="E36" i="4" s="1"/>
  <c r="R36" i="4" s="1"/>
  <c r="B66" i="4"/>
  <c r="E66" i="4" s="1"/>
  <c r="B67" i="4"/>
  <c r="E67" i="4" s="1"/>
  <c r="R67" i="4" s="1"/>
  <c r="B68" i="4"/>
  <c r="E68" i="4" s="1"/>
  <c r="R68" i="4" s="1"/>
  <c r="B69" i="4"/>
  <c r="E69" i="4" s="1"/>
  <c r="R69" i="4"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E100" i="4" s="1"/>
  <c r="R100" i="4" s="1"/>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B59" i="4"/>
  <c r="E59" i="4" s="1"/>
  <c r="R59" i="4" s="1"/>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13" s="1"/>
  <c r="B80" i="4"/>
  <c r="E80" i="4" s="1"/>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G4" i="4" s="1"/>
  <c r="B5" i="4"/>
  <c r="E5" i="4" s="1"/>
  <c r="R5" i="4" s="1"/>
  <c r="B6" i="4"/>
  <c r="E6" i="4" s="1"/>
  <c r="R6" i="4" s="1"/>
  <c r="B7" i="4"/>
  <c r="E7" i="4" s="1"/>
  <c r="R7" i="4" s="1"/>
  <c r="F8"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F38" i="4"/>
  <c r="F42" i="4"/>
  <c r="F54" i="4"/>
  <c r="F62" i="4"/>
  <c r="N11" i="4"/>
  <c r="O11" i="4"/>
  <c r="B13" i="4"/>
  <c r="E13" i="4" s="1"/>
  <c r="R13" i="4" s="1"/>
  <c r="B14" i="4"/>
  <c r="E14" i="4" s="1"/>
  <c r="R14" i="4" s="1"/>
  <c r="B15" i="4"/>
  <c r="B17" i="4"/>
  <c r="E17" i="4" s="1"/>
  <c r="R17" i="4" s="1"/>
  <c r="B18" i="4"/>
  <c r="B19" i="4"/>
  <c r="E19" i="4" s="1"/>
  <c r="R19" i="4" s="1"/>
  <c r="B20" i="4"/>
  <c r="E20" i="4" s="1"/>
  <c r="R20" i="4" s="1"/>
  <c r="B21" i="4"/>
  <c r="E21" i="4" s="1"/>
  <c r="R21" i="4" s="1"/>
  <c r="B22" i="4"/>
  <c r="E22" i="4" s="1"/>
  <c r="R22" i="4" s="1"/>
  <c r="B23" i="4"/>
  <c r="E23" i="4" s="1"/>
  <c r="R23" i="4" s="1"/>
  <c r="B25" i="4"/>
  <c r="E25" i="4" s="1"/>
  <c r="R25" i="4" s="1"/>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E29" i="4" s="1"/>
  <c r="B30" i="4"/>
  <c r="E30" i="4" s="1"/>
  <c r="R30" i="4" s="1"/>
  <c r="B31" i="4"/>
  <c r="E31" i="4" s="1"/>
  <c r="R31" i="4" s="1"/>
  <c r="B32" i="4"/>
  <c r="E32" i="4" s="1"/>
  <c r="R32" i="4" s="1"/>
  <c r="B33" i="4"/>
  <c r="E33" i="4" s="1"/>
  <c r="R33" i="4" s="1"/>
  <c r="B34" i="4"/>
  <c r="E34" i="4" s="1"/>
  <c r="R34" i="4" s="1"/>
  <c r="B35" i="4"/>
  <c r="E35" i="4" s="1"/>
  <c r="R35" i="4" s="1"/>
  <c r="B37" i="4"/>
  <c r="E37" i="4" s="1"/>
  <c r="R37" i="4" s="1"/>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B46" i="4"/>
  <c r="E46" i="4" s="1"/>
  <c r="R46" i="4" s="1"/>
  <c r="B47" i="4"/>
  <c r="E47" i="4" s="1"/>
  <c r="R47" i="4" s="1"/>
  <c r="B48" i="4"/>
  <c r="E48" i="4" s="1"/>
  <c r="R48" i="4" s="1"/>
  <c r="B49" i="4"/>
  <c r="E49" i="4" s="1"/>
  <c r="R49" i="4" s="1"/>
  <c r="B50" i="4"/>
  <c r="E50" i="4" s="1"/>
  <c r="R50" i="4" s="1"/>
  <c r="B51" i="4"/>
  <c r="E51" i="4" s="1"/>
  <c r="R51" i="4" s="1"/>
  <c r="B52" i="4"/>
  <c r="E52" i="4" s="1"/>
  <c r="R52" i="4" s="1"/>
  <c r="B53" i="4"/>
  <c r="E53" i="4" s="1"/>
  <c r="R53" i="4" s="1"/>
  <c r="G54" i="4"/>
  <c r="H54" i="4"/>
  <c r="K54" i="4"/>
  <c r="L54" i="4"/>
  <c r="O54" i="4"/>
  <c r="Q54" i="4"/>
  <c r="B56" i="4"/>
  <c r="E56" i="4" s="1"/>
  <c r="R56" i="4" s="1"/>
  <c r="B57" i="4"/>
  <c r="E57" i="4" s="1"/>
  <c r="R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B75" i="4"/>
  <c r="B76" i="4"/>
  <c r="E76" i="4" s="1"/>
  <c r="R76" i="4" s="1"/>
  <c r="F77" i="4"/>
  <c r="G77" i="4"/>
  <c r="H77" i="4"/>
  <c r="I77" i="4"/>
  <c r="K77" i="4"/>
  <c r="L77" i="4"/>
  <c r="Q77" i="4"/>
  <c r="B79" i="4"/>
  <c r="E79" i="4" s="1"/>
  <c r="B83" i="4"/>
  <c r="E83" i="4" s="1"/>
  <c r="R83" i="4" s="1"/>
  <c r="B84" i="4"/>
  <c r="E84" i="4" s="1"/>
  <c r="R84" i="4" s="1"/>
  <c r="B85" i="4"/>
  <c r="B86" i="4"/>
  <c r="E86" i="4" s="1"/>
  <c r="R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E95" i="4" s="1"/>
  <c r="R95" i="4" s="1"/>
  <c r="F96" i="4"/>
  <c r="G96" i="4"/>
  <c r="H96" i="4"/>
  <c r="I96" i="4"/>
  <c r="K96" i="4"/>
  <c r="L96" i="4"/>
  <c r="Q96" i="4"/>
  <c r="B101" i="4"/>
  <c r="E101" i="4" s="1"/>
  <c r="R101" i="4" s="1"/>
  <c r="B102" i="4"/>
  <c r="B103"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X731" i="3"/>
  <c r="X732" i="3"/>
  <c r="X733" i="3"/>
  <c r="X734" i="3"/>
  <c r="X735" i="3"/>
  <c r="X736" i="3"/>
  <c r="X737" i="3"/>
  <c r="X738" i="3"/>
  <c r="X739" i="3"/>
  <c r="X740" i="3"/>
  <c r="X741" i="3"/>
  <c r="M832" i="3"/>
  <c r="Q832" i="3"/>
  <c r="U832" i="3"/>
  <c r="Y832" i="3"/>
  <c r="AC832" i="3"/>
  <c r="AG832" i="3"/>
  <c r="Z902" i="3"/>
  <c r="E81" i="4" l="1"/>
  <c r="E42" i="4"/>
  <c r="R66" i="4"/>
  <c r="E70" i="4"/>
  <c r="G8" i="4"/>
  <c r="G9" i="4"/>
  <c r="R45" i="4"/>
  <c r="R54" i="4" s="1"/>
  <c r="E54" i="4"/>
  <c r="E104" i="4"/>
  <c r="B26" i="4"/>
  <c r="E38" i="4"/>
  <c r="E62" i="4"/>
  <c r="R29" i="4"/>
  <c r="R38" i="4" s="1"/>
  <c r="AF1027" i="3"/>
  <c r="E85" i="4"/>
  <c r="R79" i="4"/>
  <c r="R81" i="4" s="1"/>
  <c r="AD210" i="20"/>
  <c r="E15" i="4"/>
  <c r="R15" i="4" s="1"/>
  <c r="BE23" i="3"/>
  <c r="E4" i="4"/>
  <c r="AC886" i="3"/>
  <c r="E75" i="4"/>
  <c r="D35" i="11"/>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D11" i="11"/>
  <c r="C63" i="11"/>
  <c r="B55" i="11"/>
  <c r="F63" i="13"/>
  <c r="F97" i="13" s="1"/>
  <c r="F105" i="13" s="1"/>
  <c r="F107" i="13" s="1"/>
  <c r="D24" i="11"/>
  <c r="B39" i="11"/>
  <c r="B71" i="11"/>
  <c r="B105" i="11"/>
  <c r="O12" i="4"/>
  <c r="D10" i="11"/>
  <c r="B43" i="11"/>
  <c r="BA1058" i="3"/>
  <c r="Q12" i="4"/>
  <c r="K12" i="4"/>
  <c r="D61" i="11"/>
  <c r="D57" i="11"/>
  <c r="B9" i="11"/>
  <c r="J12" i="4"/>
  <c r="B54" i="4"/>
  <c r="D30" i="11"/>
  <c r="D22" i="11"/>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42" i="4"/>
  <c r="R62" i="4"/>
  <c r="D63" i="13"/>
  <c r="D97" i="13" s="1"/>
  <c r="D105" i="13" s="1"/>
  <c r="B97" i="11"/>
  <c r="C55" i="11"/>
  <c r="D23" i="11"/>
  <c r="D19" i="11"/>
  <c r="D14" i="11"/>
  <c r="D7" i="11"/>
  <c r="G63" i="13"/>
  <c r="G97" i="13" s="1"/>
  <c r="G105" i="13" s="1"/>
  <c r="G107" i="13" s="1"/>
  <c r="M53" i="7"/>
  <c r="K58" i="7"/>
  <c r="N188" i="23"/>
  <c r="C27" i="11"/>
  <c r="AB48" i="15"/>
  <c r="D46" i="11"/>
  <c r="B82" i="11"/>
  <c r="H63" i="4"/>
  <c r="H97" i="4" s="1"/>
  <c r="H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F9" i="4" l="1"/>
  <c r="G11" i="4"/>
  <c r="AD211" i="20"/>
  <c r="E8" i="4"/>
  <c r="R4" i="4"/>
  <c r="R8" i="4" s="1"/>
  <c r="R75" i="4"/>
  <c r="R77" i="4" s="1"/>
  <c r="E77" i="4"/>
  <c r="R85" i="4"/>
  <c r="R96" i="4" s="1"/>
  <c r="E96" i="4"/>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F18" i="4" l="1"/>
  <c r="E9" i="4"/>
  <c r="F11" i="4"/>
  <c r="G63" i="4"/>
  <c r="G97" i="4" s="1"/>
  <c r="G105" i="4" s="1"/>
  <c r="G12" i="4"/>
  <c r="AZ1048" i="3"/>
  <c r="O24" i="21"/>
  <c r="O31" i="2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31" i="21" a="1"/>
  <c r="P31" i="21" s="1"/>
  <c r="S31"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E18" i="4" l="1"/>
  <c r="F26" i="4"/>
  <c r="E11" i="4"/>
  <c r="R9" i="4"/>
  <c r="R11" i="4" s="1"/>
  <c r="F12" i="4"/>
  <c r="F63" i="4"/>
  <c r="F97" i="4" s="1"/>
  <c r="F105" i="4" s="1"/>
  <c r="AB266" i="20"/>
  <c r="AG268" i="20" s="1"/>
  <c r="AG270" i="20" s="1"/>
  <c r="AK273" i="20" s="1"/>
  <c r="T812" i="20" s="1"/>
  <c r="AF812" i="20" s="1"/>
  <c r="BE77" i="3" s="1"/>
  <c r="AC454" i="3"/>
  <c r="AB47" i="15"/>
  <c r="AB49" i="15" s="1"/>
  <c r="T805" i="20"/>
  <c r="AF805" i="20" s="1"/>
  <c r="BE72" i="3" s="1"/>
  <c r="N185" i="23"/>
  <c r="BE22" i="3"/>
  <c r="S107" i="4"/>
  <c r="E105" i="13"/>
  <c r="BA1056" i="3"/>
  <c r="AZ1051" i="3"/>
  <c r="H105" i="13"/>
  <c r="T107" i="4"/>
  <c r="H107" i="13" s="1"/>
  <c r="Q58" i="7"/>
  <c r="S53" i="7"/>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E26" i="4" l="1"/>
  <c r="R18" i="4"/>
  <c r="R26" i="4" s="1"/>
  <c r="E12" i="4"/>
  <c r="E63" i="4"/>
  <c r="E97" i="4" s="1"/>
  <c r="E105" i="4" s="1"/>
  <c r="AO640" i="3" s="1"/>
  <c r="R12" i="4"/>
  <c r="R63" i="4"/>
  <c r="R97" i="4" s="1"/>
  <c r="R105" i="4" s="1"/>
  <c r="AJ1020" i="3"/>
  <c r="AJ1011" i="3"/>
  <c r="BE44" i="3"/>
  <c r="F457" i="3"/>
  <c r="AD11" i="15"/>
  <c r="AD23" i="15" s="1"/>
  <c r="AD26" i="15" s="1"/>
  <c r="AD28" i="15" s="1"/>
  <c r="AI11" i="15"/>
  <c r="AI23" i="15" s="1"/>
  <c r="AI26" i="15" s="1"/>
  <c r="AI28" i="15" s="1"/>
  <c r="AC456"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E108" i="4" l="1"/>
  <c r="AO641" i="3"/>
  <c r="T11" i="15"/>
  <c r="T23" i="15" s="1"/>
  <c r="T26" i="15" s="1"/>
  <c r="T28" i="15" s="1"/>
  <c r="Y11" i="15"/>
  <c r="Y23" i="15" s="1"/>
  <c r="Y26" i="15" s="1"/>
  <c r="Y28"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T29" i="15"/>
  <c r="Y64" i="15"/>
  <c r="Y68" i="15" s="1"/>
  <c r="Y69" i="15" s="1"/>
  <c r="G80" i="21"/>
  <c r="E15" i="21" s="1"/>
  <c r="W58" i="7"/>
  <c r="Y53" i="7"/>
  <c r="T24" i="15"/>
  <c r="Y38" i="15" s="1"/>
  <c r="Y40" i="15" s="1"/>
  <c r="AP557" i="20"/>
  <c r="AP556" i="20" s="1"/>
  <c r="AP559" i="20" s="1"/>
  <c r="AF552" i="20" s="1"/>
  <c r="AF553" i="20" s="1"/>
  <c r="AK559" i="20" s="1"/>
  <c r="T818" i="20" s="1"/>
  <c r="AF818" i="20" s="1"/>
  <c r="BE81" i="3" s="1"/>
  <c r="K11" i="7"/>
  <c r="K37" i="7" s="1"/>
  <c r="K45" i="7" s="1"/>
  <c r="E67" i="7"/>
  <c r="O5" i="7"/>
  <c r="Q4" i="7"/>
  <c r="M7" i="7"/>
  <c r="M11" i="7" s="1"/>
  <c r="M37" i="7" s="1"/>
  <c r="O6" i="7"/>
  <c r="G67" i="7"/>
  <c r="I48" i="7"/>
  <c r="I60" i="7"/>
  <c r="I47" i="7"/>
  <c r="G101" i="21"/>
  <c r="G113" i="21"/>
  <c r="G97" i="21"/>
  <c r="S22" i="7"/>
  <c r="S35" i="7" s="1"/>
  <c r="U15" i="7"/>
  <c r="U8" i="7"/>
  <c r="S9" i="7"/>
  <c r="E66" i="7" l="1"/>
  <c r="G62" i="7"/>
  <c r="G66" i="7" s="1"/>
  <c r="AA53" i="7"/>
  <c r="Y58" i="7"/>
  <c r="AD38" i="15"/>
  <c r="AD40" i="15" s="1"/>
  <c r="Y41" i="15" s="1"/>
  <c r="AB50" i="15" s="1"/>
  <c r="G115" i="21"/>
  <c r="E17" i="21" s="1"/>
  <c r="E14" i="21" s="1"/>
  <c r="E18" i="21" s="1"/>
  <c r="K49" i="7"/>
  <c r="E70" i="7"/>
  <c r="E72" i="7" s="1"/>
  <c r="S4" i="7"/>
  <c r="Q5" i="7"/>
  <c r="G70" i="7"/>
  <c r="G72" i="7" s="1"/>
  <c r="O7" i="7"/>
  <c r="O11" i="7" s="1"/>
  <c r="O37" i="7" s="1"/>
  <c r="Q6" i="7"/>
  <c r="M45" i="7"/>
  <c r="M49" i="7"/>
  <c r="I67" i="7"/>
  <c r="K47" i="7"/>
  <c r="K60" i="7"/>
  <c r="K48" i="7"/>
  <c r="U22" i="7"/>
  <c r="U35" i="7" s="1"/>
  <c r="W15" i="7"/>
  <c r="U9" i="7"/>
  <c r="W8" i="7"/>
  <c r="I62" i="7" l="1"/>
  <c r="I66" i="7" s="1"/>
  <c r="BE62" i="3"/>
  <c r="AB54" i="15"/>
  <c r="AB55" i="15" s="1"/>
  <c r="AB56" i="15" s="1"/>
  <c r="M26" i="3" s="1"/>
  <c r="BE19" i="3" s="1"/>
  <c r="K62" i="7"/>
  <c r="K66" i="7" s="1"/>
  <c r="AC53" i="7"/>
  <c r="AA58" i="7"/>
  <c r="U4" i="7"/>
  <c r="S5" i="7"/>
  <c r="M48" i="7"/>
  <c r="M47" i="7"/>
  <c r="M60" i="7"/>
  <c r="O45" i="7"/>
  <c r="O49" i="7"/>
  <c r="K67" i="7"/>
  <c r="Q7" i="7"/>
  <c r="Q11" i="7" s="1"/>
  <c r="Q37" i="7" s="1"/>
  <c r="S6" i="7"/>
  <c r="I70" i="7"/>
  <c r="I72" i="7" s="1"/>
  <c r="W22" i="7"/>
  <c r="W35" i="7" s="1"/>
  <c r="Y15" i="7"/>
  <c r="W9" i="7"/>
  <c r="Y8" i="7"/>
  <c r="M62" i="7" l="1"/>
  <c r="M66" i="7" s="1"/>
  <c r="AE53" i="7"/>
  <c r="AC58" i="7"/>
  <c r="AB57" i="15"/>
  <c r="P204" i="3"/>
  <c r="U5" i="7"/>
  <c r="W4" i="7"/>
  <c r="Q49" i="7"/>
  <c r="Q45" i="7"/>
  <c r="M67" i="7"/>
  <c r="O47" i="7"/>
  <c r="O48" i="7"/>
  <c r="O60" i="7"/>
  <c r="K70" i="7"/>
  <c r="K72" i="7" s="1"/>
  <c r="S7" i="7"/>
  <c r="S11" i="7" s="1"/>
  <c r="S37" i="7" s="1"/>
  <c r="U6" i="7"/>
  <c r="Y22" i="7"/>
  <c r="Y35" i="7" s="1"/>
  <c r="AA15" i="7"/>
  <c r="Y9" i="7"/>
  <c r="AA8" i="7"/>
  <c r="O62" i="7" l="1"/>
  <c r="O66" i="7" s="1"/>
  <c r="AG53" i="7"/>
  <c r="AG58" i="7" s="1"/>
  <c r="AE58" i="7"/>
  <c r="AB59" i="15"/>
  <c r="AB77" i="15" s="1"/>
  <c r="M70" i="7"/>
  <c r="M72" i="7" s="1"/>
  <c r="W5" i="7"/>
  <c r="Y4" i="7"/>
  <c r="U7" i="7"/>
  <c r="U11" i="7" s="1"/>
  <c r="U37" i="7" s="1"/>
  <c r="W6" i="7"/>
  <c r="O67" i="7"/>
  <c r="Q60" i="7"/>
  <c r="Q48" i="7"/>
  <c r="Q47" i="7"/>
  <c r="S49" i="7"/>
  <c r="S45" i="7"/>
  <c r="AC15" i="7"/>
  <c r="AA22" i="7"/>
  <c r="AA35" i="7" s="1"/>
  <c r="AC8" i="7"/>
  <c r="AA9" i="7"/>
  <c r="Q62" i="7" l="1"/>
  <c r="Q66" i="7" s="1"/>
  <c r="AB78" i="15"/>
  <c r="AB79" i="15" s="1"/>
  <c r="AB81" i="15" s="1"/>
  <c r="J82" i="15" s="1"/>
  <c r="AA4" i="7"/>
  <c r="Y5" i="7"/>
  <c r="Y6" i="7"/>
  <c r="W7" i="7"/>
  <c r="W11" i="7" s="1"/>
  <c r="W37" i="7" s="1"/>
  <c r="U45" i="7"/>
  <c r="U49" i="7"/>
  <c r="Q67" i="7"/>
  <c r="S48" i="7"/>
  <c r="S47" i="7"/>
  <c r="S60" i="7"/>
  <c r="O70" i="7"/>
  <c r="O72" i="7" s="1"/>
  <c r="AE15" i="7"/>
  <c r="AC22" i="7"/>
  <c r="AC35" i="7" s="1"/>
  <c r="AC9" i="7"/>
  <c r="AE8" i="7"/>
  <c r="S62" i="7" l="1"/>
  <c r="S66" i="7" s="1"/>
  <c r="M27" i="3"/>
  <c r="BE20" i="3" s="1"/>
  <c r="I10" i="21"/>
  <c r="I11" i="21" s="1"/>
  <c r="AA5" i="7"/>
  <c r="AC4" i="7"/>
  <c r="S67" i="7"/>
  <c r="U48" i="7"/>
  <c r="U60" i="7"/>
  <c r="U47" i="7"/>
  <c r="Q70" i="7"/>
  <c r="Q72" i="7" s="1"/>
  <c r="W49" i="7"/>
  <c r="W45" i="7"/>
  <c r="Y7" i="7"/>
  <c r="Y11" i="7" s="1"/>
  <c r="Y37" i="7" s="1"/>
  <c r="AA6" i="7"/>
  <c r="AE22" i="7"/>
  <c r="AE35" i="7" s="1"/>
  <c r="AG15" i="7"/>
  <c r="AG22" i="7" s="1"/>
  <c r="AG35" i="7" s="1"/>
  <c r="AE9" i="7"/>
  <c r="AG8" i="7"/>
  <c r="AG9" i="7" s="1"/>
  <c r="U62" i="7" l="1"/>
  <c r="U66" i="7" s="1"/>
  <c r="I18" i="21"/>
  <c r="H4" i="21" s="1"/>
  <c r="P205" i="3"/>
  <c r="S70" i="7"/>
  <c r="S72" i="7" s="1"/>
  <c r="AC5" i="7"/>
  <c r="AE4" i="7"/>
  <c r="AC6" i="7"/>
  <c r="AA7" i="7"/>
  <c r="AA11" i="7" s="1"/>
  <c r="AA37" i="7" s="1"/>
  <c r="U67" i="7"/>
  <c r="Y49" i="7"/>
  <c r="Y45" i="7"/>
  <c r="W60" i="7"/>
  <c r="W47" i="7"/>
  <c r="W48" i="7"/>
  <c r="W62" i="7" l="1"/>
  <c r="W66" i="7" s="1"/>
  <c r="AE5" i="7"/>
  <c r="AG4" i="7"/>
  <c r="AA45" i="7"/>
  <c r="AA49" i="7"/>
  <c r="U70" i="7"/>
  <c r="U72" i="7" s="1"/>
  <c r="W67" i="7"/>
  <c r="Y47" i="7"/>
  <c r="Y48" i="7"/>
  <c r="Y60" i="7"/>
  <c r="AE6" i="7"/>
  <c r="AC7" i="7"/>
  <c r="AC11" i="7" s="1"/>
  <c r="AC37" i="7" s="1"/>
  <c r="Y62" i="7" l="1"/>
  <c r="Y66" i="7" s="1"/>
  <c r="AG5" i="7"/>
  <c r="W70" i="7"/>
  <c r="W72" i="7" s="1"/>
  <c r="AA60" i="7"/>
  <c r="AA47" i="7"/>
  <c r="AA48" i="7"/>
  <c r="AC45" i="7"/>
  <c r="AC49" i="7"/>
  <c r="AE7" i="7"/>
  <c r="AE11" i="7" s="1"/>
  <c r="AE37" i="7" s="1"/>
  <c r="AG6" i="7"/>
  <c r="Y67" i="7"/>
  <c r="AA62" i="7" l="1"/>
  <c r="AA66" i="7" s="1"/>
  <c r="Y70" i="7"/>
  <c r="Y72" i="7" s="1"/>
  <c r="AG7" i="7"/>
  <c r="AG11" i="7" s="1"/>
  <c r="AG37" i="7" s="1"/>
  <c r="AE49" i="7"/>
  <c r="AE45" i="7"/>
  <c r="AC60" i="7"/>
  <c r="AC48" i="7"/>
  <c r="AC47" i="7"/>
  <c r="AA67" i="7"/>
  <c r="AC62" i="7" l="1"/>
  <c r="AC66" i="7" s="1"/>
  <c r="AA70" i="7"/>
  <c r="AA72" i="7" s="1"/>
  <c r="AC67" i="7"/>
  <c r="AE47" i="7"/>
  <c r="AE60" i="7"/>
  <c r="AE48" i="7"/>
  <c r="AG49" i="7"/>
  <c r="AG45" i="7"/>
  <c r="AE62" i="7" l="1"/>
  <c r="AE66" i="7" s="1"/>
  <c r="AG48" i="7"/>
  <c r="AG60" i="7"/>
  <c r="AG47" i="7"/>
  <c r="AE67" i="7"/>
  <c r="AC70" i="7"/>
  <c r="AC72" i="7" s="1"/>
  <c r="AG62" i="7" l="1"/>
  <c r="AG66" i="7" s="1"/>
  <c r="AE70" i="7"/>
  <c r="AE72" i="7" s="1"/>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6FF1E1BF-C614-466D-91C8-D3B64FAC90C7}">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<sst xmlns="http://schemas.openxmlformats.org/spreadsheetml/2006/main" count="5015" uniqueCount="2759">
  <si>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</si>
  <si>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</si>
  <si>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</si>
  <si>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</si>
  <si>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</si>
  <si>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</si>
  <si>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</si>
  <si>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</si>
  <si>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</si>
  <si>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</si>
  <si>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</si>
  <si>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</si>
  <si>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</si>
  <si>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</si>
  <si>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</si>
  <si>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</si>
  <si>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</si>
  <si>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</si>
  <si>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</si>
  <si>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</si>
  <si>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</si>
  <si>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</si>
  <si>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</si>
  <si>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</si>
  <si>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</si>
  <si>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</si>
  <si>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</si>
  <si>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</si>
  <si>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</si>
  <si>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</si>
  <si>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</si>
  <si>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</si>
  <si>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</si>
  <si>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</si>
  <si>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</si>
  <si>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</si>
  <si>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</si>
  <si>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</si>
  <si>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</si>
  <si>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</si>
  <si>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</si>
  <si>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</si>
  <si>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</si>
  <si>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</si>
  <si>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</si>
  <si>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</si>
  <si>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</si>
  <si>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</si>
  <si>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</si>
  <si>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</si>
  <si>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</si>
  <si>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</si>
  <si>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</si>
  <si>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</si>
  <si>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</si>
  <si>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</si>
  <si>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</si>
  <si>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</si>
  <si>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</si>
  <si>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</si>
  <si>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</si>
  <si>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</si>
  <si>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</si>
  <si>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</si>
  <si>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</si>
  <si>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</si>
  <si>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</si>
  <si>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</si>
  <si>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</si>
  <si>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</si>
  <si>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</si>
  <si>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</si>
  <si>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</si>
  <si>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</si>
  <si>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</si>
  <si>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</si>
  <si>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</si>
  <si>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</si>
  <si>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</si>
  <si>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</si>
  <si>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</si>
  <si>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</si>
  <si>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</si>
  <si>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</si>
  <si>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</si>
  <si>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</si>
  <si>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</si>
  <si>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</si>
  <si>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</si>
  <si>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</si>
  <si>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</si>
  <si>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</si>
  <si>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</si>
  <si>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</si>
  <si>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</si>
  <si>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</si>
  <si>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</si>
  <si>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</si>
  <si>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</si>
  <si>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</si>
  <si>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</si>
  <si>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</si>
  <si>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</si>
  <si>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</si>
  <si>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</si>
  <si>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</si>
  <si>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</si>
  <si>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</si>
  <si>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</si>
  <si>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</si>
  <si>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</si>
  <si>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</si>
  <si>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</si>
  <si>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</si>
  <si>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</si>
  <si>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</si>
  <si>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</si>
  <si>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</si>
  <si>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</si>
  <si>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</si>
  <si>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</si>
  <si>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</si>
  <si>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</si>
  <si>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</si>
  <si>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</si>
  <si>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</si>
  <si>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</si>
  <si>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</si>
  <si>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</si>
  <si>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</si>
  <si>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</si>
  <si>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</si>
  <si>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</si>
  <si>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</si>
  <si>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</si>
  <si>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</si>
  <si>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</si>
  <si>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</si>
  <si>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</si>
  <si>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</si>
  <si>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</si>
  <si>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</si>
  <si>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</si>
  <si>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</si>
  <si>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</si>
  <si>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</si>
  <si>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</si>
  <si>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</si>
  <si>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</si>
  <si>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</si>
  <si>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</si>
  <si>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</si>
  <si>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</si>
  <si>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</si>
  <si>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</si>
  <si>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</si>
  <si>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</si>
  <si>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</si>
  <si>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</si>
  <si>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</si>
  <si>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</si>
  <si>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</si>
  <si>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</si>
  <si>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</si>
  <si>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</si>
  <si>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</si>
  <si>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</si>
  <si>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</si>
  <si>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</si>
  <si>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</si>
  <si>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</si>
  <si>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</si>
  <si>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</si>
  <si>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</si>
  <si>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</si>
  <si>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</si>
  <si>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</si>
  <si>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</si>
  <si>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</si>
  <si>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</si>
  <si>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</si>
  <si>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</si>
  <si>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</si>
  <si>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</si>
  <si>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</si>
  <si>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</si>
  <si>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</si>
  <si>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</si>
  <si>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</si>
  <si>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</si>
  <si>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</si>
  <si>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</si>
  <si>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</si>
  <si>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</si>
  <si>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</si>
  <si>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</si>
  <si>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</si>
  <si>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</si>
  <si>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</si>
  <si>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</si>
  <si>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</si>
  <si>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</si>
  <si>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</si>
  <si>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</si>
  <si>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</si>
  <si>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</si>
  <si>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</si>
  <si>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</si>
  <si>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</si>
  <si>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</si>
  <si>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</si>
  <si>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</si>
  <si>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</si>
  <si>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</si>
  <si>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</si>
  <si>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</si>
  <si>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</si>
  <si>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</si>
  <si>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</si>
  <si>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</si>
  <si>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</si>
  <si>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</si>
  <si>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</si>
  <si>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</si>
  <si>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</si>
  <si>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</si>
  <si>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</si>
  <si>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</si>
  <si>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</si>
  <si>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</si>
  <si>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</si>
  <si>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</si>
  <si>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</si>
  <si>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</si>
  <si>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</si>
  <si>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</si>
  <si>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</si>
  <si>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</si>
  <si>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</si>
  <si>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</si>
  <si>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</si>
  <si>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</si>
  <si>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</si>
  <si>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</si>
  <si>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</si>
  <si>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</si>
  <si>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</si>
  <si>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</si>
  <si>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</si>
  <si>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</si>
  <si>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</si>
  <si>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</si>
  <si>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</si>
  <si>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</si>
  <si>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</si>
  <si>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</si>
  <si>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</si>
  <si>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</si>
  <si>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</si>
  <si>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</si>
  <si>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</si>
  <si>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</si>
  <si>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</si>
  <si>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</si>
  <si>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</si>
  <si>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</si>
  <si>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</si>
  <si>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</si>
  <si>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</si>
  <si>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</si>
  <si>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</si>
  <si>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</si>
  <si>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</si>
  <si>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</si>
  <si>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</si>
  <si>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</si>
  <si>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</si>
  <si>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</si>
  <si>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</si>
  <si>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</si>
  <si>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</si>
  <si>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</si>
  <si>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</si>
  <si>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</si>
  <si>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</si>
  <si>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</si>
  <si>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</si>
  <si>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</si>
  <si>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</si>
  <si>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</si>
  <si>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</si>
  <si>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</si>
  <si>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</si>
  <si>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</si>
  <si>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</si>
  <si>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</si>
  <si>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</si>
  <si>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</si>
  <si>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</si>
  <si>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</si>
  <si>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</si>
  <si>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</si>
  <si>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</si>
  <si>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</si>
  <si>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</si>
  <si>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</si>
  <si>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</si>
  <si>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</si>
  <si>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</si>
  <si>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</si>
  <si>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</si>
  <si>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</si>
  <si>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</si>
  <si>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</si>
  <si>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</si>
  <si>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</si>
  <si>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</si>
  <si>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</si>
  <si>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</si>
  <si>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</si>
  <si>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</si>
  <si>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</si>
  <si>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</si>
  <si>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</si>
  <si>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</si>
  <si>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</si>
  <si>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</si>
  <si>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</si>
  <si>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</si>
  <si>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</si>
  <si>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</si>
  <si>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</si>
  <si>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</si>
  <si>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</si>
  <si>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</si>
  <si>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</si>
  <si>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</si>
  <si>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</si>
  <si>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</si>
  <si>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</si>
  <si>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</si>
  <si>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</si>
  <si>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</si>
  <si>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</si>
  <si>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</si>
  <si>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</si>
  <si>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</si>
  <si>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</si>
  <si>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</si>
  <si>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</si>
  <si>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</si>
  <si>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</si>
  <si>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</si>
  <si>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</si>
  <si>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</si>
  <si>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</si>
  <si>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</si>
  <si>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</si>
  <si>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</si>
  <si>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</si>
  <si>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</si>
  <si>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</si>
  <si>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</si>
  <si>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</si>
  <si>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</si>
  <si>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</si>
  <si>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</si>
  <si>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</si>
  <si>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</si>
  <si>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</si>
  <si>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</si>
  <si>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</si>
  <si>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</si>
  <si>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</si>
  <si>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</si>
  <si>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</si>
  <si>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</si>
  <si>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</si>
  <si>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</si>
  <si>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</si>
  <si>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</si>
  <si>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</si>
  <si>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</si>
  <si>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</si>
  <si>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</si>
  <si>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</si>
  <si>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</si>
  <si>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</si>
  <si>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</si>
  <si>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</si>
  <si>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</si>
  <si>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</si>
  <si>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</si>
  <si>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</si>
  <si>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</si>
  <si>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</si>
  <si>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</si>
  <si>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</si>
  <si>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</si>
  <si>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</si>
  <si>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</si>
  <si>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</si>
  <si>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</si>
  <si>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</si>
  <si>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</si>
  <si>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</si>
  <si>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</si>
  <si>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</si>
  <si>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</si>
  <si>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</si>
  <si>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</si>
  <si>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</si>
  <si>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</si>
  <si>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</si>
  <si>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</si>
  <si>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</si>
  <si>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</si>
  <si>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</si>
  <si>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</si>
  <si>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</si>
  <si>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</si>
  <si>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</si>
  <si>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</si>
  <si>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</si>
  <si>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</si>
  <si>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</si>
  <si>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</si>
  <si>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</si>
  <si>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</si>
  <si>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</si>
  <si>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</si>
  <si>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</si>
  <si>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</si>
  <si>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</si>
  <si>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</si>
  <si>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</si>
  <si>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</si>
  <si>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</si>
  <si>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</si>
  <si>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</si>
  <si>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</si>
  <si>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</si>
  <si>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</si>
  <si>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</si>
  <si>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</si>
  <si>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</si>
  <si>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</si>
  <si>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</si>
  <si>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</si>
  <si>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</si>
  <si>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</si>
  <si>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</si>
  <si>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</si>
  <si>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</si>
  <si>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</si>
  <si>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</si>
  <si>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</si>
  <si>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</si>
  <si>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</si>
  <si>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</si>
  <si>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</si>
  <si>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</si>
  <si>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</si>
  <si>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</si>
  <si>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</si>
  <si>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</si>
  <si>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</si>
  <si>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</si>
  <si>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</si>
  <si>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</si>
  <si>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</si>
  <si>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</si>
  <si>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</si>
  <si>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</si>
  <si>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</si>
  <si>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</si>
  <si>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</si>
  <si>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</si>
  <si>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</si>
  <si>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</si>
  <si>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</si>
  <si>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</si>
  <si>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</si>
  <si>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</si>
  <si>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</si>
  <si>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</si>
  <si>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</si>
  <si>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</si>
  <si>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</si>
  <si>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</si>
  <si>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</si>
  <si>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</si>
  <si>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</si>
  <si>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</si>
  <si>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</si>
  <si>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</si>
  <si>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</si>
  <si>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</si>
  <si>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</si>
  <si>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</si>
  <si>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</si>
  <si>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</si>
  <si>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</si>
  <si>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</si>
  <si>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</si>
  <si>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</si>
  <si>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</si>
  <si>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</si>
  <si>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</si>
  <si>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</si>
  <si>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</si>
  <si>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</si>
  <si>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</si>
  <si>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</si>
  <si>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</si>
  <si>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</si>
  <si>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</si>
  <si>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</si>
  <si>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</si>
  <si>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</si>
  <si>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</si>
  <si>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</si>
  <si>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</si>
  <si>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</si>
  <si>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</si>
  <si>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</si>
  <si>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</si>
  <si>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</si>
  <si>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</si>
  <si>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</si>
  <si>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</si>
  <si>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</si>
  <si>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</si>
  <si>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</si>
  <si>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</si>
  <si>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</si>
  <si>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</si>
  <si>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</si>
  <si>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</si>
  <si>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</si>
  <si>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</si>
  <si>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</si>
  <si>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</si>
  <si>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</si>
  <si>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</si>
  <si>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</si>
  <si>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</si>
  <si>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</si>
  <si>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</si>
  <si>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</si>
  <si>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</si>
  <si>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</si>
  <si>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</si>
  <si>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</si>
  <si>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</si>
  <si>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</si>
  <si>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</si>
  <si>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</si>
  <si>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</si>
  <si>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</si>
  <si>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</si>
  <si>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</si>
  <si>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</si>
  <si>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</si>
  <si>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</si>
  <si>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</si>
  <si>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</si>
  <si>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</si>
  <si>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</si>
  <si>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</si>
  <si>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</si>
  <si>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</si>
  <si>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</si>
  <si>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</si>
  <si>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</si>
  <si>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</si>
  <si>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</si>
  <si>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</si>
  <si>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</si>
  <si>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</si>
  <si>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</si>
  <si>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</si>
  <si>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</si>
  <si>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</si>
  <si>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</si>
  <si>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</si>
  <si>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</si>
  <si>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</si>
  <si>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</si>
  <si>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</si>
  <si>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</si>
  <si>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</si>
  <si>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</si>
  <si>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</si>
  <si>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</si>
  <si>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</si>
  <si>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</si>
  <si>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</si>
  <si>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</si>
  <si>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</si>
  <si>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</si>
  <si>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</si>
  <si>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</si>
  <si>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</si>
  <si>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</si>
  <si>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</si>
  <si>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</si>
  <si>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</si>
  <si>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</si>
  <si>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</si>
  <si>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</si>
  <si>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</si>
  <si>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</si>
  <si>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</si>
  <si>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</si>
  <si>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</si>
  <si>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</si>
  <si>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</si>
  <si>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</si>
  <si>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</si>
  <si>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</si>
  <si>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</si>
  <si>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</si>
  <si>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</si>
  <si>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</si>
  <si>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</si>
  <si>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</si>
  <si>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</si>
  <si>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</si>
  <si>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</si>
  <si>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</si>
  <si>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</si>
  <si>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</si>
  <si>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</si>
  <si>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</si>
  <si>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</si>
  <si>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</si>
  <si>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</si>
  <si>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</si>
  <si>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</si>
  <si>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</si>
  <si>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</si>
  <si>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</si>
  <si>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</si>
  <si>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</si>
  <si>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</si>
  <si>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</si>
  <si>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</si>
  <si>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</si>
  <si>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</si>
  <si>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</si>
  <si>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</si>
  <si>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</si>
  <si>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</si>
  <si>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</si>
  <si>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</si>
  <si>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</si>
  <si>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</si>
  <si>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</si>
  <si>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</si>
  <si>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</si>
  <si>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</si>
  <si>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</si>
  <si>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</si>
  <si>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</si>
  <si>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</si>
  <si>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</si>
  <si>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</si>
  <si>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</si>
  <si>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</si>
  <si>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</si>
  <si>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</si>
  <si>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</si>
  <si>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</si>
  <si>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</si>
  <si>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</si>
  <si>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</si>
  <si>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</si>
  <si>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</si>
  <si>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</si>
  <si>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</si>
  <si>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</si>
  <si>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</si>
  <si>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</si>
  <si>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</si>
  <si>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</si>
  <si>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</si>
  <si>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</si>
  <si>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</si>
  <si>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</si>
  <si>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</si>
  <si>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</si>
  <si>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</si>
  <si>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</si>
  <si>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</si>
  <si>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</si>
  <si>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</si>
  <si>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</si>
  <si>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</si>
  <si>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</si>
  <si>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</si>
  <si>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</si>
  <si>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</si>
  <si>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</si>
  <si>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</si>
  <si>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</si>
  <si>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</si>
  <si>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</si>
  <si>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</si>
  <si>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</si>
  <si>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</si>
  <si>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</si>
  <si>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</si>
  <si>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</si>
  <si>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</si>
  <si>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</si>
  <si>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</si>
  <si>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</si>
  <si>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</si>
  <si>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</si>
  <si>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</si>
  <si>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</si>
  <si>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</si>
  <si>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</si>
  <si>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</si>
  <si>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</si>
  <si>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</si>
  <si>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</si>
  <si>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</si>
  <si>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</si>
  <si>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</si>
  <si>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</si>
  <si>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</si>
  <si>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</si>
  <si>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</si>
  <si>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</si>
  <si>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</si>
  <si>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</si>
  <si>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</si>
  <si>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</si>
  <si>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</si>
  <si>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</si>
  <si>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</si>
  <si>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</si>
  <si>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</si>
  <si>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</si>
  <si>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</si>
  <si>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</si>
  <si>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</si>
  <si>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</si>
  <si>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</si>
  <si>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</si>
  <si>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</si>
  <si>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</si>
  <si>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</si>
  <si>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</si>
  <si>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</si>
  <si>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</si>
  <si>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</si>
  <si>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</si>
  <si>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</si>
  <si>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</si>
  <si>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</si>
  <si>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</si>
  <si>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</si>
  <si>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</si>
  <si>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</si>
  <si>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</si>
  <si>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</si>
  <si>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</si>
  <si>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</si>
  <si>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</si>
  <si>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</si>
  <si>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</si>
  <si>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</si>
  <si>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</si>
  <si>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</si>
  <si>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</si>
  <si>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</si>
  <si>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</si>
  <si>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</si>
  <si>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</si>
  <si>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</si>
  <si>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</si>
  <si>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</si>
  <si>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</si>
  <si>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</si>
  <si>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</si>
  <si>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</si>
  <si>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</si>
  <si>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</si>
  <si>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</si>
  <si>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</si>
  <si>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</si>
  <si>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</si>
  <si>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</si>
  <si>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</si>
  <si>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</si>
  <si>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</si>
  <si>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</si>
  <si>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</si>
  <si>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</si>
  <si>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</si>
  <si>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</si>
  <si>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</si>
  <si>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</si>
  <si>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</si>
  <si>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</si>
  <si>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</si>
  <si>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</si>
  <si>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</si>
  <si>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</si>
  <si>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</si>
  <si>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</si>
  <si>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</si>
  <si>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</si>
  <si>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</si>
  <si>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</si>
  <si>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</si>
  <si>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</si>
  <si>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</si>
  <si>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</si>
  <si>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</si>
  <si>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</si>
  <si>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</si>
  <si>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</si>
  <si>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</si>
  <si>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</si>
  <si>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</si>
  <si>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</si>
  <si>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</si>
  <si>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</si>
  <si>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</si>
  <si>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</si>
  <si>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</si>
  <si>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</si>
  <si>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</si>
  <si>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</si>
  <si>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</si>
  <si>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</si>
  <si>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</si>
  <si>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</si>
  <si>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</si>
  <si>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</si>
  <si>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</si>
  <si>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</si>
  <si>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</si>
  <si>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</si>
  <si>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</si>
  <si>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</si>
  <si>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</si>
  <si>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</si>
  <si>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</si>
  <si>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</si>
  <si>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</si>
  <si>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</si>
  <si>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</si>
  <si>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</si>
  <si>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</si>
  <si>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</si>
  <si>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</si>
  <si>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</si>
  <si>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</si>
  <si>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</si>
  <si>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</si>
  <si>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</si>
  <si>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</si>
  <si>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</si>
  <si>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</si>
  <si>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</si>
  <si>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</si>
  <si>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</si>
  <si>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</si>
  <si>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</si>
  <si>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</si>
  <si>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</si>
  <si>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</si>
  <si>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</si>
  <si>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</si>
  <si>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</si>
  <si>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</si>
  <si>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</si>
  <si>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</si>
  <si>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</si>
  <si>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</si>
  <si>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</si>
  <si>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</si>
  <si>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</si>
  <si>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</si>
  <si>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</si>
  <si>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</si>
  <si>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</si>
  <si>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</si>
  <si>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</si>
  <si>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</si>
  <si>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</si>
  <si>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</si>
  <si>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</si>
  <si>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</si>
  <si>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</si>
  <si>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</si>
  <si>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</si>
  <si>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</si>
  <si>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</si>
  <si>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</si>
  <si>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</si>
  <si>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</si>
  <si>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</si>
  <si>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</si>
  <si>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</si>
  <si>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</si>
  <si>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</si>
  <si>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</si>
  <si>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</si>
  <si>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</si>
  <si>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</si>
  <si>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</si>
  <si>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</si>
  <si>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</si>
  <si>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</si>
  <si>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</si>
  <si>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</si>
  <si>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</si>
  <si>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</si>
  <si>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</si>
  <si>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</si>
  <si>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</si>
  <si>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</si>
  <si>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</si>
  <si>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</si>
  <si>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</si>
  <si>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</si>
  <si>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</si>
  <si>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</si>
  <si>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</si>
  <si>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</si>
  <si>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</si>
  <si>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</si>
  <si>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</si>
  <si>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</si>
  <si>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</si>
  <si>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</si>
  <si>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</si>
  <si>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</si>
  <si>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</si>
  <si>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</si>
  <si>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</si>
  <si>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</si>
  <si>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</si>
  <si>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</si>
  <si>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</si>
  <si>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</si>
  <si>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</si>
  <si>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</si>
  <si>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</si>
  <si>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</si>
  <si>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</si>
  <si>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</si>
  <si>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</si>
  <si>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</si>
  <si>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</si>
  <si>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</si>
  <si>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</si>
  <si>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</si>
  <si>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</si>
  <si>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</si>
  <si>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</si>
  <si>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</si>
  <si>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</si>
  <si>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</si>
  <si>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</si>
  <si>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</si>
  <si>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</si>
  <si>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</si>
  <si>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</si>
  <si>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</si>
  <si>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</si>
  <si>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</si>
  <si>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</si>
  <si>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</si>
  <si>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</si>
  <si>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</si>
  <si>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</si>
  <si>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</si>
  <si>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</si>
  <si>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</si>
  <si>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</si>
  <si>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</si>
  <si>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</si>
  <si>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</si>
  <si>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</si>
  <si>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</si>
  <si>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</si>
  <si>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</si>
  <si>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</si>
  <si>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</si>
  <si>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</si>
  <si>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</si>
  <si>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</si>
  <si>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</si>
  <si>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</si>
  <si>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</si>
  <si>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</si>
  <si>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</si>
  <si>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</si>
  <si>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</si>
  <si>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</si>
  <si>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</si>
  <si>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</si>
  <si>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</si>
  <si>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</si>
  <si>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</si>
  <si>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</si>
  <si>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</si>
  <si>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</si>
  <si>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</si>
  <si>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</si>
  <si>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</si>
  <si>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</si>
  <si>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</si>
  <si>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</si>
  <si>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</si>
  <si>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</si>
  <si>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</si>
  <si>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</si>
  <si>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</si>
  <si>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</si>
  <si>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</si>
  <si>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</si>
  <si>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</si>
  <si>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</si>
  <si>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</si>
  <si>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</si>
  <si>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</si>
  <si>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</si>
  <si>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</si>
  <si>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</si>
  <si>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</si>
  <si>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</si>
  <si>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</si>
  <si>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</si>
  <si>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</si>
  <si>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</si>
  <si>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</si>
  <si>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</si>
  <si>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</si>
  <si>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</si>
  <si>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</si>
  <si>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</si>
  <si>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</si>
  <si>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</si>
  <si>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</si>
  <si>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</si>
  <si>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</si>
  <si>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</si>
  <si>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</si>
  <si>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</si>
  <si>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</si>
  <si>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</si>
  <si>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</si>
  <si>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</si>
  <si>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</si>
  <si>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</si>
  <si>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</si>
  <si>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</si>
  <si>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</si>
  <si>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</si>
  <si>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</si>
  <si>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</si>
  <si>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</si>
  <si>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</si>
  <si>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</si>
  <si>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</si>
  <si>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</si>
  <si>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</si>
  <si>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</si>
  <si>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</si>
  <si>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</si>
  <si>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</si>
  <si>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</si>
  <si>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</si>
  <si>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</si>
  <si>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</si>
  <si>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</si>
  <si>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</si>
  <si>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</si>
  <si>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</si>
  <si>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</si>
  <si>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</si>
  <si>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</si>
  <si>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</si>
  <si>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</si>
  <si>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</si>
  <si>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</si>
  <si>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</si>
  <si>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</si>
  <si>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</si>
  <si>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</si>
  <si>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</si>
  <si>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</si>
  <si>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</si>
  <si>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</si>
  <si>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</si>
  <si>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</si>
  <si>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</si>
  <si>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</si>
  <si>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</si>
  <si>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</si>
  <si>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</si>
  <si>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</si>
  <si>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</si>
  <si>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</si>
  <si>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</si>
  <si>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</si>
  <si>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</si>
  <si>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</si>
  <si>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</si>
  <si>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</si>
  <si>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</si>
  <si>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</si>
  <si>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</si>
  <si>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</si>
  <si>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</si>
  <si>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</si>
  <si>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</si>
  <si>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</si>
  <si>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</si>
  <si>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</si>
  <si>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</si>
  <si>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</si>
  <si>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</si>
  <si>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</si>
  <si>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</si>
  <si>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</si>
  <si>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</si>
  <si>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</si>
  <si>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</si>
  <si>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</si>
  <si>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</si>
  <si>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</si>
  <si>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</si>
  <si>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</si>
  <si>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</si>
  <si>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</si>
  <si>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</si>
  <si>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</si>
  <si>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</si>
  <si>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</si>
  <si>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</si>
  <si>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</si>
  <si>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</si>
  <si>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</si>
  <si>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</si>
  <si>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</si>
  <si>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</si>
  <si>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</si>
  <si>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</si>
  <si>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</si>
  <si>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</si>
  <si>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</si>
  <si>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</si>
  <si>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</si>
  <si>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</si>
  <si>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</si>
  <si>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</si>
  <si>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</si>
  <si>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</si>
  <si>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</si>
  <si>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</si>
  <si>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</si>
  <si>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</si>
  <si>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</si>
  <si>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</si>
  <si>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</si>
  <si>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</si>
  <si>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</si>
  <si>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</si>
  <si>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</si>
  <si>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</si>
  <si>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</si>
  <si>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</si>
  <si>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</si>
  <si>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</si>
  <si>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</si>
  <si>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</si>
  <si>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</si>
  <si>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</si>
  <si>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</si>
  <si>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</si>
  <si>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</si>
  <si>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</si>
  <si>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</si>
  <si>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</si>
  <si>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</si>
  <si>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</si>
  <si>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</si>
  <si>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</si>
  <si>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</si>
  <si>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</si>
  <si>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</si>
  <si>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</si>
  <si>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</si>
  <si>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</si>
  <si>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</si>
  <si>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</si>
  <si>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</si>
  <si>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</si>
  <si>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</si>
  <si>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</si>
  <si>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</si>
  <si>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</si>
  <si>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</si>
  <si>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</si>
  <si>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</si>
  <si>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</si>
  <si>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</si>
  <si>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</si>
  <si>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</si>
  <si>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</si>
  <si>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</si>
  <si>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</si>
  <si>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</si>
  <si>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</si>
  <si>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</si>
  <si>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</si>
  <si>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</si>
  <si>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</si>
  <si>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</si>
  <si>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</si>
  <si>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</si>
  <si>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</si>
  <si>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</si>
  <si>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</si>
  <si>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</si>
  <si>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</si>
  <si>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</si>
  <si>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</si>
  <si>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</si>
  <si>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</si>
  <si>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</si>
  <si>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</si>
  <si>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</si>
  <si>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</si>
  <si>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</si>
  <si>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</si>
  <si>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</si>
  <si>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</si>
  <si>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</si>
  <si>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</si>
  <si>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</si>
  <si>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</si>
  <si>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</si>
  <si>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</si>
  <si>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</si>
  <si>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</si>
  <si>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</si>
  <si>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</si>
  <si>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</si>
  <si>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</si>
  <si>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</si>
  <si>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</si>
  <si>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</si>
  <si>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</si>
  <si>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</si>
  <si>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</si>
  <si>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</si>
  <si>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</si>
  <si>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</si>
  <si>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</si>
  <si>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</si>
  <si>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</si>
  <si>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</si>
  <si>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</si>
  <si>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</si>
  <si>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</si>
  <si>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</si>
  <si>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</si>
  <si>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</si>
  <si>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</si>
  <si>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</si>
  <si>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</si>
  <si>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</si>
  <si>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</si>
  <si>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</si>
  <si>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</si>
  <si>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</si>
  <si>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</si>
  <si>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</si>
  <si>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</si>
  <si>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</si>
  <si>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</si>
  <si>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</si>
  <si>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</si>
  <si>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</si>
  <si>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</si>
  <si>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</si>
  <si>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</si>
  <si>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</si>
  <si>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</si>
  <si>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</si>
  <si>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</si>
  <si>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</si>
  <si>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</si>
  <si>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</si>
  <si>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</si>
  <si>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</si>
  <si>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</si>
  <si>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</si>
  <si>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</si>
  <si>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</si>
  <si>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</si>
  <si>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</si>
  <si>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</si>
  <si>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</si>
  <si>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</si>
  <si>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</si>
  <si>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</si>
  <si>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</si>
  <si>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</si>
  <si>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</si>
  <si>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</si>
  <si>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</si>
  <si>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</si>
  <si>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</si>
  <si>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</si>
  <si>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</si>
  <si>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</si>
  <si>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</si>
  <si>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</si>
  <si>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</si>
  <si>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</si>
  <si>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</si>
  <si>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</si>
  <si>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</si>
  <si>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</si>
  <si>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</si>
  <si>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</si>
  <si>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</si>
  <si>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</si>
  <si>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</si>
  <si>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</si>
  <si>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</si>
  <si>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</si>
  <si>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</si>
  <si>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</si>
  <si>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</si>
  <si>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</si>
  <si>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</si>
  <si>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</si>
  <si>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</si>
  <si>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</si>
  <si>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</si>
  <si>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</si>
  <si>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</si>
  <si>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</si>
  <si>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</si>
  <si>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</si>
  <si>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</si>
  <si>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</si>
  <si>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</si>
  <si>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</si>
  <si>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</si>
  <si>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</si>
  <si>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</si>
  <si>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</si>
  <si>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</si>
  <si>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</si>
  <si>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</si>
  <si>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</si>
  <si>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</si>
  <si>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</si>
  <si>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</si>
  <si>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</si>
  <si>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</si>
  <si>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</si>
  <si>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</si>
  <si>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</si>
  <si>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</si>
  <si>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</si>
  <si>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</si>
  <si>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</si>
  <si>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</si>
  <si>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</si>
  <si>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</si>
  <si>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</si>
  <si>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</si>
  <si>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</si>
  <si>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</si>
  <si>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</si>
  <si>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</si>
  <si>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</si>
  <si>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</si>
  <si>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</si>
  <si>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</si>
  <si>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</si>
  <si>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</si>
  <si>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</si>
  <si>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</si>
  <si>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</si>
  <si>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</si>
  <si>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</si>
  <si>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</si>
  <si>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</si>
  <si>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</si>
  <si>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</si>
  <si>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</si>
  <si>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</si>
  <si>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</si>
  <si>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</si>
  <si>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</si>
  <si>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</si>
  <si>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</si>
  <si>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</si>
  <si>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</si>
  <si>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</si>
  <si>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</si>
  <si>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</si>
  <si>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</si>
  <si>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</si>
  <si>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</si>
  <si>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</si>
  <si>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</si>
  <si>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</si>
  <si>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</si>
  <si>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</si>
  <si>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</si>
  <si>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</si>
  <si>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</si>
  <si>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</si>
  <si>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</si>
  <si>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</si>
  <si>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</si>
  <si>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</si>
  <si>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</si>
  <si>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</si>
  <si>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</si>
  <si>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</si>
  <si>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</si>
  <si>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</si>
  <si>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</si>
  <si>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</si>
  <si>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</si>
  <si>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</si>
  <si>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</si>
  <si>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</si>
  <si>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</si>
  <si>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</si>
  <si>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</si>
  <si>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</si>
  <si>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</si>
  <si>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</si>
  <si>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</si>
  <si>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</si>
  <si>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</si>
  <si>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</si>
  <si>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</si>
  <si>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</si>
  <si>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</si>
  <si>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</si>
  <si>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</si>
  <si>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</si>
  <si>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</si>
  <si>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</si>
  <si>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</si>
  <si>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</si>
  <si>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</si>
  <si>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</si>
  <si>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</si>
  <si>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</si>
  <si>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</si>
  <si>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</si>
  <si>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</si>
  <si>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</si>
  <si>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</si>
  <si>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</si>
  <si>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</si>
  <si>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</si>
  <si>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</si>
  <si>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</si>
  <si>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</si>
  <si>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</si>
  <si>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</si>
  <si>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</si>
  <si>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</si>
  <si>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</si>
  <si>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</si>
  <si>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</si>
  <si>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</si>
  <si>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</si>
  <si>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</si>
  <si>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</si>
  <si>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</si>
  <si>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</si>
  <si>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</si>
  <si>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</si>
  <si>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</si>
  <si>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</si>
  <si>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</si>
  <si>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</si>
  <si>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</si>
  <si>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</si>
  <si>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</si>
  <si>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</si>
  <si>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</si>
  <si>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</si>
  <si>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</si>
  <si>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</si>
  <si>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</si>
  <si>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</si>
  <si>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</si>
  <si>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</si>
  <si>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</si>
  <si>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</si>
  <si>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</si>
  <si>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</si>
  <si>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</si>
  <si>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</si>
  <si>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</si>
  <si>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</si>
  <si>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</si>
  <si>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</si>
  <si>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</si>
  <si>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</si>
  <si>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</si>
  <si>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</si>
  <si>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</si>
  <si>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</si>
  <si>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</si>
  <si>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</si>
  <si>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</si>
  <si>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</si>
  <si>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</si>
  <si>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</si>
  <si>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</si>
  <si>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</si>
  <si>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</si>
  <si>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</si>
  <si>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</si>
  <si>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</si>
  <si>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</si>
  <si>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</si>
  <si>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</si>
  <si>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</si>
  <si>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</si>
  <si>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</si>
  <si>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</si>
  <si>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</si>
  <si>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</si>
  <si>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</si>
  <si>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</si>
  <si>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</si>
  <si>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</si>
  <si>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</si>
  <si>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</si>
  <si>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</si>
  <si>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</si>
  <si>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</si>
  <si>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</si>
  <si>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</si>
  <si>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</si>
  <si>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</si>
  <si>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</si>
  <si>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</si>
  <si>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</si>
  <si>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</si>
  <si>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</si>
  <si>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</si>
  <si>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</si>
  <si>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</si>
  <si>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</si>
  <si>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</si>
  <si>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</si>
  <si>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</si>
  <si>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</si>
  <si>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</si>
  <si>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</si>
  <si>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</si>
  <si>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</si>
  <si>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</si>
  <si>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</si>
  <si>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</si>
  <si>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</si>
  <si>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</si>
  <si>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</si>
  <si>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</si>
  <si>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</si>
  <si>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</si>
  <si>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</si>
  <si>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</si>
  <si>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</si>
  <si>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</si>
  <si>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</si>
  <si>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</si>
  <si>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</si>
  <si>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</si>
  <si>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</si>
  <si>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</si>
  <si>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</si>
  <si>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</si>
  <si>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</si>
  <si>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</si>
  <si>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</si>
  <si>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</si>
  <si>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</si>
  <si>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</si>
  <si>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</si>
  <si>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</si>
  <si>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</si>
  <si>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</si>
  <si>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</si>
  <si>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</si>
  <si>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</si>
  <si>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</si>
  <si>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</si>
  <si>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</si>
  <si>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</si>
  <si>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</si>
  <si>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</si>
  <si>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</si>
  <si>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</si>
  <si>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</si>
  <si>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</si>
  <si>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</si>
  <si>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</si>
  <si>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</si>
  <si>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</si>
  <si>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</si>
  <si>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</si>
  <si>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</si>
  <si>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</si>
  <si>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</si>
  <si>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</si>
  <si>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</si>
  <si>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</si>
  <si>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</si>
  <si>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</si>
  <si>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</si>
  <si>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</si>
  <si>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</si>
  <si>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</si>
  <si>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</si>
  <si>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</si>
  <si>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</si>
  <si>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</si>
  <si>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</si>
  <si>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</si>
  <si>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</si>
  <si>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</si>
  <si>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</si>
  <si>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</si>
  <si>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</si>
  <si>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</si>
  <si>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</si>
  <si>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</si>
  <si>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</si>
  <si>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</si>
  <si>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</si>
  <si>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</si>
  <si>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</si>
  <si>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</si>
  <si>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</si>
  <si>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</si>
  <si>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</si>
  <si>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</si>
  <si>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</si>
  <si>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</si>
  <si>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</si>
  <si>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</si>
  <si>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</si>
  <si>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</si>
  <si>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</si>
  <si>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</si>
  <si>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</si>
  <si>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</si>
  <si>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</si>
  <si>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</si>
  <si>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</si>
  <si>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</si>
  <si>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</si>
  <si>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</si>
  <si>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</si>
  <si>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</si>
  <si>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</si>
  <si>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</si>
  <si>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</si>
  <si>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</si>
  <si>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</si>
  <si>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</si>
  <si>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</si>
  <si>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</si>
  <si>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</si>
  <si>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</si>
  <si>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</si>
  <si>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</si>
  <si>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</si>
  <si>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</si>
  <si>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</si>
  <si>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</si>
  <si>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</si>
  <si>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</si>
  <si>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</si>
  <si>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</si>
  <si>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</si>
  <si>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</si>
  <si>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</si>
  <si>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</si>
  <si>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</si>
  <si>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</si>
  <si>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</si>
  <si>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</si>
  <si>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</si>
  <si>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</si>
  <si>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</si>
  <si>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</si>
  <si>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</si>
  <si>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</si>
  <si>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</si>
  <si>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</si>
  <si>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</si>
  <si>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</si>
  <si>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</si>
  <si>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</si>
  <si>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</si>
  <si>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</si>
  <si>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</si>
  <si>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</si>
  <si>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</si>
  <si>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</si>
  <si>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</si>
  <si>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</si>
  <si>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</si>
  <si>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</si>
  <si>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</si>
  <si>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</si>
  <si>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</si>
  <si>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</si>
  <si>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</si>
  <si>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</si>
  <si>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</si>
  <si>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</si>
  <si>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</si>
  <si>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</si>
  <si>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</si>
  <si>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</si>
  <si>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</si>
  <si>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</si>
  <si>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</si>
  <si>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</si>
  <si>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</si>
  <si>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</si>
  <si>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</si>
  <si>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</si>
  <si>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</si>
  <si>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</si>
  <si>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</si>
  <si>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</si>
  <si>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</si>
  <si>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</si>
  <si>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</si>
  <si>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</si>
  <si>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</si>
  <si>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</si>
  <si>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</si>
  <si>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</si>
  <si>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</si>
  <si>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</si>
  <si>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</si>
  <si>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</si>
  <si>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</si>
  <si>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</si>
  <si>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</si>
  <si>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</si>
  <si>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</si>
  <si>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</si>
  <si>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</si>
  <si>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</si>
  <si>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</si>
  <si>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</si>
  <si>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</si>
  <si>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</si>
  <si>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</si>
  <si>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</si>
  <si>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</si>
  <si>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</si>
  <si>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</si>
  <si>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</si>
  <si>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</si>
  <si>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</si>
  <si>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</si>
  <si>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</si>
  <si>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</si>
  <si>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</si>
  <si>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</si>
  <si>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</si>
  <si>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</si>
  <si>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</si>
  <si>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</si>
  <si>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</si>
  <si>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</si>
  <si>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</si>
  <si>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</si>
  <si>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</si>
  <si>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</si>
  <si>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</si>
  <si>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</si>
  <si>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</si>
  <si>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</si>
  <si>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</si>
  <si>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</si>
  <si>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</si>
  <si>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</si>
  <si>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</si>
  <si>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</si>
  <si>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</si>
  <si>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</si>
  <si>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</si>
  <si>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</si>
  <si>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</si>
  <si>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</si>
  <si>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</si>
  <si>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</si>
  <si>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</si>
  <si>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</si>
  <si>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</si>
  <si>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</si>
  <si>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</si>
  <si>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</si>
  <si>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</si>
  <si>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</si>
  <si>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</si>
  <si>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</si>
  <si>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</si>
  <si>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</si>
  <si>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</si>
  <si>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</si>
  <si>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</si>
  <si>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</si>
  <si>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</si>
  <si>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</si>
  <si>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</si>
  <si>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</si>
  <si>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</si>
  <si>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</si>
  <si>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</si>
  <si>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</si>
  <si>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</si>
  <si>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</si>
  <si>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</si>
  <si>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</si>
  <si>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</si>
  <si>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</si>
  <si>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</si>
  <si>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</si>
  <si>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</si>
  <si>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</si>
  <si>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</si>
  <si>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</si>
  <si>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</si>
  <si>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</si>
  <si>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</si>
  <si>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</si>
  <si>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</si>
  <si>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</si>
  <si>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</si>
  <si>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</si>
  <si>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</si>
  <si>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</si>
  <si>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</si>
  <si>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</si>
  <si>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</si>
  <si>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</si>
  <si>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</si>
  <si>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</si>
  <si>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</si>
  <si>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</si>
  <si>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</si>
  <si>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</si>
  <si>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</si>
  <si>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</si>
  <si>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</si>
  <si>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</si>
  <si>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</si>
  <si>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</si>
  <si>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</si>
  <si>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</si>
  <si>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</si>
  <si>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</si>
  <si>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</si>
  <si>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</si>
  <si>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</si>
  <si>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</si>
  <si>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</si>
  <si>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</si>
  <si>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</si>
  <si>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</si>
  <si>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</si>
  <si>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</si>
  <si>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</si>
  <si>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</si>
  <si>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</si>
  <si>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</si>
  <si>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</si>
  <si>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</si>
  <si>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</si>
  <si>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</si>
  <si>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</si>
  <si>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</si>
  <si>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</si>
  <si>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</si>
  <si>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</si>
  <si>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</si>
  <si>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</si>
  <si>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</si>
  <si>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</si>
  <si>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</si>
  <si>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</si>
  <si>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</si>
  <si>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</si>
  <si>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</si>
  <si>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</si>
  <si>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</si>
  <si>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</si>
  <si>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</si>
  <si>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</si>
  <si>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</si>
  <si>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</si>
  <si>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</si>
  <si>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</si>
  <si>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</si>
  <si>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</si>
  <si>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</si>
  <si>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</si>
  <si>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</si>
  <si>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</si>
  <si>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</si>
  <si>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</si>
  <si>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</si>
  <si>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</si>
  <si>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</si>
  <si>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</si>
  <si>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</si>
  <si>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</si>
  <si>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</si>
  <si>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</si>
  <si>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</si>
  <si>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</si>
  <si>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</si>
  <si>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</si>
  <si>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</si>
  <si>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</si>
  <si>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</si>
  <si>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</si>
  <si>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</si>
  <si>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</si>
  <si>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</si>
  <si>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</si>
  <si>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</si>
  <si>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</si>
  <si>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</si>
  <si>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</si>
  <si>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</si>
  <si>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</si>
  <si>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</si>
  <si>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</si>
  <si>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</si>
  <si>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</si>
  <si>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</si>
  <si>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</si>
  <si>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</si>
  <si>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</si>
  <si>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</si>
  <si>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</si>
  <si>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</si>
  <si>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</si>
  <si>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</si>
  <si>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</si>
  <si>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</si>
  <si>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</si>
  <si>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</si>
  <si>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</si>
  <si>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</si>
  <si>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</si>
  <si>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</si>
  <si>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</si>
  <si>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</si>
  <si>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</si>
  <si>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</si>
  <si>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</si>
  <si>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</si>
  <si>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</si>
  <si>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</si>
  <si>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</si>
  <si>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</si>
  <si>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</si>
  <si>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</si>
  <si>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</si>
  <si>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</si>
  <si>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</si>
  <si>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</si>
  <si>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</si>
  <si>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</si>
  <si>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</si>
  <si>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</si>
  <si>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</si>
  <si>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</si>
  <si>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</si>
  <si>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</si>
  <si>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</si>
  <si>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</si>
  <si>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</si>
  <si>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</si>
  <si>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</si>
  <si>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</si>
  <si>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</si>
  <si>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</si>
  <si>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</si>
  <si>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</si>
  <si>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</si>
  <si>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</si>
  <si>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</si>
  <si>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</si>
  <si>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</si>
  <si>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</si>
  <si>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</si>
  <si>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</si>
  <si>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</si>
  <si>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</si>
  <si>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</si>
  <si>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</si>
  <si>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</si>
  <si>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</si>
  <si>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</si>
  <si>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</si>
  <si>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</si>
  <si>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</si>
  <si>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</si>
  <si>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</si>
  <si>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</si>
  <si>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</si>
  <si>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</si>
  <si>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</si>
  <si>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</si>
  <si>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</si>
  <si>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</si>
  <si>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</si>
  <si>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</si>
  <si>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</si>
  <si>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</si>
  <si>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</si>
  <si>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</si>
  <si>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</si>
  <si>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</si>
  <si>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</si>
  <si>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</si>
  <si>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</si>
  <si>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</si>
  <si>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</si>
  <si>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</si>
  <si>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</si>
  <si>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</si>
  <si>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</si>
  <si>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</si>
  <si>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</si>
  <si>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</si>
  <si>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</si>
  <si>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</si>
  <si>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</si>
  <si>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</si>
  <si>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</si>
  <si>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</si>
  <si>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</si>
  <si>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</si>
  <si>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</si>
  <si>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</si>
  <si>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</si>
  <si>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</si>
  <si>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</si>
  <si>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</si>
  <si>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</si>
  <si>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</si>
  <si>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</si>
  <si>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</si>
  <si>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</si>
  <si>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</si>
  <si>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</si>
  <si>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</si>
  <si>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</si>
  <si>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</si>
  <si>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</si>
  <si>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</si>
  <si>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</si>
  <si>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</si>
  <si>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</si>
  <si>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</si>
  <si>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</si>
  <si>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</si>
  <si>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</si>
  <si>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</si>
  <si>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</si>
  <si>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</si>
  <si>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</si>
  <si>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</si>
  <si>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</si>
  <si>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</si>
  <si>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</si>
  <si>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</si>
  <si>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</si>
  <si>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</si>
  <si>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</si>
  <si>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</si>
  <si>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</si>
  <si>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</si>
  <si>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</si>
  <si>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</si>
  <si>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</si>
  <si>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</si>
  <si>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</si>
  <si>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</si>
  <si>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</si>
  <si>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</si>
  <si>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</si>
  <si>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</si>
  <si>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</si>
  <si>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</si>
  <si>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</si>
  <si>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</si>
  <si>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</si>
  <si>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</si>
  <si>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</si>
  <si>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</si>
  <si>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</si>
  <si>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</si>
  <si>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</si>
  <si>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</si>
  <si>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</si>
  <si>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</si>
  <si>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</si>
  <si>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</si>
  <si>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</si>
  <si>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</si>
  <si>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</si>
  <si>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</si>
  <si>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</si>
  <si>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</si>
  <si>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</si>
  <si>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</si>
  <si>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</si>
  <si>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</si>
  <si>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</si>
  <si>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</si>
  <si>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</si>
  <si>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</si>
  <si>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</si>
  <si>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</si>
  <si>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</si>
  <si>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</si>
  <si>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</si>
  <si>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</si>
  <si>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</si>
  <si>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</si>
  <si>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</si>
  <si>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</si>
  <si>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</si>
  <si>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</si>
  <si>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</si>
  <si>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</si>
  <si>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</si>
  <si>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</si>
  <si>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</si>
  <si>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</si>
  <si>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</si>
  <si>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</si>
  <si>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</si>
  <si>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</si>
  <si>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</si>
  <si>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</si>
  <si>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</si>
  <si>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</si>
  <si>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</si>
  <si>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</si>
  <si>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</si>
  <si>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</si>
  <si>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</si>
  <si>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</si>
  <si>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</si>
  <si>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</si>
  <si>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</si>
  <si>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</si>
  <si>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</si>
  <si>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</si>
  <si>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</si>
  <si>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</si>
  <si>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</si>
  <si>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</si>
  <si>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</si>
  <si>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</si>
  <si>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</si>
  <si>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</si>
  <si>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</si>
  <si>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</si>
  <si>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</si>
  <si>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</si>
  <si>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</si>
  <si>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</si>
  <si>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</si>
  <si>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</si>
  <si>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</si>
  <si>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</si>
  <si>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</si>
  <si>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</si>
  <si>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</si>
  <si>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</si>
  <si>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</si>
  <si>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</si>
  <si>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</si>
  <si>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</si>
  <si>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</si>
  <si>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</si>
  <si>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</si>
  <si>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</si>
  <si>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</si>
  <si>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</si>
  <si>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</si>
  <si>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</si>
  <si>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</si>
  <si>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</si>
  <si>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</si>
  <si>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</si>
  <si>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</si>
  <si>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</si>
  <si>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</si>
  <si>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</si>
  <si>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</si>
  <si>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</si>
  <si>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</si>
  <si>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</si>
  <si>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</si>
  <si>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</si>
  <si>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</si>
  <si>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</si>
  <si>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</si>
  <si>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</si>
  <si>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</si>
  <si>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</si>
  <si>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</si>
  <si>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</si>
  <si>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</si>
  <si>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</si>
  <si>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</si>
  <si>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</si>
  <si>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</si>
  <si>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</si>
  <si>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</si>
  <si>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</si>
  <si>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</si>
  <si>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</si>
  <si>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</si>
  <si>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</si>
  <si>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</si>
  <si>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</si>
  <si>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</si>
  <si>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</si>
  <si>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</si>
  <si>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</si>
  <si>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</si>
  <si>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</si>
  <si>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</si>
  <si>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</si>
  <si>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</si>
  <si>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</si>
  <si>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</si>
  <si>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</si>
  <si>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</si>
  <si>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</si>
  <si>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</si>
  <si>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</si>
  <si>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</si>
  <si>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</si>
  <si>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</si>
  <si>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</si>
  <si>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</si>
  <si>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</si>
  <si>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</si>
  <si>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</si>
  <si>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</si>
  <si>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</si>
  <si>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</si>
  <si>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</si>
  <si>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</si>
  <si>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</si>
  <si>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</si>
  <si>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</si>
  <si>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</si>
  <si>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</si>
  <si>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</si>
  <si>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</si>
  <si>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</si>
  <si>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</si>
  <si>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</si>
  <si>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</si>
  <si>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</si>
  <si>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</si>
  <si>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</si>
  <si>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</si>
  <si>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</si>
  <si>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</si>
  <si>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</si>
  <si>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</si>
  <si>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</si>
  <si>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</si>
  <si>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</si>
  <si>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</si>
  <si>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</si>
  <si>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</si>
  <si>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</si>
  <si>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</si>
  <si>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</si>
  <si>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</si>
  <si>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</si>
  <si>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</si>
  <si>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</si>
  <si>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</si>
  <si>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</si>
  <si>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</si>
  <si>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</si>
  <si>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</si>
  <si>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</si>
  <si>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</si>
  <si>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</si>
  <si>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</si>
  <si>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</si>
  <si>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</si>
  <si>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</si>
  <si>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</si>
  <si>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</si>
  <si>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</si>
  <si>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</si>
  <si>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</si>
  <si>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</si>
  <si>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</si>
  <si>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</si>
  <si>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</si>
  <si>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</si>
  <si>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</si>
  <si>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</si>
  <si>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</si>
  <si>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</si>
  <si>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</si>
  <si>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</si>
  <si>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</si>
  <si>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</si>
  <si>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</si>
  <si>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</si>
  <si>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</si>
  <si>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</si>
  <si>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</si>
  <si>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</si>
  <si>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</si>
  <si>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</si>
  <si>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</si>
  <si>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</si>
  <si>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</si>
  <si>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</si>
  <si>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</si>
  <si>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</si>
  <si>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</si>
  <si>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</si>
  <si>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</si>
  <si>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</si>
  <si>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</si>
  <si>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</si>
  <si>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</si>
  <si>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</si>
  <si>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</si>
  <si>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</si>
  <si>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</si>
  <si>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</si>
  <si>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</si>
  <si>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</si>
  <si>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</si>
  <si>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</si>
  <si>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</si>
  <si>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</si>
  <si>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</si>
  <si>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</si>
  <si>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</si>
  <si>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</si>
  <si>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</si>
  <si>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</si>
  <si>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</si>
  <si>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</si>
  <si>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</si>
  <si>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</si>
  <si>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</si>
  <si>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</si>
  <si>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</si>
  <si>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</si>
  <si>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</si>
  <si>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</si>
  <si>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</si>
  <si>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</si>
  <si>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</si>
  <si>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</si>
  <si>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</si>
  <si>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</si>
  <si>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</si>
  <si>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</si>
  <si>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</si>
  <si>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</si>
  <si>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</si>
  <si>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</si>
  <si>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</si>
  <si>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</si>
  <si>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</si>
  <si>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</si>
  <si>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</si>
  <si>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</si>
  <si>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</si>
  <si>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</si>
  <si>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</si>
  <si>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</si>
  <si>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</si>
  <si>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</si>
  <si>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</si>
  <si>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</si>
  <si>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</si>
  <si>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</si>
  <si>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</si>
  <si>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</si>
  <si>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</si>
  <si>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</si>
  <si>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</si>
  <si>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</si>
  <si>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</si>
  <si>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</si>
  <si>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</si>
  <si>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</si>
  <si>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</si>
  <si>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</si>
  <si>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</si>
  <si>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</si>
  <si>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</si>
  <si>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</si>
  <si>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</si>
  <si>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</si>
  <si>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</si>
  <si>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</si>
  <si>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</si>
  <si>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</si>
  <si>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</si>
  <si>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</si>
  <si>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</si>
  <si>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</si>
  <si>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</si>
  <si>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</si>
  <si>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</si>
  <si>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</si>
  <si>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</si>
  <si>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</si>
  <si>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</si>
  <si>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</si>
  <si>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</si>
  <si>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</si>
  <si>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</si>
  <si>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</si>
  <si>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</si>
  <si>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</si>
  <si>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</si>
  <si>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</si>
  <si>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</si>
  <si>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</si>
  <si>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</si>
  <si>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</si>
  <si>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</si>
  <si>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</si>
  <si>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</si>
  <si>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</si>
  <si>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</si>
  <si>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</si>
  <si>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</si>
  <si>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</si>
  <si>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</si>
  <si>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</si>
  <si>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</si>
  <si>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</si>
  <si>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</si>
  <si>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</si>
  <si>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</si>
  <si>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</si>
  <si>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</si>
  <si>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</si>
  <si>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</si>
  <si>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</si>
  <si>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</si>
  <si>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</si>
  <si>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</si>
  <si>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</si>
  <si>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</si>
  <si>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</si>
  <si>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</si>
  <si>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</si>
  <si>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</si>
  <si>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</si>
  <si>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</si>
  <si>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</si>
  <si>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</si>
  <si>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</si>
  <si>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</si>
  <si>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</si>
  <si>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</si>
  <si>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</si>
  <si>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</si>
  <si>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</si>
  <si>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</si>
  <si>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</si>
  <si>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</si>
  <si>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</si>
  <si>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</si>
  <si>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</si>
  <si>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</si>
  <si>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</si>
  <si>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</si>
  <si>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</si>
  <si>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</si>
  <si>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</si>
  <si>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</si>
  <si>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</si>
  <si>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</si>
  <si>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</si>
  <si>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</si>
  <si>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</si>
  <si>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</si>
  <si>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</si>
  <si>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</si>
  <si>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</si>
  <si>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</si>
  <si>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</si>
  <si>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</si>
  <si>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</si>
  <si>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</si>
  <si>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</si>
  <si>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</si>
  <si>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</si>
  <si>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</si>
  <si>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</si>
  <si>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</si>
  <si>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</si>
  <si>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</si>
  <si>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</si>
  <si>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</si>
  <si>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</si>
  <si>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</si>
  <si>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</si>
  <si>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</si>
  <si>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</si>
  <si>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</si>
  <si>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</si>
  <si>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</si>
  <si>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</si>
  <si>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</si>
  <si>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</si>
  <si>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</si>
  <si>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</si>
  <si>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</si>
  <si>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</si>
  <si>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</si>
  <si>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</si>
  <si>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</si>
  <si>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</si>
  <si>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</si>
  <si>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</si>
  <si>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</si>
  <si>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</si>
  <si>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</si>
  <si>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</si>
  <si>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</si>
  <si>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</si>
  <si>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</si>
  <si>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</si>
  <si>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</si>
  <si>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</si>
  <si>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</si>
  <si>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</si>
  <si>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</si>
  <si>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</si>
  <si>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</si>
  <si>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</si>
  <si>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</si>
  <si>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</si>
  <si>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</si>
  <si>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</si>
  <si>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</si>
  <si>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</si>
  <si>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</si>
  <si>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</si>
  <si>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</si>
  <si>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</si>
  <si>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</si>
  <si>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</si>
  <si>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</si>
  <si>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</si>
  <si>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</si>
  <si>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</si>
  <si>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</si>
  <si>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</si>
  <si>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</si>
  <si>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</si>
  <si>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</si>
  <si>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</si>
  <si>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</si>
  <si>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</si>
  <si>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Eden Housing, Inc.</t>
  </si>
  <si>
    <t>Eden Palms</t>
  </si>
  <si>
    <t>City of San Jose</t>
  </si>
  <si>
    <t>Erik Soliván</t>
  </si>
  <si>
    <t>Housing Director</t>
  </si>
  <si>
    <t>200 East Santa Clara St.</t>
  </si>
  <si>
    <t>San Jose</t>
  </si>
  <si>
    <t>669-314-3611</t>
  </si>
  <si>
    <t>erik.solivan@sanjoseca.gov</t>
  </si>
  <si>
    <t>5342-5398 Monterey Road</t>
  </si>
  <si>
    <t>684-39-018</t>
  </si>
  <si>
    <t>40%/60%</t>
  </si>
  <si>
    <t>22645 Grand Street</t>
  </si>
  <si>
    <t>Hayward</t>
  </si>
  <si>
    <t>CA</t>
  </si>
  <si>
    <t>Andrea Osgood</t>
  </si>
  <si>
    <t>510-247-8103</t>
  </si>
  <si>
    <t>aosgood@edenhousing.org</t>
  </si>
  <si>
    <t>Eden Palms LLC</t>
  </si>
  <si>
    <t>Managing GP</t>
  </si>
  <si>
    <t>Weijia Song</t>
  </si>
  <si>
    <t>628-294-4262</t>
  </si>
  <si>
    <t>wsong@co-operations.org</t>
  </si>
  <si>
    <t>Project Development Consultant</t>
  </si>
  <si>
    <t>Hayward, CA, 94541</t>
  </si>
  <si>
    <t>Weir Anderson Associates, Inc.</t>
  </si>
  <si>
    <t>1430 4th St</t>
  </si>
  <si>
    <t>San Rafael, CA 94901</t>
  </si>
  <si>
    <t>William Yee</t>
  </si>
  <si>
    <t>415-485-9797</t>
  </si>
  <si>
    <t>wa-adm@waassoc.com</t>
  </si>
  <si>
    <t>Gubb &amp; Barshay LLP</t>
  </si>
  <si>
    <t>235 Montgomery St. #1110</t>
  </si>
  <si>
    <t>San Francisco, CA, 94104</t>
  </si>
  <si>
    <t>Evan Gross</t>
  </si>
  <si>
    <t>415-781-6600</t>
  </si>
  <si>
    <t>egross@gubbandbarshay.com</t>
  </si>
  <si>
    <t>TBD</t>
  </si>
  <si>
    <t>Laurin Associates</t>
  </si>
  <si>
    <t>1501 Sports Drive, Suite A</t>
  </si>
  <si>
    <t>Sacramento, CA 95834</t>
  </si>
  <si>
    <t>Stefanie Williams</t>
  </si>
  <si>
    <t>916-372-6100</t>
  </si>
  <si>
    <t>swilliams@laurinassociates.com</t>
  </si>
  <si>
    <t>California Housing Partnership Corporation</t>
  </si>
  <si>
    <t>49 Stevenson Street, Suite 500</t>
  </si>
  <si>
    <t>San Francisco, CA 94105</t>
  </si>
  <si>
    <t>Cohn Resnick</t>
  </si>
  <si>
    <t>621 Capital Mall Ste 2150</t>
  </si>
  <si>
    <t>Sacramento, CA 95814</t>
  </si>
  <si>
    <t>Brian Brewer, CPA</t>
  </si>
  <si>
    <t>916-930-5758</t>
  </si>
  <si>
    <t>916-442-9103</t>
  </si>
  <si>
    <t>Biran.Brewer@CohnReznick.com</t>
  </si>
  <si>
    <t>Peralta Energy LLC</t>
  </si>
  <si>
    <t>4180 Emerald St</t>
  </si>
  <si>
    <t>Oakland, CA 94609</t>
  </si>
  <si>
    <t>Ben Thompson</t>
  </si>
  <si>
    <t>510-459-0827</t>
  </si>
  <si>
    <t>info@PeraltaEnergy.com</t>
  </si>
  <si>
    <t>California Municipal Finance Authority</t>
  </si>
  <si>
    <t>2111 Palomar Airport Rd, Suite 320</t>
  </si>
  <si>
    <t>Carlsbad, CA 92011</t>
  </si>
  <si>
    <t>Anthony Stubbs</t>
  </si>
  <si>
    <t>760-930-1333</t>
  </si>
  <si>
    <t>760-683-3390</t>
  </si>
  <si>
    <t>astubbs@cmfa-ca.com</t>
  </si>
  <si>
    <t>James G. Palmer Appraisals Inc.</t>
  </si>
  <si>
    <t>5850 E. Shields Avenue #105</t>
  </si>
  <si>
    <t>Fresno, California 93727</t>
  </si>
  <si>
    <t>Gregg Palmer</t>
  </si>
  <si>
    <t>559-226-5020</t>
  </si>
  <si>
    <t>559-226-5063</t>
  </si>
  <si>
    <t>gregg@jgpinc.com</t>
  </si>
  <si>
    <t>Integrated Property Analysis, Inc.</t>
  </si>
  <si>
    <t>550 West Vista Way, Suite 212</t>
  </si>
  <si>
    <t>Vista, California 92083</t>
  </si>
  <si>
    <t>Mike Atallah</t>
  </si>
  <si>
    <t>949-756-8282</t>
  </si>
  <si>
    <t>949-756-8280</t>
  </si>
  <si>
    <t>callipa@msn.com</t>
  </si>
  <si>
    <t>Eden Housing Management, Inc.</t>
  </si>
  <si>
    <t>Darnell Williams</t>
  </si>
  <si>
    <t>510-247-8120</t>
  </si>
  <si>
    <t>darnell.williams@edenhousing.org</t>
  </si>
  <si>
    <t>Appraisal</t>
  </si>
  <si>
    <t>28 yrs</t>
  </si>
  <si>
    <t>1, 2</t>
  </si>
  <si>
    <t>28 1-2 story mulifamily apartment buildings containing townhouses and flats, and a one story building for leasing office, community room, and childcare center.</t>
  </si>
  <si>
    <t>Eden Palms Associates, L.P.</t>
  </si>
  <si>
    <t>Chief of Real Estate Development and Executive Vice President</t>
  </si>
  <si>
    <t>22645 Grand Street, Hayward, CA 94541</t>
  </si>
  <si>
    <t>Secured by Fee Interest</t>
  </si>
  <si>
    <t>One or Two Story Garden</t>
  </si>
  <si>
    <t>There is a 1,984 square foot childcare center withiin the community building. There is priority for Eden Palms residents. It can be a Community Service Facility per IRC. Tenant pays for utilities and upkeep of space. Tenant does not pay a base rent to owner.</t>
  </si>
  <si>
    <t>Mixed Use Neighborhood (MUN)</t>
  </si>
  <si>
    <t xml:space="preserve">A(PD), Planned; </t>
  </si>
  <si>
    <t>Seller Carryback</t>
  </si>
  <si>
    <t>Costs Deferred Until Conversion</t>
  </si>
  <si>
    <t>Variable</t>
  </si>
  <si>
    <t>Fixed</t>
  </si>
  <si>
    <t xml:space="preserve"> 925.947.2491</t>
  </si>
  <si>
    <t>Tax Exempt Construction Loan</t>
  </si>
  <si>
    <t>1-month Term SOFR</t>
  </si>
  <si>
    <t>Tax Exempt Construction Loan from Recycled Bonds</t>
  </si>
  <si>
    <t>22645 Grand St</t>
  </si>
  <si>
    <t>(510) 582-1460</t>
  </si>
  <si>
    <t>Seller Financing</t>
  </si>
  <si>
    <t>Tax Credit Equity</t>
  </si>
  <si>
    <t>Tax-Exempt Permanent Loan</t>
  </si>
  <si>
    <t>Santa Clara Housing Authority</t>
  </si>
  <si>
    <t>Seller Carryback Loan</t>
  </si>
  <si>
    <t>Environmental Mitigation</t>
  </si>
  <si>
    <t>9th</t>
  </si>
  <si>
    <t>September</t>
  </si>
  <si>
    <t>Recycled Bonds</t>
  </si>
  <si>
    <t>Aditya Potluri</t>
  </si>
  <si>
    <t>510-543-1801 </t>
  </si>
  <si>
    <t>apotluri@chpc.net</t>
  </si>
  <si>
    <t>Provided</t>
  </si>
  <si>
    <t>Not Applicable</t>
  </si>
  <si>
    <t>Other: (Specify) Acquisition Legal</t>
  </si>
  <si>
    <t>LP Equity</t>
  </si>
  <si>
    <t>Equity, LIHTC Partner</t>
  </si>
  <si>
    <t>Income from Operations</t>
  </si>
  <si>
    <t>(specify here) Payroll Taxes /Benefits</t>
  </si>
  <si>
    <t>(specify here) Fire Protection</t>
  </si>
  <si>
    <t>(specify here) Special Assesments</t>
  </si>
  <si>
    <t>(specify here) Misc. Taxes / License</t>
  </si>
  <si>
    <t>Other (Specify): Issuer Fees</t>
  </si>
  <si>
    <t>Other: (Specify) Construction Supervision</t>
  </si>
  <si>
    <t>Other: (Specify) Bond</t>
  </si>
  <si>
    <t>Other: (Specify) Lender Expenses, Predev Loan Interest</t>
  </si>
  <si>
    <t>Other: (Specify) Lender Expenses</t>
  </si>
  <si>
    <t>Other: (Specify) Borrower Legal</t>
  </si>
  <si>
    <t>Accrued Deferred Interest</t>
  </si>
  <si>
    <t>Taxable Construction Loan</t>
  </si>
  <si>
    <t>NOI During Rehab</t>
  </si>
  <si>
    <t>JP Morgan Chase Tax-Exempt Construction Loan</t>
  </si>
  <si>
    <t>JP Morgan Chase Taxable Tail Loan</t>
  </si>
  <si>
    <t>JP Morgan Chase Recycled Bonds</t>
  </si>
  <si>
    <t xml:space="preserve">JP Morgan Chase Permanent Loan </t>
  </si>
  <si>
    <t>James Vossoughi</t>
  </si>
  <si>
    <t>560 Mission Street, 4th Floor</t>
  </si>
  <si>
    <t>(415) 315-6708</t>
  </si>
  <si>
    <t>Late Fees, Damages</t>
  </si>
  <si>
    <t>(specify here) Misc. Admin Expenses, Equipment Leases, Subscriptions</t>
  </si>
  <si>
    <t>Other Operating Expenses (Misc. Tax License):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</si>
</sst>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166" fontId="16" fillId="5" borderId="4"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1163</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575</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1014</v>
      </c>
      <c r="G117" s="4"/>
    </row>
    <row r="118" spans="2:10">
      <c r="F118" s="99" t="s">
        <v>1186</v>
      </c>
      <c r="G118" s="99"/>
    </row>
    <row r="119" spans="2:10">
      <c r="G119" s="99"/>
    </row>
    <row r="120" spans="2:10">
      <c r="E120" s="4" t="s">
        <v>763</v>
      </c>
      <c r="F120" s="98" t="s">
        <v>378</v>
      </c>
    </row>
    <row r="121" spans="2:10">
      <c r="E121" s="4"/>
      <c r="F121" s="4" t="s">
        <v>1006</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1147</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709</v>
      </c>
      <c r="F184" s="4"/>
      <c r="I184" s="4"/>
    </row>
    <row r="185" spans="2:19">
      <c r="B185" s="4"/>
      <c r="C185" s="4"/>
      <c r="E185" s="4" t="s">
        <v>1005</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1015</v>
      </c>
      <c r="G191" s="4"/>
      <c r="H191" s="4"/>
      <c r="I191" s="4"/>
    </row>
    <row r="192" spans="2:19">
      <c r="B192" s="4"/>
      <c r="C192" s="2"/>
      <c r="F192" s="4" t="s">
        <v>653</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1258</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6" sqref="H6"/>
    </sheetView>
  </sheetViews>
  <sheetFormatPr defaultColWidth="9.140625" defaultRowHeight="14.25"/>
  <cols>
    <col min="1" max="1" width="2.42578125" style="1044" customWidth="1"/>
    <col min="2" max="9" width="14.7109375" style="1044" customWidth="1"/>
    <col min="10" max="10" width="2.28515625" style="1044" customWidth="1"/>
    <col min="11" max="11" width="11.7109375" style="1045" customWidth="1"/>
    <col min="12" max="12" width="10.7109375" style="1044" customWidth="1"/>
    <col min="13" max="13" width="10.42578125" style="1044" customWidth="1"/>
    <col min="14" max="14" width="10.71093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25" customHeight="1">
      <c r="A3" s="1100"/>
      <c r="B3" s="1101"/>
      <c r="C3" s="1102"/>
      <c r="D3" s="1107"/>
      <c r="E3" s="1102"/>
      <c r="F3" s="1103" t="s">
        <v>1988</v>
      </c>
      <c r="G3" s="1102"/>
      <c r="H3" s="1104">
        <f>E18</f>
        <v>65948542</v>
      </c>
      <c r="I3" s="1105"/>
    </row>
    <row r="4" spans="1:13" s="1051" customFormat="1" ht="20.25" customHeight="1">
      <c r="B4" s="1094"/>
      <c r="D4" s="1108"/>
      <c r="F4" s="1092" t="s">
        <v>1990</v>
      </c>
      <c r="G4" s="1091" t="s">
        <v>1989</v>
      </c>
      <c r="H4" s="1093">
        <f>I18</f>
        <v>17574150.980392158</v>
      </c>
      <c r="I4" s="1095"/>
      <c r="K4" s="1055"/>
    </row>
    <row r="5" spans="1:13" s="1051" customFormat="1" ht="20.25" customHeight="1" thickBot="1">
      <c r="B5" s="1096"/>
      <c r="C5" s="1097"/>
      <c r="D5" s="1109"/>
      <c r="E5" s="1098"/>
      <c r="F5" s="1109" t="s">
        <v>1940</v>
      </c>
      <c r="G5" s="1110"/>
      <c r="H5" s="1106">
        <f>IFERROR(H3/H4,0)</f>
        <v>3.7525876540824159</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1938</v>
      </c>
      <c r="C8" s="2659"/>
      <c r="D8" s="2659"/>
      <c r="E8" s="2660"/>
      <c r="G8" s="2661" t="s">
        <v>1939</v>
      </c>
      <c r="H8" s="2662"/>
      <c r="I8" s="2663"/>
      <c r="K8" s="1057"/>
    </row>
    <row r="9" spans="1:13" ht="15" customHeight="1">
      <c r="A9" s="1046"/>
      <c r="B9" s="2656" t="s">
        <v>1972</v>
      </c>
      <c r="C9" s="2656"/>
      <c r="D9" s="2656"/>
      <c r="E9" s="1059">
        <f>G33</f>
        <v>9812500</v>
      </c>
      <c r="G9" s="2664" t="s">
        <v>1970</v>
      </c>
      <c r="H9" s="2664"/>
      <c r="I9" s="1060">
        <f>SUMIF(Application!M554:M565,"Loan, Tax-Exempt",Application!AM554:AM565)</f>
        <v>21000000</v>
      </c>
      <c r="K9" s="1061"/>
      <c r="M9" s="1062"/>
    </row>
    <row r="10" spans="1:13" ht="15" customHeight="1" thickBot="1">
      <c r="A10" s="1046"/>
      <c r="B10" s="2656" t="s">
        <v>1973</v>
      </c>
      <c r="C10" s="2656"/>
      <c r="D10" s="2656"/>
      <c r="E10" s="1060">
        <f>G47</f>
        <v>43119792</v>
      </c>
      <c r="G10" s="2668" t="s">
        <v>1941</v>
      </c>
      <c r="H10" s="2668"/>
      <c r="I10" s="1140">
        <f>'Basis &amp; Credits'!AB78</f>
        <v>0</v>
      </c>
      <c r="M10" s="1062"/>
    </row>
    <row r="11" spans="1:13" ht="15" customHeight="1">
      <c r="A11" s="1046"/>
      <c r="B11" s="2672" t="s">
        <v>2261</v>
      </c>
      <c r="C11" s="2673"/>
      <c r="D11" s="2674"/>
      <c r="E11" s="1060">
        <f>SUM(E12,E13)</f>
        <v>260000</v>
      </c>
      <c r="G11" s="2671" t="s">
        <v>1981</v>
      </c>
      <c r="H11" s="2671"/>
      <c r="I11" s="1139">
        <f>I9+I10</f>
        <v>21000000</v>
      </c>
      <c r="M11" s="1062"/>
    </row>
    <row r="12" spans="1:13" ht="15" customHeight="1">
      <c r="A12" s="1063"/>
      <c r="B12" s="2657" t="s">
        <v>2263</v>
      </c>
      <c r="C12" s="2657"/>
      <c r="D12" s="2657"/>
      <c r="E12" s="1165">
        <f>G56</f>
        <v>0</v>
      </c>
      <c r="M12" s="1062"/>
    </row>
    <row r="13" spans="1:13" ht="15" customHeight="1">
      <c r="A13" s="1049"/>
      <c r="B13" s="2657" t="s">
        <v>2264</v>
      </c>
      <c r="C13" s="2657"/>
      <c r="D13" s="2657"/>
      <c r="E13" s="1165">
        <f>G65</f>
        <v>260000</v>
      </c>
      <c r="G13" s="2661" t="s">
        <v>2004</v>
      </c>
      <c r="H13" s="2662"/>
      <c r="I13" s="2663"/>
      <c r="M13" s="1062"/>
    </row>
    <row r="14" spans="1:13" ht="15" customHeight="1">
      <c r="A14" s="1049"/>
      <c r="B14" s="2672" t="s">
        <v>2262</v>
      </c>
      <c r="C14" s="2673"/>
      <c r="D14" s="2674"/>
      <c r="E14" s="1167">
        <f>MAX(E15,E16)+E17</f>
        <v>12756250</v>
      </c>
      <c r="G14" s="2664" t="s">
        <v>139</v>
      </c>
      <c r="H14" s="2664"/>
      <c r="I14" s="1064">
        <f>15%*(AND(G120="Yes",G122&lt;&gt;""))</f>
        <v>0</v>
      </c>
      <c r="M14" s="1062"/>
    </row>
    <row r="15" spans="1:13" ht="15" customHeight="1">
      <c r="A15" s="1049"/>
      <c r="B15" s="2675" t="s">
        <v>2268</v>
      </c>
      <c r="C15" s="2676"/>
      <c r="D15" s="2677"/>
      <c r="E15" s="1165">
        <f>G80</f>
        <v>0</v>
      </c>
      <c r="G15" s="1137" t="s">
        <v>1982</v>
      </c>
      <c r="H15" s="1137"/>
      <c r="I15" s="1064">
        <f>IF(Application!AJ1032&gt;0,10%,IF(Application!AJ1036&gt;0,5%,0))</f>
        <v>0</v>
      </c>
      <c r="M15" s="1062"/>
    </row>
    <row r="16" spans="1:13" ht="15" customHeight="1">
      <c r="A16" s="1049"/>
      <c r="B16" s="2675" t="s">
        <v>2267</v>
      </c>
      <c r="C16" s="2676"/>
      <c r="D16" s="2677"/>
      <c r="E16" s="1165">
        <f>G90</f>
        <v>0</v>
      </c>
      <c r="G16" s="2664" t="s">
        <v>1983</v>
      </c>
      <c r="H16" s="2664"/>
      <c r="I16" s="1064">
        <f>G132</f>
        <v>0.127859477124183</v>
      </c>
    </row>
    <row r="17" spans="1:21" ht="15" customHeight="1" thickBot="1">
      <c r="A17" s="1049"/>
      <c r="B17" s="2675" t="s">
        <v>2266</v>
      </c>
      <c r="C17" s="2676"/>
      <c r="D17" s="2677"/>
      <c r="E17" s="1165">
        <f>G115</f>
        <v>12756250</v>
      </c>
      <c r="G17" s="2664" t="s">
        <v>2276</v>
      </c>
      <c r="H17" s="2664"/>
      <c r="I17" s="1064">
        <f>IF(AND(G139="Yes",OR(G136,G137)),IF(G143&gt;15%,15%,G143),0)</f>
        <v>3.5276190476190475E-2</v>
      </c>
    </row>
    <row r="18" spans="1:21" ht="15" customHeight="1">
      <c r="A18" s="1046"/>
      <c r="B18" s="2667" t="s">
        <v>1937</v>
      </c>
      <c r="C18" s="2667"/>
      <c r="D18" s="2667"/>
      <c r="E18" s="1111">
        <f>SUM(E9:E11,E14)</f>
        <v>65948542</v>
      </c>
      <c r="G18" s="1138" t="s">
        <v>1971</v>
      </c>
      <c r="H18" s="1138"/>
      <c r="I18" s="1112">
        <f>I11-((I11*I14)+(I11*I15)+(I11*I16)+(I11*I17))</f>
        <v>17574150.980392158</v>
      </c>
      <c r="M18" s="1065">
        <f>SUM(Cdlac[Quantity])</f>
        <v>143</v>
      </c>
      <c r="O18" s="1084" t="s">
        <v>582</v>
      </c>
      <c r="P18" s="1044">
        <f>MATCH(Application!T189,Application!CB160:CB217,0)</f>
        <v>43</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2</v>
      </c>
      <c r="M20" s="1065">
        <f>Application!G718</f>
        <v>6</v>
      </c>
      <c r="N20" s="1071">
        <f>Application!AC718</f>
        <v>0.3</v>
      </c>
      <c r="O20" s="1071">
        <f>IF(Cdlac[[#This Row],[Quantity]]&gt;0,IF(Cdlac[[#This Row],[Federal]],30%,IF(AND(OR(NOT($G$38),$G$38=""),$G$43),40%,Cdlac[[#This Row],[iAMI]])),"")</f>
        <v>0.3</v>
      </c>
      <c r="P20" s="1065" cm="1">
        <f t="array" ref="P20">IF(Cdlac[[#This Row],[Quantity]]&gt;0,INDEX(TcacRents,$P$18,Cdlac[[#This Row],[Bedrooms]]+1)*Cdlac[[#This Row],[AMI]],"")</f>
        <v>1356.6</v>
      </c>
      <c r="Q20" s="1164"/>
      <c r="R20" s="1065" cm="1">
        <f t="array" ref="R20">IF(Cdlac[[#This Row],[Quantity]]&gt;0,INDEX(HudFmrs,$P$18,Cdlac[[#This Row],[Bedrooms]]+1),"")</f>
        <v>3446</v>
      </c>
      <c r="S20" s="1065">
        <f>IF(Cdlac[[#This Row],[Quantity]]&gt;0,MAX(0,Cdlac[[#This Row],[Fair Market Rent]]-IF(AND($G$37,$G$38,$G$38&lt;&gt;"",NOT(Cdlac[[#This Row],[Federal]]),Cdlac[[#This Row],[Preservation Rent]]&lt;&gt;""),Cdlac[[#This Row],[Preservation Rent]],Cdlac[[#This Row],[Restricted Rent]])),"")</f>
        <v>2089.4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3</v>
      </c>
      <c r="M21" s="1065">
        <f>Application!G719</f>
        <v>3</v>
      </c>
      <c r="N21" s="1071">
        <f>Application!AC719</f>
        <v>0.3</v>
      </c>
      <c r="O21" s="1071">
        <f>IF(Cdlac[[#This Row],[Quantity]]&gt;0,IF(Cdlac[[#This Row],[Federal]],30%,IF(AND(OR(NOT($G$38),$G$38=""),$G$43),40%,Cdlac[[#This Row],[iAMI]])),"")</f>
        <v>0.3</v>
      </c>
      <c r="P21" s="1065" cm="1">
        <f t="array" ref="P21">IF(Cdlac[[#This Row],[Quantity]]&gt;0,INDEX(TcacRents,$P$18,Cdlac[[#This Row],[Bedrooms]]+1)*Cdlac[[#This Row],[AMI]],"")</f>
        <v>1566.6</v>
      </c>
      <c r="Q21" s="1164"/>
      <c r="R21" s="1065" cm="1">
        <f t="array" ref="R21">IF(Cdlac[[#This Row],[Quantity]]&gt;0,INDEX(HudFmrs,$P$18,Cdlac[[#This Row],[Bedrooms]]+1),"")</f>
        <v>4477</v>
      </c>
      <c r="S21" s="1065">
        <f>IF(Cdlac[[#This Row],[Quantity]]&gt;0,MAX(0,Cdlac[[#This Row],[Fair Market Rent]]-IF(AND($G$37,$G$38,$G$38&lt;&gt;"",NOT(Cdlac[[#This Row],[Federal]]),Cdlac[[#This Row],[Preservation Rent]]&lt;&gt;""),Cdlac[[#This Row],[Preservation Rent]],Cdlac[[#This Row],[Restricted Rent]])),"")</f>
        <v>2910.4</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1985</v>
      </c>
      <c r="D22" s="2665" t="s">
        <v>1986</v>
      </c>
      <c r="E22" s="2665" t="s">
        <v>1987</v>
      </c>
      <c r="F22" s="2665" t="s">
        <v>2607</v>
      </c>
      <c r="G22" s="2665" t="s">
        <v>1984</v>
      </c>
      <c r="H22" s="1070"/>
      <c r="I22" s="1069"/>
      <c r="L22" s="1044">
        <f>IFERROR(MIN(4,MATCH(Application!B720,UnitSizes,0)-1),"")</f>
        <v>4</v>
      </c>
      <c r="M22" s="1065">
        <f>Application!G720</f>
        <v>4</v>
      </c>
      <c r="N22" s="1071">
        <f>Application!AC720</f>
        <v>0.3</v>
      </c>
      <c r="O22" s="1071">
        <f>IF(Cdlac[[#This Row],[Quantity]]&gt;0,IF(Cdlac[[#This Row],[Federal]],30%,IF(AND(OR(NOT($G$38),$G$38=""),$G$43),40%,Cdlac[[#This Row],[iAMI]])),"")</f>
        <v>0.3</v>
      </c>
      <c r="P22" s="1065" cm="1">
        <f t="array" ref="P22">IF(Cdlac[[#This Row],[Quantity]]&gt;0,INDEX(TcacRents,$P$18,Cdlac[[#This Row],[Bedrooms]]+1)*Cdlac[[#This Row],[AMI]],"")</f>
        <v>1747.8</v>
      </c>
      <c r="Q22" s="1164"/>
      <c r="R22" s="1065" cm="1">
        <f t="array" ref="R22">IF(Cdlac[[#This Row],[Quantity]]&gt;0,INDEX(HudFmrs,$P$18,Cdlac[[#This Row],[Bedrooms]]+1),"")</f>
        <v>4878</v>
      </c>
      <c r="S22" s="1065">
        <f>IF(Cdlac[[#This Row],[Quantity]]&gt;0,MAX(0,Cdlac[[#This Row],[Fair Market Rent]]-IF(AND($G$37,$G$38,$G$38&lt;&gt;"",NOT(Cdlac[[#This Row],[Federal]]),Cdlac[[#This Row],[Preservation Rent]]&lt;&gt;""),Cdlac[[#This Row],[Preservation Rent]],Cdlac[[#This Row],[Restricted Rent]])),"")</f>
        <v>3130.2</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5</v>
      </c>
      <c r="N23" s="1071">
        <f>Application!AC721</f>
        <v>0.35</v>
      </c>
      <c r="O23" s="1071">
        <f>IF(Cdlac[[#This Row],[Quantity]]&gt;0,IF(Cdlac[[#This Row],[Federal]],30%,IF(AND(OR(NOT($G$38),$G$38=""),$G$43),40%,Cdlac[[#This Row],[iAMI]])),"")</f>
        <v>0.35</v>
      </c>
      <c r="P23" s="1065" cm="1">
        <f t="array" ref="P23">IF(Cdlac[[#This Row],[Quantity]]&gt;0,INDEX(TcacRents,$P$18,Cdlac[[#This Row],[Bedrooms]]+1)*Cdlac[[#This Row],[AMI]],"")</f>
        <v>1582.6999999999998</v>
      </c>
      <c r="Q23" s="1164"/>
      <c r="R23" s="1065" cm="1">
        <f t="array" ref="R23">IF(Cdlac[[#This Row],[Quantity]]&gt;0,INDEX(HudFmrs,$P$18,Cdlac[[#This Row],[Bedrooms]]+1),"")</f>
        <v>3446</v>
      </c>
      <c r="S23" s="1065">
        <f>IF(Cdlac[[#This Row],[Quantity]]&gt;0,MAX(0,Cdlac[[#This Row],[Fair Market Rent]]-IF(AND($G$37,$G$38,$G$38&lt;&gt;"",NOT(Cdlac[[#This Row],[Federal]]),Cdlac[[#This Row],[Preservation Rent]]&lt;&gt;""),Cdlac[[#This Row],[Preservation Rent]],Cdlac[[#This Row],[Restricted Rent]])),"")</f>
        <v>1863.3000000000002</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4</v>
      </c>
      <c r="M24" s="1065">
        <f>Application!G722</f>
        <v>1</v>
      </c>
      <c r="N24" s="1071">
        <f>Application!AC722</f>
        <v>0.35</v>
      </c>
      <c r="O24" s="1071">
        <f>IF(Cdlac[[#This Row],[Quantity]]&gt;0,IF(Cdlac[[#This Row],[Federal]],30%,IF(AND(OR(NOT($G$38),$G$38=""),$G$43),40%,Cdlac[[#This Row],[iAMI]])),"")</f>
        <v>0.35</v>
      </c>
      <c r="P24" s="1065" cm="1">
        <f t="array" ref="P24">IF(Cdlac[[#This Row],[Quantity]]&gt;0,INDEX(TcacRents,$P$18,Cdlac[[#This Row],[Bedrooms]]+1)*Cdlac[[#This Row],[AMI]],"")</f>
        <v>2039.1</v>
      </c>
      <c r="Q24" s="1164"/>
      <c r="R24" s="1065" cm="1">
        <f t="array" ref="R24">IF(Cdlac[[#This Row],[Quantity]]&gt;0,INDEX(HudFmrs,$P$18,Cdlac[[#This Row],[Bedrooms]]+1),"")</f>
        <v>4878</v>
      </c>
      <c r="S24" s="1065">
        <f>IF(Cdlac[[#This Row],[Quantity]]&gt;0,MAX(0,Cdlac[[#This Row],[Fair Market Rent]]-IF(AND($G$37,$G$38,$G$38&lt;&gt;"",NOT(Cdlac[[#This Row],[Federal]]),Cdlac[[#This Row],[Preservation Rent]]&lt;&gt;""),Cdlac[[#This Row],[Preservation Rent]],Cdlac[[#This Row],[Restricted Rent]])),"")</f>
        <v>2838.9</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f>IFERROR(MIN(4,MATCH(Application!B723,UnitSizes,0)-1),"")</f>
        <v>2</v>
      </c>
      <c r="M25" s="1065">
        <f>Application!G723</f>
        <v>26</v>
      </c>
      <c r="N25" s="1071">
        <f>Application!AC723</f>
        <v>0.5</v>
      </c>
      <c r="O25" s="1071">
        <f>IF(Cdlac[[#This Row],[Quantity]]&gt;0,IF(Cdlac[[#This Row],[Federal]],30%,IF(AND(OR(NOT($G$38),$G$38=""),$G$43),40%,Cdlac[[#This Row],[iAMI]])),"")</f>
        <v>0.5</v>
      </c>
      <c r="P25" s="1065" cm="1">
        <f t="array" ref="P25">IF(Cdlac[[#This Row],[Quantity]]&gt;0,INDEX(TcacRents,$P$18,Cdlac[[#This Row],[Bedrooms]]+1)*Cdlac[[#This Row],[AMI]],"")</f>
        <v>2261</v>
      </c>
      <c r="Q25" s="1164"/>
      <c r="R25" s="1065" cm="1">
        <f t="array" ref="R25">IF(Cdlac[[#This Row],[Quantity]]&gt;0,INDEX(HudFmrs,$P$18,Cdlac[[#This Row],[Bedrooms]]+1),"")</f>
        <v>3446</v>
      </c>
      <c r="S25" s="1065">
        <f>IF(Cdlac[[#This Row],[Quantity]]&gt;0,MAX(0,Cdlac[[#This Row],[Fair Market Rent]]-IF(AND($G$37,$G$38,$G$38&lt;&gt;"",NOT(Cdlac[[#This Row],[Federal]]),Cdlac[[#This Row],[Preservation Rent]]&lt;&gt;""),Cdlac[[#This Row],[Preservation Rent]],Cdlac[[#This Row],[Restricted Rent]])),"")</f>
        <v>1185</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45</v>
      </c>
      <c r="F26" s="1075">
        <f>SUM(E26:E28)-SUM(F27:F28)</f>
        <v>87</v>
      </c>
      <c r="G26" s="1072">
        <f>D26*F26</f>
        <v>108.75</v>
      </c>
      <c r="H26" s="1074"/>
      <c r="I26" s="1074"/>
      <c r="L26" s="1044">
        <f>IFERROR(MIN(4,MATCH(Application!B724,UnitSizes,0)-1),"")</f>
        <v>3</v>
      </c>
      <c r="M26" s="1065">
        <f>Application!G724</f>
        <v>36</v>
      </c>
      <c r="N26" s="1071">
        <f>Application!AC724</f>
        <v>0.5</v>
      </c>
      <c r="O26" s="1071">
        <f>IF(Cdlac[[#This Row],[Quantity]]&gt;0,IF(Cdlac[[#This Row],[Federal]],30%,IF(AND(OR(NOT($G$38),$G$38=""),$G$43),40%,Cdlac[[#This Row],[iAMI]])),"")</f>
        <v>0.5</v>
      </c>
      <c r="P26" s="1065" cm="1">
        <f t="array" ref="P26">IF(Cdlac[[#This Row],[Quantity]]&gt;0,INDEX(TcacRents,$P$18,Cdlac[[#This Row],[Bedrooms]]+1)*Cdlac[[#This Row],[AMI]],"")</f>
        <v>2611</v>
      </c>
      <c r="Q26" s="1164"/>
      <c r="R26" s="1065" cm="1">
        <f t="array" ref="R26">IF(Cdlac[[#This Row],[Quantity]]&gt;0,INDEX(HudFmrs,$P$18,Cdlac[[#This Row],[Bedrooms]]+1),"")</f>
        <v>4477</v>
      </c>
      <c r="S26" s="1065">
        <f>IF(Cdlac[[#This Row],[Quantity]]&gt;0,MAX(0,Cdlac[[#This Row],[Fair Market Rent]]-IF(AND($G$37,$G$38,$G$38&lt;&gt;"",NOT(Cdlac[[#This Row],[Federal]]),Cdlac[[#This Row],[Preservation Rent]]&lt;&gt;""),Cdlac[[#This Row],[Preservation Rent]],Cdlac[[#This Row],[Restricted Rent]])),"")</f>
        <v>1866</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55</v>
      </c>
      <c r="F27" s="1075">
        <f>MIN(E27,ROUNDDOWN(E29*30%,0))</f>
        <v>42</v>
      </c>
      <c r="G27" s="1072">
        <f>D27*F27</f>
        <v>63</v>
      </c>
      <c r="H27" s="1074"/>
      <c r="I27" s="1074"/>
      <c r="L27" s="1044">
        <f>IFERROR(MIN(4,MATCH(Application!B725,UnitSizes,0)-1),"")</f>
        <v>4</v>
      </c>
      <c r="M27" s="1065">
        <f>Application!G725</f>
        <v>27</v>
      </c>
      <c r="N27" s="1071">
        <f>Application!AC725</f>
        <v>0.5</v>
      </c>
      <c r="O27" s="1071">
        <f>IF(Cdlac[[#This Row],[Quantity]]&gt;0,IF(Cdlac[[#This Row],[Federal]],30%,IF(AND(OR(NOT($G$38),$G$38=""),$G$43),40%,Cdlac[[#This Row],[iAMI]])),"")</f>
        <v>0.5</v>
      </c>
      <c r="P27" s="1065" cm="1">
        <f t="array" ref="P27">IF(Cdlac[[#This Row],[Quantity]]&gt;0,INDEX(TcacRents,$P$18,Cdlac[[#This Row],[Bedrooms]]+1)*Cdlac[[#This Row],[AMI]],"")</f>
        <v>2913</v>
      </c>
      <c r="Q27" s="1164"/>
      <c r="R27" s="1065" cm="1">
        <f t="array" ref="R27">IF(Cdlac[[#This Row],[Quantity]]&gt;0,INDEX(HudFmrs,$P$18,Cdlac[[#This Row],[Bedrooms]]+1),"")</f>
        <v>4878</v>
      </c>
      <c r="S27" s="1065">
        <f>IF(Cdlac[[#This Row],[Quantity]]&gt;0,MAX(0,Cdlac[[#This Row],[Fair Market Rent]]-IF(AND($G$37,$G$38,$G$38&lt;&gt;"",NOT(Cdlac[[#This Row],[Federal]]),Cdlac[[#This Row],[Preservation Rent]]&lt;&gt;""),Cdlac[[#This Row],[Preservation Rent]],Cdlac[[#This Row],[Restricted Rent]])),"")</f>
        <v>1965</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43</v>
      </c>
      <c r="F28" s="1086">
        <f>MIN(E28,ROUNDDOWN(E29*10%,0))</f>
        <v>14</v>
      </c>
      <c r="G28" s="1088">
        <f>D28*F28</f>
        <v>24.5</v>
      </c>
      <c r="H28" s="1074"/>
      <c r="I28" s="1074"/>
      <c r="L28" s="1044">
        <f>IFERROR(MIN(4,MATCH(Application!B726,UnitSizes,0)-1),"")</f>
        <v>2</v>
      </c>
      <c r="M28" s="1065">
        <f>Application!G726</f>
        <v>8</v>
      </c>
      <c r="N28" s="1071">
        <f>Application!AC726</f>
        <v>0.6</v>
      </c>
      <c r="O28" s="1071">
        <f>IF(Cdlac[[#This Row],[Quantity]]&gt;0,IF(Cdlac[[#This Row],[Federal]],30%,IF(AND(OR(NOT($G$38),$G$38=""),$G$43),40%,Cdlac[[#This Row],[iAMI]])),"")</f>
        <v>0.6</v>
      </c>
      <c r="P28" s="1065" cm="1">
        <f t="array" ref="P28">IF(Cdlac[[#This Row],[Quantity]]&gt;0,INDEX(TcacRents,$P$18,Cdlac[[#This Row],[Bedrooms]]+1)*Cdlac[[#This Row],[AMI]],"")</f>
        <v>2713.2</v>
      </c>
      <c r="Q28" s="1164"/>
      <c r="R28" s="1065" cm="1">
        <f t="array" ref="R28">IF(Cdlac[[#This Row],[Quantity]]&gt;0,INDEX(HudFmrs,$P$18,Cdlac[[#This Row],[Bedrooms]]+1),"")</f>
        <v>3446</v>
      </c>
      <c r="S28" s="1065">
        <f>IF(Cdlac[[#This Row],[Quantity]]&gt;0,MAX(0,Cdlac[[#This Row],[Fair Market Rent]]-IF(AND($G$37,$G$38,$G$38&lt;&gt;"",NOT(Cdlac[[#This Row],[Federal]]),Cdlac[[#This Row],[Preservation Rent]]&lt;&gt;""),Cdlac[[#This Row],[Preservation Rent]],Cdlac[[#This Row],[Restricted Rent]])),"")</f>
        <v>732.80000000000018</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143</v>
      </c>
      <c r="F29" s="1089">
        <f>SUM(F24:F28)</f>
        <v>143</v>
      </c>
      <c r="G29" s="1090">
        <f>SUMPRODUCT(D24:D28,F24:F28)</f>
        <v>196.25</v>
      </c>
      <c r="H29" s="1074"/>
      <c r="I29" s="1074"/>
      <c r="L29" s="1044">
        <f>IFERROR(MIN(4,MATCH(Application!B727,UnitSizes,0)-1),"")</f>
        <v>3</v>
      </c>
      <c r="M29" s="1065">
        <f>Application!G727</f>
        <v>16</v>
      </c>
      <c r="N29" s="1071">
        <f>Application!AC727</f>
        <v>0.6</v>
      </c>
      <c r="O29" s="1071">
        <f>IF(Cdlac[[#This Row],[Quantity]]&gt;0,IF(Cdlac[[#This Row],[Federal]],30%,IF(AND(OR(NOT($G$38),$G$38=""),$G$43),40%,Cdlac[[#This Row],[iAMI]])),"")</f>
        <v>0.6</v>
      </c>
      <c r="P29" s="1065" cm="1">
        <f t="array" ref="P29">IF(Cdlac[[#This Row],[Quantity]]&gt;0,INDEX(TcacRents,$P$18,Cdlac[[#This Row],[Bedrooms]]+1)*Cdlac[[#This Row],[AMI]],"")</f>
        <v>3133.2</v>
      </c>
      <c r="Q29" s="1164"/>
      <c r="R29" s="1065" cm="1">
        <f t="array" ref="R29">IF(Cdlac[[#This Row],[Quantity]]&gt;0,INDEX(HudFmrs,$P$18,Cdlac[[#This Row],[Bedrooms]]+1),"")</f>
        <v>4477</v>
      </c>
      <c r="S29" s="1065">
        <f>IF(Cdlac[[#This Row],[Quantity]]&gt;0,MAX(0,Cdlac[[#This Row],[Fair Market Rent]]-IF(AND($G$37,$G$38,$G$38&lt;&gt;"",NOT(Cdlac[[#This Row],[Federal]]),Cdlac[[#This Row],[Preservation Rent]]&lt;&gt;""),Cdlac[[#This Row],[Preservation Rent]],Cdlac[[#This Row],[Restricted Rent]])),"")</f>
        <v>1343.8000000000002</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4</v>
      </c>
      <c r="M30" s="1065">
        <f>Application!G728</f>
        <v>11</v>
      </c>
      <c r="N30" s="1071">
        <f>Application!AC728</f>
        <v>0.6</v>
      </c>
      <c r="O30" s="1071">
        <f>IF(Cdlac[[#This Row],[Quantity]]&gt;0,IF(Cdlac[[#This Row],[Federal]],30%,IF(AND(OR(NOT($G$38),$G$38=""),$G$43),40%,Cdlac[[#This Row],[iAMI]])),"")</f>
        <v>0.6</v>
      </c>
      <c r="P30" s="1065" cm="1">
        <f t="array" ref="P30">IF(Cdlac[[#This Row],[Quantity]]&gt;0,INDEX(TcacRents,$P$18,Cdlac[[#This Row],[Bedrooms]]+1)*Cdlac[[#This Row],[AMI]],"")</f>
        <v>3495.6</v>
      </c>
      <c r="Q30" s="1164"/>
      <c r="R30" s="1065" cm="1">
        <f t="array" ref="R30">IF(Cdlac[[#This Row],[Quantity]]&gt;0,INDEX(HudFmrs,$P$18,Cdlac[[#This Row],[Bedrooms]]+1),"")</f>
        <v>4878</v>
      </c>
      <c r="S30" s="1065">
        <f>IF(Cdlac[[#This Row],[Quantity]]&gt;0,MAX(0,Cdlac[[#This Row],[Fair Market Rent]]-IF(AND($G$37,$G$38,$G$38&lt;&gt;"",NOT(Cdlac[[#This Row],[Federal]]),Cdlac[[#This Row],[Preservation Rent]]&lt;&gt;""),Cdlac[[#This Row],[Preservation Rent]],Cdlac[[#This Row],[Restricted Rent]])),"")</f>
        <v>1382.4</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196.25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9812500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0.49999999999999989</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239554.4</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43119792</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71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13</v>
      </c>
    </row>
    <row r="61" spans="2:21" ht="15" customHeight="1">
      <c r="E61" s="1117" t="s">
        <v>1993</v>
      </c>
      <c r="G61" s="1079">
        <f>ROUNDDOWN(E29*50%,0)</f>
        <v>71</v>
      </c>
    </row>
    <row r="62" spans="2:21" ht="15" customHeight="1">
      <c r="E62" s="1117"/>
      <c r="G62" s="1079"/>
    </row>
    <row r="63" spans="2:21" ht="15" customHeight="1">
      <c r="E63" s="1117" t="s">
        <v>1953</v>
      </c>
      <c r="G63" s="1114">
        <f>MIN(G60:G61)</f>
        <v>13</v>
      </c>
    </row>
    <row r="64" spans="2:21" ht="15" customHeight="1">
      <c r="E64" s="1117" t="s">
        <v>1943</v>
      </c>
      <c r="F64" s="1113" t="s">
        <v>1991</v>
      </c>
      <c r="G64" s="1124">
        <v>20000</v>
      </c>
    </row>
    <row r="65" spans="2:14" ht="15" customHeight="1">
      <c r="E65" s="1118" t="s">
        <v>1975</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669</v>
      </c>
    </row>
    <row r="70" spans="2:14" ht="15" customHeight="1">
      <c r="C70" s="1077" t="s">
        <v>1980</v>
      </c>
      <c r="G70" s="1081" t="str">
        <f>IF(Application!D211="Large Family","Yes","No")</f>
        <v>No</v>
      </c>
    </row>
    <row r="71" spans="2:14" ht="15" customHeight="1" thickBot="1">
      <c r="C71" s="1077" t="s">
        <v>1966</v>
      </c>
      <c r="G71" s="1043" t="s">
        <v>669</v>
      </c>
    </row>
    <row r="72" spans="2:14" ht="15" customHeight="1">
      <c r="C72" s="1077" t="s">
        <v>1967</v>
      </c>
      <c r="G72" s="1044" t="str">
        <f>Application!T193</f>
        <v>Low Resource</v>
      </c>
      <c r="L72" s="2652" t="s">
        <v>1968</v>
      </c>
      <c r="M72" s="2653"/>
      <c r="N72" s="1131">
        <v>30000</v>
      </c>
    </row>
    <row r="73" spans="2:14" ht="15" customHeight="1">
      <c r="C73" s="2654" t="s">
        <v>2260</v>
      </c>
      <c r="D73" s="2654"/>
      <c r="E73" s="2654"/>
      <c r="F73" s="2654"/>
      <c r="G73" s="1043" t="s">
        <v>669</v>
      </c>
      <c r="L73" s="2669" t="s">
        <v>1936</v>
      </c>
      <c r="M73" s="2670"/>
      <c r="N73" s="1132">
        <v>20000</v>
      </c>
    </row>
    <row r="74" spans="2:14" ht="15" customHeight="1" thickBot="1">
      <c r="C74" s="2654"/>
      <c r="D74" s="2654"/>
      <c r="E74" s="2654"/>
      <c r="F74" s="2654"/>
      <c r="L74" s="2644" t="s">
        <v>1969</v>
      </c>
      <c r="M74" s="2645"/>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196.25</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669</v>
      </c>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196.25</v>
      </c>
    </row>
    <row r="89" spans="2:9" ht="15" customHeight="1">
      <c r="E89" s="1084" t="s">
        <v>1943</v>
      </c>
      <c r="F89" s="1113" t="s">
        <v>1991</v>
      </c>
      <c r="G89" s="1050">
        <v>20000</v>
      </c>
    </row>
    <row r="90" spans="2:9" ht="15" customHeight="1">
      <c r="E90" s="1118" t="s">
        <v>2269</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6</v>
      </c>
    </row>
    <row r="95" spans="2:9" ht="15" customHeight="1">
      <c r="E95" s="1084" t="s">
        <v>1943</v>
      </c>
      <c r="F95" s="1113" t="s">
        <v>1991</v>
      </c>
      <c r="G95" s="1076">
        <v>4000</v>
      </c>
    </row>
    <row r="96" spans="2:9" ht="15" customHeight="1" thickBot="1">
      <c r="E96" s="1084" t="s">
        <v>1995</v>
      </c>
      <c r="F96" s="1113" t="s">
        <v>1991</v>
      </c>
      <c r="G96" s="1126">
        <f>G29</f>
        <v>196.25</v>
      </c>
    </row>
    <row r="97" spans="2:14" ht="15" customHeight="1">
      <c r="E97" s="1118" t="s">
        <v>1960</v>
      </c>
      <c r="F97" s="1046"/>
      <c r="G97" s="1123">
        <f>G94*G95*G96</f>
        <v>4710000</v>
      </c>
      <c r="L97" s="1127" t="str">
        <f>'Points System'!H638</f>
        <v>(i)</v>
      </c>
      <c r="M97" s="2650" t="s">
        <v>1404</v>
      </c>
      <c r="N97" s="2651"/>
    </row>
    <row r="98" spans="2:14" ht="15" customHeight="1">
      <c r="C98" s="1077"/>
      <c r="G98" s="1114"/>
      <c r="L98" s="1128" t="str">
        <f>'Points System'!H650</f>
        <v>N/A</v>
      </c>
      <c r="M98" s="2646" t="s">
        <v>1955</v>
      </c>
      <c r="N98" s="2647"/>
    </row>
    <row r="99" spans="2:14" ht="15" customHeight="1">
      <c r="E99" s="1084" t="s">
        <v>1996</v>
      </c>
      <c r="G99" s="1126">
        <f>COUNTIFS(L97:L104,"(i)")</f>
        <v>4</v>
      </c>
      <c r="L99" s="1128" t="str">
        <f>'Points System'!H685</f>
        <v>(i)</v>
      </c>
      <c r="M99" s="2646" t="s">
        <v>1956</v>
      </c>
      <c r="N99" s="2647"/>
    </row>
    <row r="100" spans="2:14" ht="15" customHeight="1">
      <c r="E100" s="1084" t="s">
        <v>1943</v>
      </c>
      <c r="F100" s="1113" t="s">
        <v>1991</v>
      </c>
      <c r="G100" s="1124">
        <v>4000</v>
      </c>
      <c r="L100" s="1128" t="str">
        <f>IF(OR('Points System'!H709="(ii)",'Points System'!H709="(i)"),"(i)","N/A")</f>
        <v>(i)</v>
      </c>
      <c r="M100" s="2646" t="s">
        <v>1957</v>
      </c>
      <c r="N100" s="2647"/>
    </row>
    <row r="101" spans="2:14" ht="15" customHeight="1">
      <c r="E101" s="1118" t="s">
        <v>1961</v>
      </c>
      <c r="F101" s="1046"/>
      <c r="G101" s="1123">
        <f>G96*G99*G100</f>
        <v>3140000</v>
      </c>
      <c r="L101" s="1129" t="str">
        <f>'Points System'!H723</f>
        <v>N/A</v>
      </c>
      <c r="M101" s="2646" t="s">
        <v>1430</v>
      </c>
      <c r="N101" s="2647"/>
    </row>
    <row r="102" spans="2:14" ht="15" customHeight="1">
      <c r="L102" s="1128" t="str">
        <f>'Points System'!H735</f>
        <v>N/A</v>
      </c>
      <c r="M102" s="2646" t="s">
        <v>1958</v>
      </c>
      <c r="N102" s="2647"/>
    </row>
    <row r="103" spans="2:14" ht="15" customHeight="1">
      <c r="C103" s="1080" t="s">
        <v>1963</v>
      </c>
      <c r="L103" s="1128" t="str">
        <f>'Points System'!H751</f>
        <v>N/A</v>
      </c>
      <c r="M103" s="2646" t="s">
        <v>1959</v>
      </c>
      <c r="N103" s="2647"/>
    </row>
    <row r="104" spans="2:14" ht="15" customHeight="1" thickBot="1">
      <c r="C104" s="1077" t="s">
        <v>1964</v>
      </c>
      <c r="G104" s="1043"/>
      <c r="L104" s="1130" t="str">
        <f>'Points System'!H763</f>
        <v>(i)</v>
      </c>
      <c r="M104" s="2648" t="s">
        <v>1433</v>
      </c>
      <c r="N104" s="2649"/>
    </row>
    <row r="105" spans="2:14" ht="15" customHeight="1">
      <c r="C105" s="1077" t="s">
        <v>1965</v>
      </c>
      <c r="G105" s="1043"/>
    </row>
    <row r="106" spans="2:14" ht="15" customHeight="1">
      <c r="C106" s="1077" t="s">
        <v>2138</v>
      </c>
      <c r="G106" s="1043" t="s">
        <v>545</v>
      </c>
    </row>
    <row r="107" spans="2:14" ht="15" customHeight="1">
      <c r="C107" s="1077" t="s">
        <v>2139</v>
      </c>
      <c r="G107" s="1043" t="s">
        <v>545</v>
      </c>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196.25</v>
      </c>
    </row>
    <row r="112" spans="2:14" ht="15" customHeight="1">
      <c r="E112" s="1084" t="s">
        <v>1943</v>
      </c>
      <c r="F112" s="1113" t="s">
        <v>1991</v>
      </c>
      <c r="G112" s="1124">
        <v>25000</v>
      </c>
    </row>
    <row r="113" spans="2:9" ht="15" customHeight="1">
      <c r="E113" s="1118" t="s">
        <v>1962</v>
      </c>
      <c r="F113" s="1046"/>
      <c r="G113" s="1123">
        <f>G109*G112*G96</f>
        <v>4906250</v>
      </c>
    </row>
    <row r="114" spans="2:9" ht="15" customHeight="1">
      <c r="C114" s="1077"/>
      <c r="E114" s="1077"/>
    </row>
    <row r="115" spans="2:9" ht="15" customHeight="1">
      <c r="E115" s="1118" t="s">
        <v>2270</v>
      </c>
      <c r="G115" s="1123">
        <f>G113+G101+G97</f>
        <v>12756250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Santa Clara</v>
      </c>
    </row>
    <row r="129" spans="2:9">
      <c r="E129" s="1084"/>
      <c r="G129" s="1078"/>
    </row>
    <row r="130" spans="2:9">
      <c r="E130" s="1084" t="str">
        <f>"2-Bedroom "&amp;G128&amp;" County Basis Limit"</f>
        <v>2-Bedroom Santa Clara County Basis Limit</v>
      </c>
      <c r="G130" s="1078">
        <f>Application!R988</f>
        <v>740000</v>
      </c>
    </row>
    <row r="131" spans="2:9">
      <c r="E131" s="1084" t="s">
        <v>1999</v>
      </c>
      <c r="G131" s="1078">
        <f>MEDIAN((Application!CU160:CU217))</f>
        <v>489600</v>
      </c>
    </row>
    <row r="132" spans="2:9" ht="15">
      <c r="D132" s="1046"/>
      <c r="E132" s="1118" t="s">
        <v>2001</v>
      </c>
      <c r="F132" s="1134"/>
      <c r="G132" s="1135">
        <f>((G130-G131)/G131)*0.25</f>
        <v>0.127859477124183</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78" t="s">
        <v>2273</v>
      </c>
      <c r="D138" s="2678"/>
      <c r="E138" s="2678"/>
      <c r="F138" s="2678"/>
    </row>
    <row r="139" spans="2:9">
      <c r="B139" s="1045"/>
      <c r="C139" s="2678"/>
      <c r="D139" s="2678"/>
      <c r="E139" s="2678"/>
      <c r="F139" s="2678"/>
      <c r="G139" s="1043" t="s">
        <v>545</v>
      </c>
    </row>
    <row r="140" spans="2:9">
      <c r="B140" s="1045"/>
      <c r="C140" s="1045"/>
      <c r="D140" s="1045"/>
      <c r="E140" s="1045"/>
      <c r="F140" s="1045"/>
    </row>
    <row r="141" spans="2:9" ht="14.25" customHeight="1">
      <c r="E141" s="1084" t="s">
        <v>2275</v>
      </c>
      <c r="G141" s="1169">
        <v>740800</v>
      </c>
    </row>
    <row r="143" spans="2:9">
      <c r="E143" s="1084" t="s">
        <v>2277</v>
      </c>
      <c r="G143" s="1168">
        <f>IF(I9=0,0,G141/I9)</f>
        <v>3.5276190476190475E-2</v>
      </c>
    </row>
    <row r="144" spans="2:9">
      <c r="E144" s="1084" t="s">
        <v>2274</v>
      </c>
      <c r="G144" s="1166">
        <f>I9*0.15</f>
        <v>3150000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14" sqref="F1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910</v>
      </c>
      <c r="B3" s="426" t="s">
        <v>2252</v>
      </c>
      <c r="C3" s="426" t="s">
        <v>2253</v>
      </c>
      <c r="D3" s="1146" t="s">
        <v>2254</v>
      </c>
      <c r="E3" s="204"/>
      <c r="F3" s="1146" t="s">
        <v>911</v>
      </c>
      <c r="G3" s="426" t="s">
        <v>912</v>
      </c>
      <c r="H3" s="427"/>
      <c r="I3" s="426" t="s">
        <v>913</v>
      </c>
      <c r="J3" s="426" t="s">
        <v>914</v>
      </c>
      <c r="K3" s="204"/>
      <c r="L3" s="305"/>
    </row>
    <row r="4" spans="1:12">
      <c r="A4" s="428" t="str">
        <f>Application!B718</f>
        <v>2 Bedrooms</v>
      </c>
      <c r="B4" s="1082">
        <f>Application!G718</f>
        <v>6</v>
      </c>
      <c r="C4" s="1162"/>
      <c r="D4" s="428">
        <f>Application!O718</f>
        <v>1218</v>
      </c>
      <c r="E4" s="429"/>
      <c r="F4" s="1083"/>
      <c r="G4" s="428">
        <f>F4*B4</f>
        <v>0</v>
      </c>
      <c r="H4" s="429"/>
      <c r="I4" s="428" t="str">
        <f t="shared" ref="I4:I27" si="0">IF(F4=0,"",(F4-D4))</f>
        <v/>
      </c>
      <c r="J4" s="428" t="str">
        <f t="shared" ref="J4:J27" si="1">IF(F4=0,"",(I4*B4))</f>
        <v/>
      </c>
      <c r="K4" s="204"/>
      <c r="L4" s="305"/>
    </row>
    <row r="5" spans="1:12">
      <c r="A5" s="428" t="str">
        <f>Application!B719</f>
        <v>3 Bedrooms</v>
      </c>
      <c r="B5" s="1082">
        <f>Application!G719</f>
        <v>3</v>
      </c>
      <c r="C5" s="1162"/>
      <c r="D5" s="428">
        <f>Application!O719</f>
        <v>1294</v>
      </c>
      <c r="E5" s="429"/>
      <c r="F5" s="1083"/>
      <c r="G5" s="428">
        <f t="shared" ref="G5:G38" si="2">F5*B5</f>
        <v>0</v>
      </c>
      <c r="H5" s="429"/>
      <c r="I5" s="428" t="str">
        <f t="shared" si="0"/>
        <v/>
      </c>
      <c r="J5" s="428" t="str">
        <f t="shared" si="1"/>
        <v/>
      </c>
      <c r="K5" s="204"/>
      <c r="L5" s="305"/>
    </row>
    <row r="6" spans="1:12">
      <c r="A6" s="428" t="str">
        <f>Application!B720</f>
        <v>4 Bedrooms</v>
      </c>
      <c r="B6" s="1082">
        <f>Application!G720</f>
        <v>4</v>
      </c>
      <c r="C6" s="1162"/>
      <c r="D6" s="428">
        <f>Application!O720</f>
        <v>1602</v>
      </c>
      <c r="E6" s="429"/>
      <c r="F6" s="1083"/>
      <c r="G6" s="428">
        <f t="shared" si="2"/>
        <v>0</v>
      </c>
      <c r="H6" s="429"/>
      <c r="I6" s="428" t="str">
        <f t="shared" si="0"/>
        <v/>
      </c>
      <c r="J6" s="428" t="str">
        <f t="shared" si="1"/>
        <v/>
      </c>
      <c r="K6" s="204"/>
      <c r="L6" s="305"/>
    </row>
    <row r="7" spans="1:12">
      <c r="A7" s="428" t="str">
        <f>Application!B721</f>
        <v>2 Bedrooms</v>
      </c>
      <c r="B7" s="1082">
        <f>Application!G721</f>
        <v>5</v>
      </c>
      <c r="C7" s="1162"/>
      <c r="D7" s="428">
        <f>Application!O721</f>
        <v>1128</v>
      </c>
      <c r="E7" s="429"/>
      <c r="F7" s="1083"/>
      <c r="G7" s="428">
        <f t="shared" si="2"/>
        <v>0</v>
      </c>
      <c r="H7" s="429"/>
      <c r="I7" s="428" t="str">
        <f t="shared" si="0"/>
        <v/>
      </c>
      <c r="J7" s="428" t="str">
        <f t="shared" si="1"/>
        <v/>
      </c>
      <c r="K7" s="204"/>
      <c r="L7" s="305"/>
    </row>
    <row r="8" spans="1:12">
      <c r="A8" s="428" t="str">
        <f>Application!B722</f>
        <v>4 Bedrooms</v>
      </c>
      <c r="B8" s="1082">
        <f>Application!G722</f>
        <v>1</v>
      </c>
      <c r="C8" s="1162"/>
      <c r="D8" s="428">
        <f>Application!O722</f>
        <v>1432</v>
      </c>
      <c r="E8" s="429"/>
      <c r="F8" s="1083"/>
      <c r="G8" s="428">
        <f t="shared" si="2"/>
        <v>0</v>
      </c>
      <c r="H8" s="429"/>
      <c r="I8" s="428" t="str">
        <f t="shared" si="0"/>
        <v/>
      </c>
      <c r="J8" s="428" t="str">
        <f t="shared" si="1"/>
        <v/>
      </c>
      <c r="K8" s="204"/>
      <c r="L8" s="305"/>
    </row>
    <row r="9" spans="1:12">
      <c r="A9" s="428" t="str">
        <f>Application!B723</f>
        <v>2 Bedrooms</v>
      </c>
      <c r="B9" s="1082">
        <f>Application!G723</f>
        <v>26</v>
      </c>
      <c r="C9" s="1162"/>
      <c r="D9" s="428">
        <f>Application!O723</f>
        <v>1748</v>
      </c>
      <c r="E9" s="429"/>
      <c r="F9" s="1083"/>
      <c r="G9" s="428">
        <f t="shared" si="2"/>
        <v>0</v>
      </c>
      <c r="H9" s="429"/>
      <c r="I9" s="428" t="str">
        <f t="shared" si="0"/>
        <v/>
      </c>
      <c r="J9" s="428" t="str">
        <f t="shared" si="1"/>
        <v/>
      </c>
      <c r="K9" s="204"/>
      <c r="L9" s="305"/>
    </row>
    <row r="10" spans="1:12">
      <c r="A10" s="428" t="str">
        <f>Application!B724</f>
        <v>3 Bedrooms</v>
      </c>
      <c r="B10" s="1082">
        <f>Application!G724</f>
        <v>36</v>
      </c>
      <c r="C10" s="1162"/>
      <c r="D10" s="428">
        <f>Application!O724</f>
        <v>1867</v>
      </c>
      <c r="E10" s="429"/>
      <c r="F10" s="1083"/>
      <c r="G10" s="428">
        <f t="shared" si="2"/>
        <v>0</v>
      </c>
      <c r="H10" s="429"/>
      <c r="I10" s="428" t="str">
        <f t="shared" si="0"/>
        <v/>
      </c>
      <c r="J10" s="428" t="str">
        <f t="shared" si="1"/>
        <v/>
      </c>
      <c r="K10" s="204"/>
      <c r="L10" s="305"/>
    </row>
    <row r="11" spans="1:12">
      <c r="A11" s="428" t="str">
        <f>Application!B725</f>
        <v>4 Bedrooms</v>
      </c>
      <c r="B11" s="1082">
        <f>Application!G725</f>
        <v>27</v>
      </c>
      <c r="C11" s="1162"/>
      <c r="D11" s="428">
        <f>Application!O725</f>
        <v>2038</v>
      </c>
      <c r="E11" s="429"/>
      <c r="F11" s="1083"/>
      <c r="G11" s="428">
        <f t="shared" si="2"/>
        <v>0</v>
      </c>
      <c r="H11" s="429"/>
      <c r="I11" s="428" t="str">
        <f t="shared" si="0"/>
        <v/>
      </c>
      <c r="J11" s="428" t="str">
        <f t="shared" si="1"/>
        <v/>
      </c>
      <c r="K11" s="204"/>
      <c r="L11" s="305"/>
    </row>
    <row r="12" spans="1:12">
      <c r="A12" s="428" t="str">
        <f>Application!B726</f>
        <v>2 Bedrooms</v>
      </c>
      <c r="B12" s="1082">
        <f>Application!G726</f>
        <v>8</v>
      </c>
      <c r="C12" s="1162"/>
      <c r="D12" s="428">
        <f>Application!O726</f>
        <v>1875</v>
      </c>
      <c r="E12" s="429"/>
      <c r="F12" s="1083"/>
      <c r="G12" s="428">
        <f t="shared" si="2"/>
        <v>0</v>
      </c>
      <c r="H12" s="429"/>
      <c r="I12" s="428" t="str">
        <f t="shared" si="0"/>
        <v/>
      </c>
      <c r="J12" s="428" t="str">
        <f t="shared" si="1"/>
        <v/>
      </c>
      <c r="K12" s="204"/>
      <c r="L12" s="305"/>
    </row>
    <row r="13" spans="1:12">
      <c r="A13" s="428" t="str">
        <f>Application!B727</f>
        <v>3 Bedrooms</v>
      </c>
      <c r="B13" s="1082">
        <f>Application!G727</f>
        <v>16</v>
      </c>
      <c r="C13" s="1162"/>
      <c r="D13" s="428">
        <f>Application!O727</f>
        <v>2293</v>
      </c>
      <c r="E13" s="429"/>
      <c r="F13" s="1083"/>
      <c r="G13" s="428">
        <f t="shared" si="2"/>
        <v>0</v>
      </c>
      <c r="H13" s="429"/>
      <c r="I13" s="428" t="str">
        <f t="shared" si="0"/>
        <v/>
      </c>
      <c r="J13" s="428" t="str">
        <f t="shared" si="1"/>
        <v/>
      </c>
      <c r="K13" s="204"/>
      <c r="L13" s="305"/>
    </row>
    <row r="14" spans="1:12">
      <c r="A14" s="428" t="str">
        <f>Application!B728</f>
        <v>4 Bedrooms</v>
      </c>
      <c r="B14" s="1082">
        <f>Application!G728</f>
        <v>11</v>
      </c>
      <c r="C14" s="1162"/>
      <c r="D14" s="428">
        <f>Application!O728</f>
        <v>2841</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Application!O753</f>
        <v>275295</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2255</v>
      </c>
    </row>
    <row r="43" spans="1:12">
      <c r="A43" s="2686" t="s">
        <v>2494</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2256</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3" workbookViewId="0">
      <selection activeCell="E62" sqref="E62:W62"/>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3303540</v>
      </c>
      <c r="G4" s="219">
        <f>E4*$C$4</f>
        <v>3386128.4999999995</v>
      </c>
      <c r="I4" s="219">
        <f>G4*$C$4</f>
        <v>3470781.7124999994</v>
      </c>
      <c r="K4" s="219">
        <f>I4*$C$4</f>
        <v>3557551.2553124991</v>
      </c>
      <c r="M4" s="219">
        <f>K4*$C$4</f>
        <v>3646490.0366953113</v>
      </c>
      <c r="O4" s="219">
        <f>M4*$C$4</f>
        <v>3737652.2876126938</v>
      </c>
      <c r="Q4" s="219">
        <f>O4*$C$4</f>
        <v>3831093.594803011</v>
      </c>
      <c r="S4" s="219">
        <f>Q4*$C$4</f>
        <v>3926870.9346730858</v>
      </c>
      <c r="U4" s="219">
        <f>S4*$C$4</f>
        <v>4025042.7080399124</v>
      </c>
      <c r="W4" s="219">
        <f>U4*$C$4</f>
        <v>4125668.7757409099</v>
      </c>
      <c r="Y4" s="219">
        <f>W4*$C$4</f>
        <v>4228810.4951344319</v>
      </c>
      <c r="AA4" s="219">
        <f>Y4*$C$4</f>
        <v>4334530.757512792</v>
      </c>
      <c r="AC4" s="219">
        <f>AA4*$C$4</f>
        <v>4442894.0264506117</v>
      </c>
      <c r="AE4" s="219">
        <f>AC4*$C$4</f>
        <v>4553966.3771118764</v>
      </c>
      <c r="AG4" s="219">
        <f>AE4*$C$4</f>
        <v>4667815.5365396729</v>
      </c>
    </row>
    <row r="5" spans="1:34" s="210" customFormat="1" ht="14.25">
      <c r="B5" s="210" t="s">
        <v>838</v>
      </c>
      <c r="C5" s="238">
        <f>IF(Application!$D$211="Special Needs",(((0.1*Application!$T$212)+(0.05*(1-Application!$T$212)))),0.05)</f>
        <v>0.05</v>
      </c>
      <c r="E5" s="221">
        <f>-E4*$C$5</f>
        <v>-165177</v>
      </c>
      <c r="F5" s="221"/>
      <c r="G5" s="221">
        <f>-G4*$C$5</f>
        <v>-169306.42499999999</v>
      </c>
      <c r="H5" s="221"/>
      <c r="I5" s="221">
        <f>-I4*$C$5</f>
        <v>-173539.08562499998</v>
      </c>
      <c r="J5" s="221"/>
      <c r="K5" s="221">
        <f>-K4*$C$5</f>
        <v>-177877.56276562496</v>
      </c>
      <c r="L5" s="221"/>
      <c r="M5" s="221">
        <f>-M4*$C$5</f>
        <v>-182324.50183476557</v>
      </c>
      <c r="N5" s="221"/>
      <c r="O5" s="221">
        <f>-O4*$C$5</f>
        <v>-186882.61438063471</v>
      </c>
      <c r="P5" s="221"/>
      <c r="Q5" s="221">
        <f>-Q4*$C$5</f>
        <v>-191554.67974015058</v>
      </c>
      <c r="R5" s="221"/>
      <c r="S5" s="221">
        <f>-S4*$C$5</f>
        <v>-196343.54673365431</v>
      </c>
      <c r="T5" s="221"/>
      <c r="U5" s="221">
        <f>-U4*$C$5</f>
        <v>-201252.13540199562</v>
      </c>
      <c r="V5" s="221"/>
      <c r="W5" s="221">
        <f>-W4*$C$5</f>
        <v>-206283.43878704551</v>
      </c>
      <c r="X5" s="221"/>
      <c r="Y5" s="221">
        <f>-Y4*$C$5</f>
        <v>-211440.5247567216</v>
      </c>
      <c r="Z5" s="221"/>
      <c r="AA5" s="221">
        <f>-AA4*$C$5</f>
        <v>-216726.53787563962</v>
      </c>
      <c r="AB5" s="221"/>
      <c r="AC5" s="221">
        <f>-AC4*$C$5</f>
        <v>-222144.7013225306</v>
      </c>
      <c r="AD5" s="221"/>
      <c r="AE5" s="221">
        <f>-AE4*$C$5</f>
        <v>-227698.31885559382</v>
      </c>
      <c r="AF5" s="221"/>
      <c r="AG5" s="221">
        <f>-AG4*$C$5</f>
        <v>-233390.77682698367</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20338</v>
      </c>
      <c r="F8" s="222"/>
      <c r="G8" s="222">
        <f>E8*$C$8</f>
        <v>20846.449999999997</v>
      </c>
      <c r="H8" s="222"/>
      <c r="I8" s="222">
        <f>G8*$C$8</f>
        <v>21367.611249999994</v>
      </c>
      <c r="J8" s="222"/>
      <c r="K8" s="222">
        <f>I8*$C$8</f>
        <v>21901.801531249992</v>
      </c>
      <c r="L8" s="222"/>
      <c r="M8" s="222">
        <f>K8*$C$8</f>
        <v>22449.346569531241</v>
      </c>
      <c r="N8" s="222"/>
      <c r="O8" s="222">
        <f>M8*$C$8</f>
        <v>23010.58023376952</v>
      </c>
      <c r="P8" s="222"/>
      <c r="Q8" s="222">
        <f>O8*$C$8</f>
        <v>23585.844739613756</v>
      </c>
      <c r="R8" s="222"/>
      <c r="S8" s="222">
        <f>Q8*$C$8</f>
        <v>24175.490858104098</v>
      </c>
      <c r="T8" s="222"/>
      <c r="U8" s="222">
        <f>S8*$C$8</f>
        <v>24779.878129556699</v>
      </c>
      <c r="V8" s="222"/>
      <c r="W8" s="222">
        <f>U8*$C$8</f>
        <v>25399.375082795614</v>
      </c>
      <c r="X8" s="222"/>
      <c r="Y8" s="222">
        <f>W8*$C$8</f>
        <v>26034.359459865504</v>
      </c>
      <c r="Z8" s="222"/>
      <c r="AA8" s="222">
        <f>Y8*$C$8</f>
        <v>26685.218446362138</v>
      </c>
      <c r="AB8" s="222"/>
      <c r="AC8" s="222">
        <f>AA8*$C$8</f>
        <v>27352.348907521187</v>
      </c>
      <c r="AD8" s="222"/>
      <c r="AE8" s="222">
        <f>AC8*$C$8</f>
        <v>28036.157630209214</v>
      </c>
      <c r="AF8" s="222"/>
      <c r="AG8" s="222">
        <f>AE8*$C$8</f>
        <v>28737.061570964441</v>
      </c>
    </row>
    <row r="9" spans="1:34" s="210" customFormat="1" ht="14.25">
      <c r="B9" s="210" t="s">
        <v>838</v>
      </c>
      <c r="C9" s="238">
        <f>IF(Application!$D$211="Special Needs",(((0.1*Application!$T$212)+(0.05*(1-Application!$T$212)))),0.05)</f>
        <v>0.05</v>
      </c>
      <c r="E9" s="221">
        <f>-E8*$C$9</f>
        <v>-1016.9000000000001</v>
      </c>
      <c r="F9" s="221"/>
      <c r="G9" s="221">
        <f>-G8*$C$9</f>
        <v>-1042.3225</v>
      </c>
      <c r="H9" s="221"/>
      <c r="I9" s="221">
        <f>-I8*$C$9</f>
        <v>-1068.3805624999998</v>
      </c>
      <c r="J9" s="221"/>
      <c r="K9" s="221">
        <f>-K8*$C$9</f>
        <v>-1095.0900765624997</v>
      </c>
      <c r="L9" s="221"/>
      <c r="M9" s="221">
        <f>-M8*$C$9</f>
        <v>-1122.467328476562</v>
      </c>
      <c r="N9" s="221"/>
      <c r="O9" s="221">
        <f>-O8*$C$9</f>
        <v>-1150.529011688476</v>
      </c>
      <c r="P9" s="221"/>
      <c r="Q9" s="221">
        <f>-Q8*$C$9</f>
        <v>-1179.2922369806879</v>
      </c>
      <c r="R9" s="221"/>
      <c r="S9" s="221">
        <f>-S8*$C$9</f>
        <v>-1208.774542905205</v>
      </c>
      <c r="T9" s="221"/>
      <c r="U9" s="221">
        <f>-U8*$C$9</f>
        <v>-1238.993906477835</v>
      </c>
      <c r="V9" s="221"/>
      <c r="W9" s="221">
        <f>-W8*$C$9</f>
        <v>-1269.9687541397807</v>
      </c>
      <c r="X9" s="221"/>
      <c r="Y9" s="221">
        <f>-Y8*$C$9</f>
        <v>-1301.7179729932752</v>
      </c>
      <c r="Z9" s="221"/>
      <c r="AA9" s="221">
        <f>-AA8*$C$9</f>
        <v>-1334.2609223181071</v>
      </c>
      <c r="AB9" s="221"/>
      <c r="AC9" s="221">
        <f>-AC8*$C$9</f>
        <v>-1367.6174453760595</v>
      </c>
      <c r="AD9" s="221"/>
      <c r="AE9" s="221">
        <f>-AE8*$C$9</f>
        <v>-1401.8078815104609</v>
      </c>
      <c r="AF9" s="221"/>
      <c r="AG9" s="221">
        <f>-AG8*$C$9</f>
        <v>-1436.8530785482221</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859</v>
      </c>
      <c r="C11" s="216"/>
      <c r="E11" s="223">
        <f>SUM(E4:E10)</f>
        <v>3157684.1</v>
      </c>
      <c r="G11" s="223">
        <f>SUM(G4:G10)</f>
        <v>3236626.2025000001</v>
      </c>
      <c r="I11" s="223">
        <f>SUM(I4:I10)</f>
        <v>3317541.8575624996</v>
      </c>
      <c r="K11" s="223">
        <f>SUM(K4:K10)</f>
        <v>3400480.4040015619</v>
      </c>
      <c r="M11" s="223">
        <f>SUM(M4:M10)</f>
        <v>3485492.4141016002</v>
      </c>
      <c r="O11" s="223">
        <f>SUM(O4:O10)</f>
        <v>3572629.7244541398</v>
      </c>
      <c r="Q11" s="223">
        <f>SUM(Q4:Q10)</f>
        <v>3661945.4675654937</v>
      </c>
      <c r="S11" s="223">
        <f>SUM(S4:S10)</f>
        <v>3753494.1042546304</v>
      </c>
      <c r="U11" s="223">
        <f>SUM(U4:U10)</f>
        <v>3847331.4568609954</v>
      </c>
      <c r="W11" s="223">
        <f>SUM(W4:W10)</f>
        <v>3943514.7432825202</v>
      </c>
      <c r="Y11" s="223">
        <f>SUM(Y4:Y10)</f>
        <v>4042102.6118645822</v>
      </c>
      <c r="AA11" s="223">
        <f>SUM(AA4:AA10)</f>
        <v>4143155.1771611962</v>
      </c>
      <c r="AC11" s="223">
        <f>SUM(AC4:AC10)</f>
        <v>4246734.0565902265</v>
      </c>
      <c r="AE11" s="223">
        <f>SUM(AE4:AE10)</f>
        <v>4352902.4080049805</v>
      </c>
      <c r="AG11" s="223">
        <f>SUM(AG4:AG10)</f>
        <v>4461724.9682051064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175751</v>
      </c>
      <c r="G15" s="219">
        <f>E15*$C$14</f>
        <v>181902.28499999997</v>
      </c>
      <c r="I15" s="219">
        <f>G15*$C$14</f>
        <v>188268.86497499995</v>
      </c>
      <c r="K15" s="219">
        <f>I15*$C$14</f>
        <v>194858.27524912494</v>
      </c>
      <c r="M15" s="219">
        <f>K15*$C$14</f>
        <v>201678.31488284431</v>
      </c>
      <c r="O15" s="219">
        <f>M15*$C$14</f>
        <v>208737.05590374384</v>
      </c>
      <c r="Q15" s="219">
        <f>O15*$C$14</f>
        <v>216042.85286037484</v>
      </c>
      <c r="S15" s="219">
        <f>Q15*$C$14</f>
        <v>223604.35271048793</v>
      </c>
      <c r="U15" s="219">
        <f>S15*$C$14</f>
        <v>231430.505055355</v>
      </c>
      <c r="W15" s="219">
        <f>U15*$C$14</f>
        <v>239530.57273229241</v>
      </c>
      <c r="Y15" s="219">
        <f>W15*$C$14</f>
        <v>247914.14277792262</v>
      </c>
      <c r="AA15" s="219">
        <f>Y15*$C$14</f>
        <v>256591.13777514989</v>
      </c>
      <c r="AC15" s="219">
        <f>AA15*$C$14</f>
        <v>265571.82759728015</v>
      </c>
      <c r="AE15" s="219">
        <f>AC15*$C$14</f>
        <v>274866.84156318492</v>
      </c>
      <c r="AG15" s="219">
        <f>AE15*$C$14</f>
        <v>284487.18101789639</v>
      </c>
    </row>
    <row r="16" spans="1:34" s="210" customFormat="1" ht="14.25">
      <c r="A16" s="210" t="s">
        <v>344</v>
      </c>
      <c r="C16" s="233"/>
      <c r="E16" s="222">
        <f>Application!W849</f>
        <v>137763</v>
      </c>
      <c r="F16" s="222"/>
      <c r="G16" s="222">
        <f t="shared" ref="G16:AG21" si="0">E16*$C$14</f>
        <v>142584.70499999999</v>
      </c>
      <c r="H16" s="222"/>
      <c r="I16" s="222">
        <f t="shared" si="0"/>
        <v>147575.16967499998</v>
      </c>
      <c r="J16" s="222"/>
      <c r="K16" s="222">
        <f t="shared" si="0"/>
        <v>152740.30061362498</v>
      </c>
      <c r="L16" s="222"/>
      <c r="M16" s="222">
        <f t="shared" si="0"/>
        <v>158086.21113510182</v>
      </c>
      <c r="N16" s="222"/>
      <c r="O16" s="222">
        <f t="shared" si="0"/>
        <v>163619.22852483037</v>
      </c>
      <c r="P16" s="222"/>
      <c r="Q16" s="222">
        <f t="shared" si="0"/>
        <v>169345.90152319943</v>
      </c>
      <c r="R16" s="222"/>
      <c r="S16" s="222">
        <f t="shared" si="0"/>
        <v>175273.00807651138</v>
      </c>
      <c r="T16" s="222"/>
      <c r="U16" s="222">
        <f t="shared" si="0"/>
        <v>181407.56335918925</v>
      </c>
      <c r="V16" s="222"/>
      <c r="W16" s="222">
        <f t="shared" si="0"/>
        <v>187756.82807676087</v>
      </c>
      <c r="X16" s="222"/>
      <c r="Y16" s="222">
        <f t="shared" si="0"/>
        <v>194328.31705944749</v>
      </c>
      <c r="Z16" s="222"/>
      <c r="AA16" s="222">
        <f t="shared" si="0"/>
        <v>201129.80815652813</v>
      </c>
      <c r="AB16" s="222"/>
      <c r="AC16" s="222">
        <f t="shared" si="0"/>
        <v>208169.35144200659</v>
      </c>
      <c r="AD16" s="222"/>
      <c r="AE16" s="222">
        <f t="shared" si="0"/>
        <v>215455.2787424768</v>
      </c>
      <c r="AF16" s="222"/>
      <c r="AG16" s="222">
        <f t="shared" si="0"/>
        <v>222996.21349846348</v>
      </c>
    </row>
    <row r="17" spans="1:33" s="210" customFormat="1" ht="14.25">
      <c r="A17" s="210" t="s">
        <v>561</v>
      </c>
      <c r="C17" s="233"/>
      <c r="E17" s="222">
        <f>Application!W855</f>
        <v>197158</v>
      </c>
      <c r="F17" s="222"/>
      <c r="G17" s="222">
        <f t="shared" si="0"/>
        <v>204058.52999999997</v>
      </c>
      <c r="H17" s="222"/>
      <c r="I17" s="222">
        <f t="shared" si="0"/>
        <v>211200.57854999995</v>
      </c>
      <c r="J17" s="222"/>
      <c r="K17" s="222">
        <f t="shared" si="0"/>
        <v>218592.59879924994</v>
      </c>
      <c r="L17" s="222"/>
      <c r="M17" s="222">
        <f t="shared" si="0"/>
        <v>226243.33975722367</v>
      </c>
      <c r="N17" s="222"/>
      <c r="O17" s="222">
        <f t="shared" si="0"/>
        <v>234161.85664872648</v>
      </c>
      <c r="P17" s="222"/>
      <c r="Q17" s="222">
        <f t="shared" si="0"/>
        <v>242357.52163143188</v>
      </c>
      <c r="R17" s="222"/>
      <c r="S17" s="222">
        <f t="shared" si="0"/>
        <v>250840.03488853198</v>
      </c>
      <c r="T17" s="222"/>
      <c r="U17" s="222">
        <f t="shared" si="0"/>
        <v>259619.43610963059</v>
      </c>
      <c r="V17" s="222"/>
      <c r="W17" s="222">
        <f t="shared" si="0"/>
        <v>268706.11637346767</v>
      </c>
      <c r="X17" s="222"/>
      <c r="Y17" s="222">
        <f t="shared" si="0"/>
        <v>278110.83044653904</v>
      </c>
      <c r="Z17" s="222"/>
      <c r="AA17" s="222">
        <f t="shared" si="0"/>
        <v>287844.7095121679</v>
      </c>
      <c r="AB17" s="222"/>
      <c r="AC17" s="222">
        <f t="shared" si="0"/>
        <v>297919.27434509376</v>
      </c>
      <c r="AD17" s="222"/>
      <c r="AE17" s="222">
        <f t="shared" si="0"/>
        <v>308346.44894717203</v>
      </c>
      <c r="AF17" s="222"/>
      <c r="AG17" s="222">
        <f t="shared" si="0"/>
        <v>319138.57466032304</v>
      </c>
    </row>
    <row r="18" spans="1:33" s="210" customFormat="1" ht="14.25">
      <c r="A18" s="210" t="s">
        <v>842</v>
      </c>
      <c r="C18" s="233"/>
      <c r="E18" s="222">
        <f>Application!W862</f>
        <v>395101</v>
      </c>
      <c r="F18" s="222"/>
      <c r="G18" s="222">
        <f t="shared" si="0"/>
        <v>408929.53499999997</v>
      </c>
      <c r="H18" s="222"/>
      <c r="I18" s="222">
        <f t="shared" si="0"/>
        <v>423242.06872499996</v>
      </c>
      <c r="J18" s="222"/>
      <c r="K18" s="222">
        <f t="shared" si="0"/>
        <v>438055.54113037494</v>
      </c>
      <c r="L18" s="222"/>
      <c r="M18" s="222">
        <f t="shared" si="0"/>
        <v>453387.485069938</v>
      </c>
      <c r="N18" s="222"/>
      <c r="O18" s="222">
        <f t="shared" si="0"/>
        <v>469256.04704738577</v>
      </c>
      <c r="P18" s="222"/>
      <c r="Q18" s="222">
        <f t="shared" si="0"/>
        <v>485680.00869404426</v>
      </c>
      <c r="R18" s="222"/>
      <c r="S18" s="222">
        <f t="shared" si="0"/>
        <v>502678.80899833579</v>
      </c>
      <c r="T18" s="222"/>
      <c r="U18" s="222">
        <f t="shared" si="0"/>
        <v>520272.56731327751</v>
      </c>
      <c r="V18" s="222"/>
      <c r="W18" s="222">
        <f t="shared" si="0"/>
        <v>538482.10716924223</v>
      </c>
      <c r="X18" s="222"/>
      <c r="Y18" s="222">
        <f t="shared" si="0"/>
        <v>557328.98092016566</v>
      </c>
      <c r="Z18" s="222"/>
      <c r="AA18" s="222">
        <f t="shared" si="0"/>
        <v>576835.49525237142</v>
      </c>
      <c r="AB18" s="222"/>
      <c r="AC18" s="222">
        <f t="shared" si="0"/>
        <v>597024.73758620431</v>
      </c>
      <c r="AD18" s="222"/>
      <c r="AE18" s="222">
        <f t="shared" si="0"/>
        <v>617920.60340172146</v>
      </c>
      <c r="AF18" s="222"/>
      <c r="AG18" s="222">
        <f t="shared" si="0"/>
        <v>639547.82452078164</v>
      </c>
    </row>
    <row r="19" spans="1:33" s="210" customFormat="1" ht="14.25">
      <c r="A19" s="210" t="s">
        <v>155</v>
      </c>
      <c r="C19" s="233"/>
      <c r="E19" s="222">
        <f>Application!W863</f>
        <v>105609</v>
      </c>
      <c r="F19" s="222"/>
      <c r="G19" s="222">
        <f t="shared" si="0"/>
        <v>109305.31499999999</v>
      </c>
      <c r="H19" s="222"/>
      <c r="I19" s="222">
        <f t="shared" si="0"/>
        <v>113131.00102499998</v>
      </c>
      <c r="J19" s="222"/>
      <c r="K19" s="222">
        <f t="shared" si="0"/>
        <v>117090.58606087496</v>
      </c>
      <c r="L19" s="222"/>
      <c r="M19" s="222">
        <f t="shared" si="0"/>
        <v>121188.75657300558</v>
      </c>
      <c r="N19" s="222"/>
      <c r="O19" s="222">
        <f t="shared" si="0"/>
        <v>125430.36305306076</v>
      </c>
      <c r="P19" s="222"/>
      <c r="Q19" s="222">
        <f t="shared" si="0"/>
        <v>129820.42575991788</v>
      </c>
      <c r="R19" s="222"/>
      <c r="S19" s="222">
        <f t="shared" si="0"/>
        <v>134364.140661515</v>
      </c>
      <c r="T19" s="222"/>
      <c r="U19" s="222">
        <f t="shared" si="0"/>
        <v>139066.88558466802</v>
      </c>
      <c r="V19" s="222"/>
      <c r="W19" s="222">
        <f t="shared" si="0"/>
        <v>143934.22658013139</v>
      </c>
      <c r="X19" s="222"/>
      <c r="Y19" s="222">
        <f t="shared" si="0"/>
        <v>148971.92451043599</v>
      </c>
      <c r="Z19" s="222"/>
      <c r="AA19" s="222">
        <f t="shared" si="0"/>
        <v>154185.94186830125</v>
      </c>
      <c r="AB19" s="222"/>
      <c r="AC19" s="222">
        <f t="shared" si="0"/>
        <v>159582.44983369179</v>
      </c>
      <c r="AD19" s="222"/>
      <c r="AE19" s="222">
        <f t="shared" si="0"/>
        <v>165167.83557787098</v>
      </c>
      <c r="AF19" s="222"/>
      <c r="AG19" s="222">
        <f t="shared" si="0"/>
        <v>170948.70982309646</v>
      </c>
    </row>
    <row r="20" spans="1:33" s="210" customFormat="1" ht="14.25">
      <c r="A20" s="210" t="s">
        <v>390</v>
      </c>
      <c r="C20" s="233"/>
      <c r="E20" s="222">
        <f>Application!W872</f>
        <v>379043</v>
      </c>
      <c r="F20" s="222"/>
      <c r="G20" s="222">
        <f t="shared" si="0"/>
        <v>392309.50499999995</v>
      </c>
      <c r="H20" s="222"/>
      <c r="I20" s="222">
        <f t="shared" si="0"/>
        <v>406040.3376749999</v>
      </c>
      <c r="J20" s="222"/>
      <c r="K20" s="222">
        <f t="shared" si="0"/>
        <v>420251.74949362484</v>
      </c>
      <c r="L20" s="222"/>
      <c r="M20" s="222">
        <f t="shared" si="0"/>
        <v>434960.56072590168</v>
      </c>
      <c r="N20" s="222"/>
      <c r="O20" s="222">
        <f t="shared" si="0"/>
        <v>450184.1803513082</v>
      </c>
      <c r="P20" s="222"/>
      <c r="Q20" s="222">
        <f t="shared" si="0"/>
        <v>465940.62666360394</v>
      </c>
      <c r="R20" s="222"/>
      <c r="S20" s="222">
        <f t="shared" si="0"/>
        <v>482248.54859683005</v>
      </c>
      <c r="T20" s="222"/>
      <c r="U20" s="222">
        <f t="shared" si="0"/>
        <v>499127.24779771909</v>
      </c>
      <c r="V20" s="222"/>
      <c r="W20" s="222">
        <f t="shared" si="0"/>
        <v>516596.70147063921</v>
      </c>
      <c r="X20" s="222"/>
      <c r="Y20" s="222">
        <f t="shared" si="0"/>
        <v>534677.58602211159</v>
      </c>
      <c r="Z20" s="222"/>
      <c r="AA20" s="222">
        <f t="shared" si="0"/>
        <v>553391.30153288541</v>
      </c>
      <c r="AB20" s="222"/>
      <c r="AC20" s="222">
        <f t="shared" si="0"/>
        <v>572759.99708653637</v>
      </c>
      <c r="AD20" s="222"/>
      <c r="AE20" s="222">
        <f t="shared" si="0"/>
        <v>592806.59698456514</v>
      </c>
      <c r="AF20" s="222"/>
      <c r="AG20" s="222">
        <f t="shared" si="0"/>
        <v>613554.8278790249</v>
      </c>
    </row>
    <row r="21" spans="1:33" s="210" customFormat="1" ht="14.25">
      <c r="A21" s="226" t="s">
        <v>2758</v>
      </c>
      <c r="B21" s="226"/>
      <c r="C21" s="233"/>
      <c r="E21" s="232">
        <f>Application!W879</f>
        <v>28400</v>
      </c>
      <c r="F21" s="222"/>
      <c r="G21" s="232">
        <f t="shared" si="0"/>
        <v>29393.999999999996</v>
      </c>
      <c r="H21" s="222"/>
      <c r="I21" s="232">
        <f t="shared" si="0"/>
        <v>30422.789999999994</v>
      </c>
      <c r="J21" s="222"/>
      <c r="K21" s="232">
        <f t="shared" si="0"/>
        <v>31487.58764999999</v>
      </c>
      <c r="L21" s="222"/>
      <c r="M21" s="232">
        <f t="shared" si="0"/>
        <v>32589.653217749987</v>
      </c>
      <c r="N21" s="222"/>
      <c r="O21" s="232">
        <f t="shared" si="0"/>
        <v>33730.291080371237</v>
      </c>
      <c r="P21" s="222"/>
      <c r="Q21" s="232">
        <f t="shared" si="0"/>
        <v>34910.851268184226</v>
      </c>
      <c r="R21" s="222"/>
      <c r="S21" s="232">
        <f t="shared" si="0"/>
        <v>36132.731062570674</v>
      </c>
      <c r="T21" s="222"/>
      <c r="U21" s="232">
        <f t="shared" si="0"/>
        <v>37397.376649760648</v>
      </c>
      <c r="V21" s="222"/>
      <c r="W21" s="232">
        <f t="shared" si="0"/>
        <v>38706.284832502271</v>
      </c>
      <c r="X21" s="222"/>
      <c r="Y21" s="232">
        <f t="shared" si="0"/>
        <v>40061.00480163985</v>
      </c>
      <c r="Z21" s="222"/>
      <c r="AA21" s="232">
        <f t="shared" si="0"/>
        <v>41463.139969697244</v>
      </c>
      <c r="AB21" s="222"/>
      <c r="AC21" s="232">
        <f t="shared" si="0"/>
        <v>42914.349868636644</v>
      </c>
      <c r="AD21" s="222"/>
      <c r="AE21" s="232">
        <f t="shared" si="0"/>
        <v>44416.35211403892</v>
      </c>
      <c r="AF21" s="222"/>
      <c r="AG21" s="232">
        <f t="shared" si="0"/>
        <v>45970.924438030277</v>
      </c>
    </row>
    <row r="22" spans="1:33" s="223" customFormat="1" ht="15">
      <c r="A22" s="223" t="s">
        <v>843</v>
      </c>
      <c r="C22" s="233"/>
      <c r="E22" s="223">
        <f>SUM(E15:E21)</f>
        <v>1418825</v>
      </c>
      <c r="G22" s="223">
        <f>SUM(G15:G21)</f>
        <v>1468483.8749999998</v>
      </c>
      <c r="I22" s="223">
        <f>SUM(I15:I21)</f>
        <v>1519880.8106249997</v>
      </c>
      <c r="K22" s="223">
        <f>SUM(K15:K21)</f>
        <v>1573076.6389968744</v>
      </c>
      <c r="M22" s="223">
        <f>SUM(M15:M21)</f>
        <v>1628134.321361765</v>
      </c>
      <c r="O22" s="223">
        <f>SUM(O15:O21)</f>
        <v>1685119.0226094269</v>
      </c>
      <c r="Q22" s="223">
        <f>SUM(Q15:Q21)</f>
        <v>1744098.1884007563</v>
      </c>
      <c r="S22" s="223">
        <f>SUM(S15:S21)</f>
        <v>1805141.624994783</v>
      </c>
      <c r="U22" s="223">
        <f>SUM(U15:U21)</f>
        <v>1868321.5818695999</v>
      </c>
      <c r="W22" s="223">
        <f>SUM(W15:W21)</f>
        <v>1933712.8372350358</v>
      </c>
      <c r="Y22" s="223">
        <f>SUM(Y15:Y21)</f>
        <v>2001392.7865382622</v>
      </c>
      <c r="AA22" s="223">
        <f>SUM(AA15:AA21)</f>
        <v>2071441.5340671013</v>
      </c>
      <c r="AC22" s="223">
        <f>SUM(AC15:AC21)</f>
        <v>2143941.9877594495</v>
      </c>
      <c r="AE22" s="223">
        <f>SUM(AE15:AE21)</f>
        <v>2218979.9573310302</v>
      </c>
      <c r="AG22" s="223">
        <f>SUM(AG15:AG21)</f>
        <v>2296644.2558376165</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105546</v>
      </c>
      <c r="F27" s="222"/>
      <c r="G27" s="222">
        <f>E27*$C$27</f>
        <v>109240.10999999999</v>
      </c>
      <c r="H27" s="222"/>
      <c r="I27" s="222">
        <f>G27*$C$27</f>
        <v>113063.51384999997</v>
      </c>
      <c r="J27" s="222"/>
      <c r="K27" s="222">
        <f>I27*$C$27</f>
        <v>117020.73683474996</v>
      </c>
      <c r="L27" s="222"/>
      <c r="M27" s="222">
        <f>K27*$C$27</f>
        <v>121116.4626239662</v>
      </c>
      <c r="N27" s="222"/>
      <c r="O27" s="222">
        <f>M27*$C$27</f>
        <v>125355.538815805</v>
      </c>
      <c r="P27" s="222"/>
      <c r="Q27" s="222">
        <f>O27*$C$27</f>
        <v>129742.98267435817</v>
      </c>
      <c r="R27" s="222"/>
      <c r="S27" s="222">
        <f>Q27*$C$27</f>
        <v>134283.9870679607</v>
      </c>
      <c r="T27" s="222"/>
      <c r="U27" s="222">
        <f>S27*$C$27</f>
        <v>138983.92661533933</v>
      </c>
      <c r="V27" s="222"/>
      <c r="W27" s="222">
        <f>U27*$C$27</f>
        <v>143848.3640468762</v>
      </c>
      <c r="X27" s="222"/>
      <c r="Y27" s="222">
        <f>W27*$C$27</f>
        <v>148883.05678851687</v>
      </c>
      <c r="Z27" s="222"/>
      <c r="AA27" s="222">
        <f>Y27*$C$27</f>
        <v>154093.96377611495</v>
      </c>
      <c r="AB27" s="222"/>
      <c r="AC27" s="222">
        <f>AA27*$C$27</f>
        <v>159487.25250827897</v>
      </c>
      <c r="AD27" s="222"/>
      <c r="AE27" s="222">
        <f>AC27*$C$27</f>
        <v>165069.30634606871</v>
      </c>
      <c r="AF27" s="222"/>
      <c r="AG27" s="222">
        <f>AE27*$C$27</f>
        <v>170846.7320681811</v>
      </c>
    </row>
    <row r="28" spans="1:33" s="210" customFormat="1" ht="14.25">
      <c r="A28" s="210" t="s">
        <v>846</v>
      </c>
      <c r="C28" s="237"/>
      <c r="E28" s="222">
        <f>Application!AC889</f>
        <v>72500</v>
      </c>
      <c r="F28" s="222"/>
      <c r="G28" s="222">
        <f>$E$28</f>
        <v>72500</v>
      </c>
      <c r="H28" s="222"/>
      <c r="I28" s="222">
        <f>$E$28</f>
        <v>72500</v>
      </c>
      <c r="J28" s="222"/>
      <c r="K28" s="222">
        <f>$E$28</f>
        <v>72500</v>
      </c>
      <c r="L28" s="222"/>
      <c r="M28" s="222">
        <f>$E$28</f>
        <v>72500</v>
      </c>
      <c r="N28" s="222"/>
      <c r="O28" s="222">
        <f>$E$28</f>
        <v>72500</v>
      </c>
      <c r="P28" s="222"/>
      <c r="Q28" s="222">
        <f>$E$28</f>
        <v>72500</v>
      </c>
      <c r="R28" s="222"/>
      <c r="S28" s="222">
        <f>$E$28</f>
        <v>72500</v>
      </c>
      <c r="T28" s="222"/>
      <c r="U28" s="222">
        <f>$E$28</f>
        <v>72500</v>
      </c>
      <c r="V28" s="222"/>
      <c r="W28" s="222">
        <f>$E$28</f>
        <v>72500</v>
      </c>
      <c r="X28" s="222"/>
      <c r="Y28" s="222">
        <f>$E$28</f>
        <v>72500</v>
      </c>
      <c r="Z28" s="222"/>
      <c r="AA28" s="222">
        <f>$E$28</f>
        <v>72500</v>
      </c>
      <c r="AB28" s="222"/>
      <c r="AC28" s="222">
        <f>$E$28</f>
        <v>72500</v>
      </c>
      <c r="AD28" s="222"/>
      <c r="AE28" s="222">
        <f>$E$28</f>
        <v>72500</v>
      </c>
      <c r="AF28" s="222"/>
      <c r="AG28" s="222">
        <f>$E$28</f>
        <v>72500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10676</v>
      </c>
      <c r="F30" s="222"/>
      <c r="G30" s="222">
        <f>E30*$C$30</f>
        <v>10889.52</v>
      </c>
      <c r="H30" s="222"/>
      <c r="I30" s="222">
        <f>G30*$C$30</f>
        <v>11107.3104</v>
      </c>
      <c r="J30" s="222"/>
      <c r="K30" s="222">
        <f>I30*$C$30</f>
        <v>11329.456608</v>
      </c>
      <c r="L30" s="222"/>
      <c r="M30" s="222">
        <f>K30*$C$30</f>
        <v>11556.045740160002</v>
      </c>
      <c r="N30" s="222"/>
      <c r="O30" s="222">
        <f>M30*$C$30</f>
        <v>11787.166654963201</v>
      </c>
      <c r="P30" s="222"/>
      <c r="Q30" s="222">
        <f>O30*$C$30</f>
        <v>12022.909988062465</v>
      </c>
      <c r="R30" s="222"/>
      <c r="S30" s="222">
        <f>Q30*$C$30</f>
        <v>12263.368187823715</v>
      </c>
      <c r="T30" s="222"/>
      <c r="U30" s="222">
        <f>S30*$C$30</f>
        <v>12508.63555158019</v>
      </c>
      <c r="V30" s="222"/>
      <c r="W30" s="222">
        <f>U30*$C$30</f>
        <v>12758.808262611794</v>
      </c>
      <c r="X30" s="222"/>
      <c r="Y30" s="222">
        <f>W30*$C$30</f>
        <v>13013.98442786403</v>
      </c>
      <c r="Z30" s="222"/>
      <c r="AA30" s="222">
        <f>Y30*$C$30</f>
        <v>13274.264116421311</v>
      </c>
      <c r="AB30" s="222"/>
      <c r="AC30" s="222">
        <f>AA30*$C$30</f>
        <v>13539.749398749738</v>
      </c>
      <c r="AD30" s="222"/>
      <c r="AE30" s="222">
        <f>AC30*$C$30</f>
        <v>13810.544386724734</v>
      </c>
      <c r="AF30" s="222"/>
      <c r="AG30" s="222">
        <f>AE30*$C$30</f>
        <v>14086.755274459229</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 Issuer Fees</v>
      </c>
      <c r="C32" s="316">
        <v>1</v>
      </c>
      <c r="E32" s="222">
        <f>Application!AC894</f>
        <v>9129</v>
      </c>
      <c r="F32" s="222"/>
      <c r="G32" s="222">
        <f>E32*$C$32</f>
        <v>9129</v>
      </c>
      <c r="H32" s="222"/>
      <c r="I32" s="222">
        <f>G32*$C$32</f>
        <v>9129</v>
      </c>
      <c r="J32" s="222"/>
      <c r="K32" s="222">
        <f>I32*$C$32</f>
        <v>9129</v>
      </c>
      <c r="L32" s="222"/>
      <c r="M32" s="222">
        <f>K32*$C$32</f>
        <v>9129</v>
      </c>
      <c r="N32" s="222"/>
      <c r="O32" s="222">
        <f>M32*$C$32</f>
        <v>9129</v>
      </c>
      <c r="P32" s="222"/>
      <c r="Q32" s="222">
        <f>O32*$C$32</f>
        <v>9129</v>
      </c>
      <c r="R32" s="222"/>
      <c r="S32" s="222">
        <f>Q32*$C$32</f>
        <v>9129</v>
      </c>
      <c r="T32" s="222"/>
      <c r="U32" s="222">
        <f>S32*$C$32</f>
        <v>9129</v>
      </c>
      <c r="V32" s="222"/>
      <c r="W32" s="222">
        <f>U32*$C$32</f>
        <v>9129</v>
      </c>
      <c r="X32" s="222"/>
      <c r="Y32" s="222">
        <f>W32*$C$32</f>
        <v>9129</v>
      </c>
      <c r="Z32" s="222"/>
      <c r="AA32" s="222">
        <f>Y32*$C$32</f>
        <v>9129</v>
      </c>
      <c r="AB32" s="222"/>
      <c r="AC32" s="222">
        <f>AA32*$C$32</f>
        <v>9129</v>
      </c>
      <c r="AD32" s="222"/>
      <c r="AE32" s="222">
        <f>AC32*$C$32</f>
        <v>9129</v>
      </c>
      <c r="AF32" s="222"/>
      <c r="AG32" s="222">
        <f>AE32*$C$32</f>
        <v>9129</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1616676</v>
      </c>
      <c r="G35" s="223">
        <f>SUM(G22:G33)</f>
        <v>1670242.5049999999</v>
      </c>
      <c r="I35" s="223">
        <f>SUM(I22:I33)</f>
        <v>1725680.6348749998</v>
      </c>
      <c r="K35" s="223">
        <f>SUM(K22:K33)</f>
        <v>1783055.8324396245</v>
      </c>
      <c r="M35" s="223">
        <f>SUM(M22:M33)</f>
        <v>1842435.8297258911</v>
      </c>
      <c r="O35" s="223">
        <f>SUM(O22:O33)</f>
        <v>1903890.7280801951</v>
      </c>
      <c r="Q35" s="223">
        <f>SUM(Q22:Q33)</f>
        <v>1967493.081063177</v>
      </c>
      <c r="S35" s="223">
        <f>SUM(S22:S33)</f>
        <v>2033317.9802505674</v>
      </c>
      <c r="U35" s="223">
        <f>SUM(U22:U33)</f>
        <v>2101443.1440365193</v>
      </c>
      <c r="W35" s="223">
        <f>SUM(W22:W33)</f>
        <v>2171949.0095445239</v>
      </c>
      <c r="Y35" s="223">
        <f>SUM(Y22:Y33)</f>
        <v>2244918.8277546433</v>
      </c>
      <c r="AA35" s="223">
        <f>SUM(AA22:AA33)</f>
        <v>2320438.7619596375</v>
      </c>
      <c r="AC35" s="223">
        <f>SUM(AC22:AC33)</f>
        <v>2398597.9896664782</v>
      </c>
      <c r="AE35" s="223">
        <f>SUM(AE22:AE33)</f>
        <v>2479488.8080638237</v>
      </c>
      <c r="AG35" s="223">
        <f>SUM(AG22:AG33)</f>
        <v>2563206.7431802568</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1541008.1</v>
      </c>
      <c r="G37" s="223">
        <f>G11-G35</f>
        <v>1566383.6975000002</v>
      </c>
      <c r="I37" s="223">
        <f>I11-I35</f>
        <v>1591861.2226874998</v>
      </c>
      <c r="K37" s="223">
        <f>K11-K35</f>
        <v>1617424.5715619375</v>
      </c>
      <c r="M37" s="223">
        <f>M11-M35</f>
        <v>1643056.5843757091</v>
      </c>
      <c r="O37" s="223">
        <f>O11-O35</f>
        <v>1668738.9963739447</v>
      </c>
      <c r="Q37" s="223">
        <f>Q11-Q35</f>
        <v>1694452.3865023167</v>
      </c>
      <c r="S37" s="223">
        <f>S11-S35</f>
        <v>1720176.124004063</v>
      </c>
      <c r="U37" s="223">
        <f>U11-U35</f>
        <v>1745888.312824476</v>
      </c>
      <c r="W37" s="223">
        <f>W11-W35</f>
        <v>1771565.7337379963</v>
      </c>
      <c r="Y37" s="223">
        <f>Y11-Y35</f>
        <v>1797183.7841099389</v>
      </c>
      <c r="AA37" s="223">
        <f>AA11-AA35</f>
        <v>1822716.4152015587</v>
      </c>
      <c r="AC37" s="223">
        <f>AC11-AC35</f>
        <v>1848136.0669237482</v>
      </c>
      <c r="AE37" s="223">
        <f>AE11-AE35</f>
        <v>1873413.5999411568</v>
      </c>
      <c r="AG37" s="223">
        <f>AG11-AG35</f>
        <v>1898518.2250248496</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 xml:space="preserve">JP Morgan Chase Permanent Loan </v>
      </c>
      <c r="B40" s="226"/>
      <c r="C40" s="220"/>
      <c r="E40" s="222">
        <f>Application!AF627</f>
        <v>1338758.6030127513</v>
      </c>
      <c r="F40" s="222"/>
      <c r="G40" s="222">
        <f>$E$40</f>
        <v>1338758.6030127513</v>
      </c>
      <c r="H40" s="222"/>
      <c r="I40" s="222">
        <f>$E$40</f>
        <v>1338758.6030127513</v>
      </c>
      <c r="J40" s="222"/>
      <c r="K40" s="222">
        <f>$E$40</f>
        <v>1338758.6030127513</v>
      </c>
      <c r="L40" s="222"/>
      <c r="M40" s="222">
        <f>$E$40</f>
        <v>1338758.6030127513</v>
      </c>
      <c r="N40" s="222"/>
      <c r="O40" s="222">
        <f>$E$40</f>
        <v>1338758.6030127513</v>
      </c>
      <c r="P40" s="222"/>
      <c r="Q40" s="222">
        <f>$E$40</f>
        <v>1338758.6030127513</v>
      </c>
      <c r="R40" s="222"/>
      <c r="S40" s="222">
        <f>$E$40</f>
        <v>1338758.6030127513</v>
      </c>
      <c r="T40" s="222"/>
      <c r="U40" s="222">
        <f>$E$40</f>
        <v>1338758.6030127513</v>
      </c>
      <c r="V40" s="222"/>
      <c r="W40" s="222">
        <f>$E$40</f>
        <v>1338758.6030127513</v>
      </c>
      <c r="X40" s="222"/>
      <c r="Y40" s="222">
        <f>$E$40</f>
        <v>1338758.6030127513</v>
      </c>
      <c r="Z40" s="222"/>
      <c r="AA40" s="222">
        <f>$E$40</f>
        <v>1338758.6030127513</v>
      </c>
      <c r="AB40" s="222"/>
      <c r="AC40" s="222">
        <f>$E$40</f>
        <v>1338758.6030127513</v>
      </c>
      <c r="AD40" s="222"/>
      <c r="AE40" s="222">
        <f>$E$40</f>
        <v>1338758.6030127513</v>
      </c>
      <c r="AF40" s="222"/>
      <c r="AG40" s="222">
        <f>$E$40</f>
        <v>1338758.6030127513</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1338758.6030127513</v>
      </c>
      <c r="G43" s="223">
        <f>SUM(G40:G42)</f>
        <v>1338758.6030127513</v>
      </c>
      <c r="I43" s="223">
        <f>SUM(I40:I42)</f>
        <v>1338758.6030127513</v>
      </c>
      <c r="K43" s="223">
        <f>SUM(K40:K42)</f>
        <v>1338758.6030127513</v>
      </c>
      <c r="M43" s="223">
        <f>SUM(M40:M42)</f>
        <v>1338758.6030127513</v>
      </c>
      <c r="O43" s="223">
        <f>SUM(O40:O42)</f>
        <v>1338758.6030127513</v>
      </c>
      <c r="Q43" s="223">
        <f>SUM(Q40:Q42)</f>
        <v>1338758.6030127513</v>
      </c>
      <c r="S43" s="223">
        <f>SUM(S40:S42)</f>
        <v>1338758.6030127513</v>
      </c>
      <c r="U43" s="223">
        <f>SUM(U40:U42)</f>
        <v>1338758.6030127513</v>
      </c>
      <c r="W43" s="223">
        <f>SUM(W40:W42)</f>
        <v>1338758.6030127513</v>
      </c>
      <c r="Y43" s="223">
        <f>SUM(Y40:Y42)</f>
        <v>1338758.6030127513</v>
      </c>
      <c r="AA43" s="223">
        <f>SUM(AA40:AA42)</f>
        <v>1338758.6030127513</v>
      </c>
      <c r="AC43" s="223">
        <f>SUM(AC40:AC42)</f>
        <v>1338758.6030127513</v>
      </c>
      <c r="AE43" s="223">
        <f>SUM(AE40:AE42)</f>
        <v>1338758.6030127513</v>
      </c>
      <c r="AG43" s="223">
        <f>SUM(AG40:AG42)</f>
        <v>1338758.6030127513</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202249.49698724877</v>
      </c>
      <c r="G45" s="223">
        <f>G37-G43</f>
        <v>227625.09448724892</v>
      </c>
      <c r="I45" s="223">
        <f>I37-I43</f>
        <v>253102.61967474851</v>
      </c>
      <c r="K45" s="223">
        <f>K37-K43</f>
        <v>278665.96854918613</v>
      </c>
      <c r="M45" s="223">
        <f>M37-M43</f>
        <v>304297.98136295774</v>
      </c>
      <c r="O45" s="223">
        <f>O37-O43</f>
        <v>329980.39336119336</v>
      </c>
      <c r="Q45" s="223">
        <f>Q37-Q43</f>
        <v>355693.78348956537</v>
      </c>
      <c r="S45" s="223">
        <f>S37-S43</f>
        <v>381417.52099131164</v>
      </c>
      <c r="U45" s="223">
        <f>U37-U43</f>
        <v>407129.70981172472</v>
      </c>
      <c r="W45" s="223">
        <f>W37-W43</f>
        <v>432807.13072524499</v>
      </c>
      <c r="Y45" s="223">
        <f>Y37-Y43</f>
        <v>458425.18109718757</v>
      </c>
      <c r="AA45" s="223">
        <f>AA37-AA43</f>
        <v>483957.81218880741</v>
      </c>
      <c r="AC45" s="223">
        <f>AC37-AC43</f>
        <v>509377.46391099691</v>
      </c>
      <c r="AE45" s="223">
        <f>AE37-AE43</f>
        <v>534654.99692840548</v>
      </c>
      <c r="AG45" s="223">
        <f>AG37-AG43</f>
        <v>559759.62201209832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6.0847448969922717E-2</v>
      </c>
      <c r="G47" s="227">
        <f>G45/(G4+G6+G8)</f>
        <v>6.6811496364905451E-2</v>
      </c>
      <c r="I47" s="227">
        <f>I45/(I4+I6+I8)</f>
        <v>7.247760511081397E-2</v>
      </c>
      <c r="K47" s="227">
        <f>K45/(K4+K6+K8)</f>
        <v>7.7851549978114568E-2</v>
      </c>
      <c r="M47" s="227">
        <f>M45/(M4+M6+M8)</f>
        <v>8.2938950354686736E-2</v>
      </c>
      <c r="O47" s="227">
        <f>O45/(O4+O6+O8)</f>
        <v>8.7745273893736722E-2</v>
      </c>
      <c r="Q47" s="227">
        <f>Q45/(Q4+Q6+Q8)</f>
        <v>9.2275840071352352E-2</v>
      </c>
      <c r="S47" s="227">
        <f>S45/(S4+S6+S8)</f>
        <v>9.6535823655889544E-2</v>
      </c>
      <c r="U47" s="227">
        <f>U45/(U4+U6+U8)</f>
        <v>0.10053025809133258</v>
      </c>
      <c r="W47" s="227">
        <f>W45/(W4+W6+W8)</f>
        <v>0.10426403879670396</v>
      </c>
      <c r="Y47" s="227">
        <f>Y45/(Y4+Y6+Y8)</f>
        <v>0.10774192638356463</v>
      </c>
      <c r="AA47" s="227">
        <f>AA45/(AA4+AA6+AA8)</f>
        <v>0.11096854979358629</v>
      </c>
      <c r="AC47" s="227">
        <f>AC45/(AC4+AC6+AC8)</f>
        <v>0.11394840935812811</v>
      </c>
      <c r="AE47" s="227">
        <f>AE45/(AE4+AE6+AE8)</f>
        <v>0.11668587978171001</v>
      </c>
      <c r="AG47" s="227">
        <f>AG45/(AG4+AG6+AG8)</f>
        <v>0.11918521305122451</v>
      </c>
    </row>
    <row r="48" spans="1:33" s="227" customFormat="1" ht="14.25">
      <c r="A48" s="227" t="s">
        <v>852</v>
      </c>
      <c r="C48" s="220"/>
      <c r="E48" s="227">
        <f>E45/E43</f>
        <v>0.15107241629081236</v>
      </c>
      <c r="G48" s="227">
        <f>G45/G43</f>
        <v>0.1700269891636923</v>
      </c>
      <c r="I48" s="227">
        <f>I45/I43</f>
        <v>0.18905769800856156</v>
      </c>
      <c r="K48" s="227">
        <f>K45/K43</f>
        <v>0.20815251377064869</v>
      </c>
      <c r="M48" s="227">
        <f>M45/M43</f>
        <v>0.2272986187936821</v>
      </c>
      <c r="O48" s="227">
        <f>O45/O43</f>
        <v>0.24648237002444151</v>
      </c>
      <c r="Q48" s="227">
        <f>Q45/Q43</f>
        <v>0.26568926069950899</v>
      </c>
      <c r="S48" s="227">
        <f>S45/S43</f>
        <v>0.28490388045534654</v>
      </c>
      <c r="U48" s="227">
        <f>U45/U43</f>
        <v>0.30410987380063687</v>
      </c>
      <c r="W48" s="227">
        <f>W45/W43</f>
        <v>0.32328989688749932</v>
      </c>
      <c r="Y48" s="227">
        <f>Y45/Y43</f>
        <v>0.34242557251586991</v>
      </c>
      <c r="AA48" s="227">
        <f>AA45/AA43</f>
        <v>0.361497443302852</v>
      </c>
      <c r="AC48" s="227">
        <f>AC45/AC43</f>
        <v>0.38048492294629549</v>
      </c>
      <c r="AE48" s="227">
        <f>AE45/AE43</f>
        <v>0.39936624550924588</v>
      </c>
      <c r="AG48" s="227">
        <f>AG45/AG43</f>
        <v>0.41811841264915983</v>
      </c>
    </row>
    <row r="49" spans="1:34" s="228" customFormat="1" ht="14.25">
      <c r="A49" s="228" t="s">
        <v>850</v>
      </c>
      <c r="C49" s="229"/>
      <c r="E49" s="228">
        <f>E37/E43</f>
        <v>1.1510724162908124</v>
      </c>
      <c r="G49" s="228">
        <f>G37/G43</f>
        <v>1.1700269891636923</v>
      </c>
      <c r="I49" s="228">
        <f>I37/I43</f>
        <v>1.1890576980085616</v>
      </c>
      <c r="K49" s="228">
        <f>K37/K43</f>
        <v>1.2081525137706488</v>
      </c>
      <c r="M49" s="228">
        <f>M37/M43</f>
        <v>1.2272986187936821</v>
      </c>
      <c r="O49" s="228">
        <f>O37/O43</f>
        <v>1.2464823700244414</v>
      </c>
      <c r="Q49" s="228">
        <f>Q37/Q43</f>
        <v>1.2656892606995089</v>
      </c>
      <c r="S49" s="228">
        <f>S37/S43</f>
        <v>1.2849038804553465</v>
      </c>
      <c r="U49" s="228">
        <f>U37/U43</f>
        <v>1.3041098738006369</v>
      </c>
      <c r="W49" s="228">
        <f>W37/W43</f>
        <v>1.3232898968874993</v>
      </c>
      <c r="Y49" s="228">
        <f>Y37/Y43</f>
        <v>1.3424255725158698</v>
      </c>
      <c r="AA49" s="228">
        <f>AA37/AA43</f>
        <v>1.3614974433028519</v>
      </c>
      <c r="AC49" s="228">
        <f>AC37/AC43</f>
        <v>1.3804849229462954</v>
      </c>
      <c r="AE49" s="228">
        <f>AE37/AE43</f>
        <v>1.3993662455092459</v>
      </c>
      <c r="AG49" s="228">
        <f>AG37/AG43</f>
        <v>1.4181184126491599</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1183</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1.03</v>
      </c>
      <c r="E53" s="964">
        <v>25000</v>
      </c>
      <c r="G53" s="960">
        <f>E53*$C$53</f>
        <v>25750</v>
      </c>
      <c r="I53" s="960">
        <f>G53*$C$53</f>
        <v>26522.5</v>
      </c>
      <c r="K53" s="960">
        <f>I53*$C$53</f>
        <v>27318.174999999999</v>
      </c>
      <c r="M53" s="960">
        <f>K53*$C$53</f>
        <v>28137.720249999998</v>
      </c>
      <c r="O53" s="960">
        <f>M53*$C$53</f>
        <v>28981.851857499998</v>
      </c>
      <c r="Q53" s="960">
        <f>O53*$C$53</f>
        <v>29851.307413225</v>
      </c>
      <c r="S53" s="960">
        <f>Q53*$C$53</f>
        <v>30746.84663562175</v>
      </c>
      <c r="U53" s="960">
        <f>S53*$C$53</f>
        <v>31669.252034690402</v>
      </c>
      <c r="W53" s="960">
        <f>U53*$C$53</f>
        <v>32619.329595731117</v>
      </c>
      <c r="Y53" s="960">
        <f>W53*$C$53</f>
        <v>33597.909483603049</v>
      </c>
      <c r="AA53" s="960">
        <f>Y53*$C$53</f>
        <v>34605.846768111143</v>
      </c>
      <c r="AC53" s="960">
        <f>AA53*$C$53</f>
        <v>35644.02217115448</v>
      </c>
      <c r="AE53" s="960">
        <f>AC53*$C$53</f>
        <v>36713.342836289114</v>
      </c>
      <c r="AG53" s="960">
        <f>AE53*$C$53</f>
        <v>37814.743121377789</v>
      </c>
    </row>
    <row r="54" spans="1:34" s="3" customFormat="1">
      <c r="A54" s="3" t="s">
        <v>855</v>
      </c>
      <c r="C54" s="958"/>
      <c r="E54" s="965">
        <v>7500</v>
      </c>
      <c r="F54" s="960"/>
      <c r="G54" s="960">
        <f t="shared" ref="G54:AG57" si="1">E54*$C$53</f>
        <v>7725</v>
      </c>
      <c r="H54" s="960"/>
      <c r="I54" s="960">
        <f t="shared" si="1"/>
        <v>7956.75</v>
      </c>
      <c r="J54" s="960"/>
      <c r="K54" s="960">
        <f t="shared" si="1"/>
        <v>8195.4524999999994</v>
      </c>
      <c r="L54" s="960"/>
      <c r="M54" s="960">
        <f t="shared" si="1"/>
        <v>8441.3160749999988</v>
      </c>
      <c r="N54" s="960"/>
      <c r="O54" s="960">
        <f t="shared" si="1"/>
        <v>8694.5555572499998</v>
      </c>
      <c r="P54" s="960"/>
      <c r="Q54" s="960">
        <f t="shared" si="1"/>
        <v>8955.3922239674994</v>
      </c>
      <c r="R54" s="960"/>
      <c r="S54" s="960">
        <f t="shared" si="1"/>
        <v>9224.0539906865251</v>
      </c>
      <c r="T54" s="960"/>
      <c r="U54" s="960">
        <f t="shared" si="1"/>
        <v>9500.7756104071213</v>
      </c>
      <c r="V54" s="960"/>
      <c r="W54" s="960">
        <f t="shared" si="1"/>
        <v>9785.7988787193353</v>
      </c>
      <c r="X54" s="960"/>
      <c r="Y54" s="960">
        <f t="shared" si="1"/>
        <v>10079.372845080916</v>
      </c>
      <c r="Z54" s="960"/>
      <c r="AA54" s="960">
        <f t="shared" si="1"/>
        <v>10381.754030433343</v>
      </c>
      <c r="AB54" s="960"/>
      <c r="AC54" s="960">
        <f t="shared" si="1"/>
        <v>10693.206651346343</v>
      </c>
      <c r="AD54" s="960"/>
      <c r="AE54" s="960">
        <f t="shared" si="1"/>
        <v>11014.002850886734</v>
      </c>
      <c r="AF54" s="960"/>
      <c r="AG54" s="960">
        <f t="shared" si="1"/>
        <v>11344.422936413337</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32500</v>
      </c>
      <c r="F58" s="960"/>
      <c r="G58" s="960">
        <f>SUM(G53:G57)</f>
        <v>33475</v>
      </c>
      <c r="H58" s="960"/>
      <c r="I58" s="960">
        <f>SUM(I53:I57)</f>
        <v>34479.25</v>
      </c>
      <c r="J58" s="960"/>
      <c r="K58" s="960">
        <f>SUM(K53:K57)</f>
        <v>35513.627500000002</v>
      </c>
      <c r="L58" s="960"/>
      <c r="M58" s="960">
        <f>SUM(M53:M57)</f>
        <v>36579.036324999994</v>
      </c>
      <c r="N58" s="960"/>
      <c r="O58" s="960">
        <f>SUM(O53:O57)</f>
        <v>37676.40741475</v>
      </c>
      <c r="P58" s="960"/>
      <c r="Q58" s="960">
        <f>SUM(Q53:Q57)</f>
        <v>38806.699637192498</v>
      </c>
      <c r="R58" s="960"/>
      <c r="S58" s="960">
        <f>SUM(S53:S57)</f>
        <v>39970.900626308277</v>
      </c>
      <c r="T58" s="960"/>
      <c r="U58" s="960">
        <f>SUM(U53:U57)</f>
        <v>41170.027645097522</v>
      </c>
      <c r="V58" s="960"/>
      <c r="W58" s="960">
        <f>SUM(W53:W57)</f>
        <v>42405.128474450452</v>
      </c>
      <c r="X58" s="960"/>
      <c r="Y58" s="960">
        <f>SUM(Y53:Y57)</f>
        <v>43677.282328683963</v>
      </c>
      <c r="Z58" s="960"/>
      <c r="AA58" s="960">
        <f>SUM(AA53:AA57)</f>
        <v>44987.600798544488</v>
      </c>
      <c r="AB58" s="960"/>
      <c r="AC58" s="960">
        <f>SUM(AC53:AC57)</f>
        <v>46337.228822500823</v>
      </c>
      <c r="AD58" s="960"/>
      <c r="AE58" s="960">
        <f>SUM(AE53:AE57)</f>
        <v>47727.345687175846</v>
      </c>
      <c r="AF58" s="960"/>
      <c r="AG58" s="960">
        <f>SUM(AG53:AG57)</f>
        <v>49159.166057791124</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169749.49698724877</v>
      </c>
      <c r="G60" s="962">
        <f>G45-G58</f>
        <v>194150.09448724892</v>
      </c>
      <c r="I60" s="962">
        <f>I45-I58</f>
        <v>218623.36967474851</v>
      </c>
      <c r="K60" s="962">
        <f>K45-K58</f>
        <v>243152.34104918613</v>
      </c>
      <c r="M60" s="962">
        <f>M45-M58</f>
        <v>267718.94503795775</v>
      </c>
      <c r="O60" s="962">
        <f>O45-O58</f>
        <v>292303.98594644334</v>
      </c>
      <c r="Q60" s="962">
        <f>Q45-Q58</f>
        <v>316887.08385237289</v>
      </c>
      <c r="S60" s="962">
        <f>S45-S58</f>
        <v>341446.62036500336</v>
      </c>
      <c r="U60" s="962">
        <f>U45-U58</f>
        <v>365959.6821666272</v>
      </c>
      <c r="W60" s="962">
        <f>W45-W58</f>
        <v>390402.00225079455</v>
      </c>
      <c r="Y60" s="962">
        <f>Y45-Y58</f>
        <v>414747.89876850363</v>
      </c>
      <c r="AA60" s="962">
        <f>AA45-AA58</f>
        <v>438970.21139026294</v>
      </c>
      <c r="AC60" s="962">
        <f>AC45-AC58</f>
        <v>463040.23508849612</v>
      </c>
      <c r="AE60" s="962">
        <f>AE45-AE58</f>
        <v>486927.65124122961</v>
      </c>
      <c r="AG60" s="962">
        <f>AG45-AG58</f>
        <v>510600.45595430722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1</v>
      </c>
      <c r="E62" s="964">
        <f>MIN(Application!AO631,E60*$C$62)</f>
        <v>169749.49698724877</v>
      </c>
      <c r="G62" s="962">
        <f>MIN(Application!$AO$631-SUM($E$62:F$62),G60*$C$62)</f>
        <v>194150.09448724892</v>
      </c>
      <c r="I62" s="962">
        <f>MIN(Application!$AO$631-SUM($E$62:H$62),I60*$C$62)</f>
        <v>218623.36967474851</v>
      </c>
      <c r="K62" s="962">
        <f>MIN(Application!$AO$631-SUM($E$62:J$62),K60*$C$62)</f>
        <v>243152.34104918613</v>
      </c>
      <c r="M62" s="962">
        <f>MIN(Application!$AO$631-SUM($E$62:L$62),M60*$C$62)</f>
        <v>267718.94503795775</v>
      </c>
      <c r="O62" s="962">
        <f>MIN(Application!$AO$631-SUM($E$62:N$62),O60*$C$62)</f>
        <v>292303.98594644334</v>
      </c>
      <c r="Q62" s="962">
        <f>MIN(Application!$AO$631-SUM($E$62:P$62),Q60*$C$62)</f>
        <v>316887.08385237289</v>
      </c>
      <c r="S62" s="962">
        <f>MIN(Application!$AO$631-SUM($E$62:R$62),S60*$C$62)</f>
        <v>341446.62036500336</v>
      </c>
      <c r="U62" s="962">
        <f>MIN(Application!$AO$631-SUM($E$62:T$62),U60*$C$62)</f>
        <v>365959.6821666272</v>
      </c>
      <c r="W62" s="962">
        <f>MIN(Application!$AO$631-SUM($E$62:V$62),W60*$C$62)</f>
        <v>27502.38043316314</v>
      </c>
      <c r="Y62" s="962">
        <f>MIN(Application!$AO$631-SUM($E$62:X$62),Y60*$C$62)</f>
        <v>0</v>
      </c>
      <c r="AA62" s="962">
        <f>MIN(Application!$AO$631-SUM($E$62:Z$62),AA60*$C$62)</f>
        <v>0</v>
      </c>
      <c r="AC62" s="962">
        <f>MIN(Application!$AO$631-SUM($E$62:AB$62),AC60*$C$62)</f>
        <v>0</v>
      </c>
      <c r="AE62" s="962">
        <f>MIN(Application!$AO$631-SUM($E$62:AD$62),AE60*$C$62)</f>
        <v>0</v>
      </c>
      <c r="AG62" s="962">
        <f>MIN(Application!$AO$631-SUM($E$62:AF$62),AG60*$C$62)</f>
        <v>0</v>
      </c>
    </row>
    <row r="63" spans="1:34" s="962" customFormat="1">
      <c r="A63" s="2689" t="s">
        <v>1183</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tr">
        <f>Application!C628</f>
        <v>Seller Carryback Loan</v>
      </c>
      <c r="B66" s="964"/>
      <c r="C66" s="963"/>
      <c r="E66" s="964">
        <f>E60-E62</f>
        <v>0</v>
      </c>
      <c r="G66" s="964">
        <f t="shared" ref="G66" si="2">G60-G62</f>
        <v>0</v>
      </c>
      <c r="I66" s="964">
        <f t="shared" ref="I66" si="3">I60-I62</f>
        <v>0</v>
      </c>
      <c r="K66" s="964">
        <f t="shared" ref="K66" si="4">K60-K62</f>
        <v>0</v>
      </c>
      <c r="M66" s="964">
        <f t="shared" ref="M66" si="5">M60-M62</f>
        <v>0</v>
      </c>
      <c r="O66" s="964">
        <f t="shared" ref="O66" si="6">O60-O62</f>
        <v>0</v>
      </c>
      <c r="Q66" s="964">
        <f t="shared" ref="Q66" si="7">Q60-Q62</f>
        <v>0</v>
      </c>
      <c r="S66" s="964">
        <f t="shared" ref="S66" si="8">S60-S62</f>
        <v>0</v>
      </c>
      <c r="U66" s="964">
        <f t="shared" ref="U66" si="9">U60-U62</f>
        <v>0</v>
      </c>
      <c r="W66" s="964">
        <f t="shared" ref="W66" si="10">W60-W62</f>
        <v>362899.62181763141</v>
      </c>
      <c r="Y66" s="964">
        <f t="shared" ref="Y66" si="11">Y60-Y62</f>
        <v>414747.89876850363</v>
      </c>
      <c r="AA66" s="964">
        <f t="shared" ref="AA66" si="12">AA60-AA62</f>
        <v>438970.21139026294</v>
      </c>
      <c r="AC66" s="964">
        <f t="shared" ref="AC66" si="13">AC60-AC62</f>
        <v>463040.23508849612</v>
      </c>
      <c r="AE66" s="964">
        <f t="shared" ref="AE66" si="14">AE60-AE62</f>
        <v>486927.65124122961</v>
      </c>
      <c r="AG66" s="964">
        <f t="shared" ref="AG66" si="15">AG60-AG62</f>
        <v>510600.45595430722</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16">E68*$C$66</f>
        <v>0</v>
      </c>
      <c r="I68" s="960">
        <f t="shared" si="16"/>
        <v>0</v>
      </c>
      <c r="K68" s="960">
        <f t="shared" si="16"/>
        <v>0</v>
      </c>
      <c r="M68" s="960">
        <f t="shared" si="16"/>
        <v>0</v>
      </c>
      <c r="O68" s="960">
        <f t="shared" si="16"/>
        <v>0</v>
      </c>
      <c r="Q68" s="960">
        <f t="shared" si="16"/>
        <v>0</v>
      </c>
      <c r="S68" s="960">
        <f t="shared" si="16"/>
        <v>0</v>
      </c>
      <c r="U68" s="960">
        <f t="shared" si="16"/>
        <v>0</v>
      </c>
      <c r="W68" s="960">
        <f t="shared" si="16"/>
        <v>0</v>
      </c>
      <c r="Y68" s="960">
        <f t="shared" si="16"/>
        <v>0</v>
      </c>
      <c r="AA68" s="960">
        <f t="shared" si="16"/>
        <v>0</v>
      </c>
      <c r="AC68" s="960">
        <f t="shared" si="16"/>
        <v>0</v>
      </c>
      <c r="AE68" s="960">
        <f t="shared" si="16"/>
        <v>0</v>
      </c>
      <c r="AG68" s="960">
        <f t="shared" si="16"/>
        <v>0</v>
      </c>
    </row>
    <row r="69" spans="1:34" s="960" customFormat="1">
      <c r="A69" s="965"/>
      <c r="B69" s="965"/>
      <c r="C69" s="970"/>
      <c r="E69" s="967"/>
      <c r="G69" s="968">
        <f t="shared" si="16"/>
        <v>0</v>
      </c>
      <c r="I69" s="968">
        <f t="shared" si="16"/>
        <v>0</v>
      </c>
      <c r="K69" s="968">
        <f t="shared" si="16"/>
        <v>0</v>
      </c>
      <c r="M69" s="968">
        <f t="shared" si="16"/>
        <v>0</v>
      </c>
      <c r="O69" s="968">
        <f t="shared" si="16"/>
        <v>0</v>
      </c>
      <c r="Q69" s="968">
        <f t="shared" si="16"/>
        <v>0</v>
      </c>
      <c r="S69" s="968">
        <f t="shared" si="16"/>
        <v>0</v>
      </c>
      <c r="U69" s="968">
        <f t="shared" si="16"/>
        <v>0</v>
      </c>
      <c r="W69" s="968">
        <f t="shared" si="16"/>
        <v>0</v>
      </c>
      <c r="Y69" s="968">
        <f t="shared" si="16"/>
        <v>0</v>
      </c>
      <c r="AA69" s="968">
        <f t="shared" si="16"/>
        <v>0</v>
      </c>
      <c r="AC69" s="968">
        <f t="shared" si="16"/>
        <v>0</v>
      </c>
      <c r="AE69" s="968">
        <f t="shared" si="16"/>
        <v>0</v>
      </c>
      <c r="AG69" s="968">
        <f t="shared" si="16"/>
        <v>0</v>
      </c>
    </row>
    <row r="70" spans="1:34" s="960" customFormat="1">
      <c r="A70" s="962" t="s">
        <v>853</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362899.62181763141</v>
      </c>
      <c r="Y70" s="960">
        <f>SUM(Y66:Y69)</f>
        <v>414747.89876850363</v>
      </c>
      <c r="AA70" s="960">
        <f>SUM(AA66:AA69)</f>
        <v>438970.21139026294</v>
      </c>
      <c r="AC70" s="960">
        <f>SUM(AC66:AC69)</f>
        <v>463040.23508849612</v>
      </c>
      <c r="AE70" s="960">
        <f>SUM(AE66:AE69)</f>
        <v>486927.65124122961</v>
      </c>
      <c r="AG70" s="960">
        <f>SUM(AG66:AG69)</f>
        <v>510600.45595430722</v>
      </c>
    </row>
    <row r="71" spans="1:34" s="960" customFormat="1">
      <c r="A71" s="962"/>
      <c r="C71" s="970"/>
    </row>
    <row r="72" spans="1:34" s="960" customFormat="1">
      <c r="A72" s="962" t="s">
        <v>1722</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5717000</v>
      </c>
      <c r="C5" s="266">
        <f>'Sources and Uses Budget'!$C4</f>
        <v>5717000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9063</v>
      </c>
      <c r="C7" s="266">
        <f>'Sources and Uses Budget'!$C6</f>
        <v>9063</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5726063</v>
      </c>
      <c r="C9" s="270">
        <f>SUM(C5:C8)</f>
        <v>5726063</v>
      </c>
      <c r="D9" s="270">
        <f t="shared" si="0"/>
        <v>0</v>
      </c>
      <c r="E9" s="268"/>
      <c r="F9" s="267"/>
    </row>
    <row r="10" spans="1:6" s="352" customFormat="1">
      <c r="A10" s="364" t="s">
        <v>594</v>
      </c>
      <c r="B10" s="266">
        <f>'Sources and Uses Budget'!$C9</f>
        <v>35283000</v>
      </c>
      <c r="C10" s="266">
        <f>'Sources and Uses Budget'!$C9</f>
        <v>35283000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35283000</v>
      </c>
      <c r="C12" s="270">
        <f>SUM(C10:C11)</f>
        <v>35283000</v>
      </c>
      <c r="D12" s="270">
        <f t="shared" si="0"/>
        <v>0</v>
      </c>
      <c r="E12" s="268"/>
      <c r="F12" s="267"/>
    </row>
    <row r="13" spans="1:6" s="352" customFormat="1">
      <c r="A13" s="365" t="s">
        <v>84</v>
      </c>
      <c r="B13" s="270">
        <f>SUM(B9+B12)</f>
        <v>41009063</v>
      </c>
      <c r="C13" s="270">
        <f>SUM(C9+C12)</f>
        <v>41009063</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1200000</v>
      </c>
      <c r="C18" s="266">
        <f>'Sources and Uses Budget'!$C17</f>
        <v>1200000</v>
      </c>
      <c r="D18" s="270">
        <f t="shared" si="0"/>
        <v>0</v>
      </c>
      <c r="E18" s="268"/>
      <c r="F18" s="267"/>
    </row>
    <row r="19" spans="1:6" s="352" customFormat="1">
      <c r="A19" s="145" t="s">
        <v>599</v>
      </c>
      <c r="B19" s="266">
        <f>'Sources and Uses Budget'!$C18</f>
        <v>11126884</v>
      </c>
      <c r="C19" s="266">
        <f>'Sources and Uses Budget'!$C18</f>
        <v>11126884</v>
      </c>
      <c r="D19" s="270">
        <f t="shared" si="0"/>
        <v>0</v>
      </c>
      <c r="E19" s="268"/>
      <c r="F19" s="267"/>
    </row>
    <row r="20" spans="1:6" s="352" customFormat="1">
      <c r="A20" s="145" t="s">
        <v>600</v>
      </c>
      <c r="B20" s="266">
        <f>'Sources and Uses Budget'!$C19</f>
        <v>695670</v>
      </c>
      <c r="C20" s="266">
        <f>'Sources and Uses Budget'!$C19</f>
        <v>695670</v>
      </c>
      <c r="D20" s="270">
        <f t="shared" si="0"/>
        <v>0</v>
      </c>
      <c r="E20" s="268"/>
      <c r="F20" s="267"/>
    </row>
    <row r="21" spans="1:6" s="352" customFormat="1">
      <c r="A21" s="145" t="s">
        <v>137</v>
      </c>
      <c r="B21" s="266">
        <f>'Sources and Uses Budget'!$C20</f>
        <v>347835</v>
      </c>
      <c r="C21" s="266">
        <f>'Sources and Uses Budget'!$C20</f>
        <v>347835</v>
      </c>
      <c r="D21" s="270">
        <f t="shared" si="0"/>
        <v>0</v>
      </c>
      <c r="E21" s="268"/>
      <c r="F21" s="267"/>
    </row>
    <row r="22" spans="1:6" s="352" customFormat="1">
      <c r="A22" s="145" t="s">
        <v>138</v>
      </c>
      <c r="B22" s="266">
        <f>'Sources and Uses Budget'!$C21</f>
        <v>347835</v>
      </c>
      <c r="C22" s="266">
        <f>'Sources and Uses Budget'!$C21</f>
        <v>347835</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229639</v>
      </c>
      <c r="C24" s="266">
        <f>'Sources and Uses Budget'!$C23</f>
        <v>229639</v>
      </c>
      <c r="D24" s="270">
        <f t="shared" si="0"/>
        <v>0</v>
      </c>
      <c r="E24" s="268"/>
      <c r="F24" s="267"/>
    </row>
    <row r="25" spans="1:6" s="352" customFormat="1">
      <c r="A25" s="508" t="s">
        <v>1639</v>
      </c>
      <c r="B25" s="266">
        <f>'Sources and Uses Budget'!$C24</f>
        <v>0</v>
      </c>
      <c r="C25" s="266">
        <f>'Sources and Uses Budget'!$C24</f>
        <v>0</v>
      </c>
      <c r="D25" s="270">
        <f t="shared" si="0"/>
        <v>0</v>
      </c>
      <c r="E25" s="268"/>
      <c r="F25" s="267"/>
    </row>
    <row r="26" spans="1:6" s="352" customFormat="1">
      <c r="A26" s="155" t="str">
        <f>'Sources and Uses Budget'!A25</f>
        <v>Other: (Specify) Bond</v>
      </c>
      <c r="B26" s="266">
        <f>'Sources and Uses Budget'!$C25</f>
        <v>229639</v>
      </c>
      <c r="C26" s="266">
        <f>'Sources and Uses Budget'!$C25</f>
        <v>229639</v>
      </c>
      <c r="D26" s="270">
        <f t="shared" si="0"/>
        <v>0</v>
      </c>
      <c r="E26" s="268"/>
      <c r="F26" s="267"/>
    </row>
    <row r="27" spans="1:6" s="352" customFormat="1">
      <c r="A27" s="1018" t="s">
        <v>133</v>
      </c>
      <c r="B27" s="270">
        <f>SUM(B18:B26)</f>
        <v>14177502</v>
      </c>
      <c r="C27" s="270">
        <f>SUM(C18:C26)</f>
        <v>14177502</v>
      </c>
      <c r="D27" s="270">
        <f>SUM(D18:D26)</f>
        <v>0</v>
      </c>
      <c r="E27" s="268"/>
      <c r="F27" s="267"/>
    </row>
    <row r="28" spans="1:6" s="352" customFormat="1">
      <c r="A28" s="271" t="s">
        <v>141</v>
      </c>
      <c r="B28" s="266">
        <f>'Sources and Uses Budget'!$C$27</f>
        <v>3600000</v>
      </c>
      <c r="C28" s="266">
        <f>'Sources and Uses Budget'!$C$27</f>
        <v>3600000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362500</v>
      </c>
      <c r="C41" s="266">
        <f>'Sources and Uses Budget'!$C40</f>
        <v>362500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362500</v>
      </c>
      <c r="C43" s="270">
        <f>SUM(C41:C42)</f>
        <v>362500</v>
      </c>
      <c r="D43" s="270">
        <f t="shared" si="0"/>
        <v>0</v>
      </c>
      <c r="E43" s="268"/>
      <c r="F43" s="267"/>
    </row>
    <row r="44" spans="1:6" s="352" customFormat="1">
      <c r="A44" s="271" t="s">
        <v>148</v>
      </c>
      <c r="B44" s="266">
        <f>'Sources and Uses Budget'!$C43</f>
        <v>261000</v>
      </c>
      <c r="C44" s="266">
        <f>'Sources and Uses Budget'!$C43</f>
        <v>261000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6672202</v>
      </c>
      <c r="C46" s="266">
        <f>'Sources and Uses Budget'!$C45</f>
        <v>6672202</v>
      </c>
      <c r="D46" s="270">
        <f t="shared" si="0"/>
        <v>0</v>
      </c>
      <c r="E46" s="268"/>
      <c r="F46" s="267"/>
    </row>
    <row r="47" spans="1:6" s="352" customFormat="1">
      <c r="A47" s="145" t="s">
        <v>151</v>
      </c>
      <c r="B47" s="266">
        <f>'Sources and Uses Budget'!$C46</f>
        <v>232487</v>
      </c>
      <c r="C47" s="266">
        <f>'Sources and Uses Budget'!$C46</f>
        <v>232487</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217547</v>
      </c>
      <c r="C50" s="266">
        <f>'Sources and Uses Budget'!$C49</f>
        <v>217547</v>
      </c>
      <c r="D50" s="270">
        <f t="shared" si="0"/>
        <v>0</v>
      </c>
      <c r="E50" s="268"/>
      <c r="F50" s="267"/>
    </row>
    <row r="51" spans="1:6" s="352" customFormat="1">
      <c r="A51" s="145" t="s">
        <v>156</v>
      </c>
      <c r="B51" s="266">
        <f>'Sources and Uses Budget'!$C50</f>
        <v>30000</v>
      </c>
      <c r="C51" s="266">
        <f>'Sources and Uses Budget'!$C50</f>
        <v>30000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404967</v>
      </c>
      <c r="C53" s="266">
        <f>'Sources and Uses Budget'!$C52</f>
        <v>404967</v>
      </c>
      <c r="D53" s="270">
        <f t="shared" si="0"/>
        <v>0</v>
      </c>
      <c r="E53" s="268"/>
      <c r="F53" s="267"/>
    </row>
    <row r="54" spans="1:6" s="352" customFormat="1" ht="24">
      <c r="A54" s="155" t="str">
        <f>'Sources and Uses Budget'!A53</f>
        <v>Other: (Specify) Lender Expenses, Predev Loan Interest</v>
      </c>
      <c r="B54" s="266">
        <f>'Sources and Uses Budget'!$C53</f>
        <v>239278</v>
      </c>
      <c r="C54" s="266">
        <f>'Sources and Uses Budget'!$C53</f>
        <v>239278</v>
      </c>
      <c r="D54" s="270">
        <f t="shared" si="0"/>
        <v>0</v>
      </c>
      <c r="E54" s="268"/>
      <c r="F54" s="267"/>
    </row>
    <row r="55" spans="1:6" s="353" customFormat="1">
      <c r="A55" s="271" t="s">
        <v>157</v>
      </c>
      <c r="B55" s="273">
        <f>SUM(B46:B54)</f>
        <v>7796481</v>
      </c>
      <c r="C55" s="273">
        <f>SUM(C46:C54)</f>
        <v>7796481</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182580</v>
      </c>
      <c r="C57" s="266">
        <f>'Sources and Uses Budget'!$C56</f>
        <v>182580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15000</v>
      </c>
      <c r="C59" s="266">
        <f>'Sources and Uses Budget'!$C58</f>
        <v>15000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 Lender Expenses</v>
      </c>
      <c r="B62" s="266">
        <f>'Sources and Uses Budget'!$C61</f>
        <v>15000</v>
      </c>
      <c r="C62" s="266">
        <f>'Sources and Uses Budget'!$C61</f>
        <v>15000</v>
      </c>
      <c r="D62" s="270">
        <f t="shared" si="0"/>
        <v>0</v>
      </c>
      <c r="E62" s="268"/>
      <c r="F62" s="267"/>
    </row>
    <row r="63" spans="1:6" s="352" customFormat="1" ht="13.9" customHeight="1">
      <c r="A63" s="271" t="s">
        <v>301</v>
      </c>
      <c r="B63" s="270">
        <f>SUM(B57:B62)</f>
        <v>212580</v>
      </c>
      <c r="C63" s="270">
        <f>SUM(C57:C62)</f>
        <v>212580</v>
      </c>
      <c r="D63" s="270">
        <f t="shared" si="0"/>
        <v>0</v>
      </c>
      <c r="E63" s="268"/>
      <c r="F63" s="267"/>
    </row>
    <row r="64" spans="1:6" s="352" customFormat="1">
      <c r="A64" s="274" t="s">
        <v>302</v>
      </c>
      <c r="B64" s="270">
        <f>SUM(B9+B12+B14+B15+B17+B26+B28+B39+B43+B44+B55+B63)</f>
        <v>53471263</v>
      </c>
      <c r="C64" s="270">
        <f>SUM(C9+C12+C14+C15+C17+C26+C28+C39+C43+C44+C55+C63)</f>
        <v>53471263</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85000</v>
      </c>
      <c r="C66" s="266">
        <f>'Sources and Uses Budget'!$C65</f>
        <v>85000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Other: (Specify) Borrower Legal</v>
      </c>
      <c r="B70" s="266">
        <f>'Sources and Uses Budget'!$C69</f>
        <v>70000</v>
      </c>
      <c r="C70" s="266">
        <f>'Sources and Uses Budget'!$C69</f>
        <v>70000</v>
      </c>
      <c r="D70" s="270">
        <f t="shared" si="0"/>
        <v>0</v>
      </c>
      <c r="E70" s="268"/>
      <c r="F70" s="267"/>
    </row>
    <row r="71" spans="1:6" s="352" customFormat="1">
      <c r="A71" s="149" t="s">
        <v>1644</v>
      </c>
      <c r="B71" s="270">
        <f>SUM(B66:B70)</f>
        <v>155000</v>
      </c>
      <c r="C71" s="270">
        <f>SUM(C66:C70)</f>
        <v>155000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985</v>
      </c>
      <c r="B75" s="266">
        <f>'Sources and Uses Budget'!$C74</f>
        <v>615000</v>
      </c>
      <c r="C75" s="266">
        <f>'Sources and Uses Budget'!$C74</f>
        <v>615000</v>
      </c>
      <c r="D75" s="270">
        <f t="shared" si="0"/>
        <v>0</v>
      </c>
      <c r="E75" s="268"/>
      <c r="F75" s="267"/>
    </row>
    <row r="76" spans="1:6" s="352" customFormat="1">
      <c r="A76" s="269" t="s">
        <v>605</v>
      </c>
      <c r="B76" s="266">
        <f>'Sources and Uses Budget'!$C75</f>
        <v>738859</v>
      </c>
      <c r="C76" s="266">
        <f>'Sources and Uses Budget'!$C75</f>
        <v>738859</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1353859</v>
      </c>
      <c r="C78" s="270">
        <f>SUM(C73:C77)</f>
        <v>1353859</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1381847</v>
      </c>
      <c r="C80" s="266">
        <f>'Sources and Uses Budget'!$C79</f>
        <v>1381847</v>
      </c>
      <c r="D80" s="270">
        <f t="shared" si="1"/>
        <v>0</v>
      </c>
      <c r="E80" s="268"/>
      <c r="F80" s="267"/>
    </row>
    <row r="81" spans="1:6" s="352" customFormat="1">
      <c r="A81" s="510" t="s">
        <v>58</v>
      </c>
      <c r="B81" s="266">
        <f>'Sources and Uses Budget'!$C80</f>
        <v>178322</v>
      </c>
      <c r="C81" s="266">
        <f>'Sources and Uses Budget'!$C80</f>
        <v>178322</v>
      </c>
      <c r="D81" s="270">
        <f>C81-B81</f>
        <v>0</v>
      </c>
      <c r="E81" s="268"/>
      <c r="F81" s="267"/>
    </row>
    <row r="82" spans="1:6" s="352" customFormat="1">
      <c r="A82" s="271" t="s">
        <v>1208</v>
      </c>
      <c r="B82" s="270">
        <f>SUM(B80:B81)</f>
        <v>1560169</v>
      </c>
      <c r="C82" s="270">
        <f>SUM(C80:C81)</f>
        <v>1560169</v>
      </c>
      <c r="D82" s="270">
        <f t="shared" si="1"/>
        <v>0</v>
      </c>
      <c r="E82" s="268"/>
      <c r="F82" s="267"/>
    </row>
    <row r="83" spans="1:6" s="352" customFormat="1">
      <c r="A83" s="264" t="s">
        <v>765</v>
      </c>
      <c r="B83" s="264"/>
      <c r="C83" s="264"/>
      <c r="D83" s="264"/>
      <c r="E83" s="282"/>
      <c r="F83" s="264"/>
    </row>
    <row r="84" spans="1:6" s="352" customFormat="1" ht="13.9" customHeight="1">
      <c r="A84" s="269" t="s">
        <v>766</v>
      </c>
      <c r="B84" s="266">
        <f>'Sources and Uses Budget'!$C83</f>
        <v>132339</v>
      </c>
      <c r="C84" s="266">
        <f>'Sources and Uses Budget'!$C83</f>
        <v>132339</v>
      </c>
      <c r="D84" s="270">
        <f t="shared" si="1"/>
        <v>0</v>
      </c>
      <c r="E84" s="268"/>
      <c r="F84" s="267"/>
    </row>
    <row r="85" spans="1:6" s="352" customFormat="1">
      <c r="A85" s="269" t="s">
        <v>767</v>
      </c>
      <c r="B85" s="266">
        <f>'Sources and Uses Budget'!$C84</f>
        <v>72500</v>
      </c>
      <c r="C85" s="266">
        <f>'Sources and Uses Budget'!$C84</f>
        <v>72500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217500</v>
      </c>
      <c r="C87" s="266">
        <f>'Sources and Uses Budget'!$C86</f>
        <v>217500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0</v>
      </c>
      <c r="C89" s="266">
        <f>'Sources and Uses Budget'!$C88</f>
        <v>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6500</v>
      </c>
      <c r="C91" s="266">
        <f>'Sources and Uses Budget'!$C90</f>
        <v>6500</v>
      </c>
      <c r="D91" s="270">
        <f t="shared" si="1"/>
        <v>0</v>
      </c>
      <c r="E91" s="268"/>
      <c r="F91" s="267"/>
    </row>
    <row r="92" spans="1:6" s="352" customFormat="1">
      <c r="A92" s="269" t="s">
        <v>372</v>
      </c>
      <c r="B92" s="266">
        <f>'Sources and Uses Budget'!$C91</f>
        <v>0</v>
      </c>
      <c r="C92" s="266">
        <f>'Sources and Uses Budget'!$C91</f>
        <v>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116000</v>
      </c>
      <c r="C94" s="266">
        <f>'Sources and Uses Budget'!$C93</f>
        <v>116000</v>
      </c>
      <c r="D94" s="270">
        <f t="shared" si="1"/>
        <v>0</v>
      </c>
      <c r="E94" s="268"/>
      <c r="F94" s="267"/>
    </row>
    <row r="95" spans="1:6" s="352" customFormat="1">
      <c r="A95" s="272" t="s">
        <v>34</v>
      </c>
      <c r="B95" s="266">
        <f>'Sources and Uses Budget'!$C94</f>
        <v>55937</v>
      </c>
      <c r="C95" s="266">
        <f>'Sources and Uses Budget'!$C94</f>
        <v>55937</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608276</v>
      </c>
      <c r="C97" s="270">
        <f>SUM(C84:C96)</f>
        <v>608276</v>
      </c>
      <c r="D97" s="270">
        <f t="shared" si="1"/>
        <v>0</v>
      </c>
      <c r="E97" s="268"/>
      <c r="F97" s="267"/>
    </row>
    <row r="98" spans="1:6" s="352" customFormat="1">
      <c r="A98" s="271" t="s">
        <v>775</v>
      </c>
      <c r="B98" s="270">
        <f>SUM(B64+B71+B78+B82+B97)</f>
        <v>57148567</v>
      </c>
      <c r="C98" s="270">
        <f>SUM(C64+C71+C78+C82+C97)</f>
        <v>57148567</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5342844</v>
      </c>
      <c r="C100" s="266">
        <f>'Sources and Uses Budget'!$C99</f>
        <v>5342844</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5342844</v>
      </c>
      <c r="C105" s="270">
        <f>SUM(C100:C104)</f>
        <v>5342844</v>
      </c>
      <c r="D105" s="270">
        <f t="shared" si="1"/>
        <v>0</v>
      </c>
      <c r="E105" s="268"/>
      <c r="F105" s="267"/>
    </row>
    <row r="106" spans="1:6" s="352" customFormat="1">
      <c r="A106" s="271" t="s">
        <v>780</v>
      </c>
      <c r="B106" s="273">
        <f>SUM(B98+B105)</f>
        <v>62491411</v>
      </c>
      <c r="C106" s="273">
        <f>SUM(C98+C105)</f>
        <v>62491411</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71093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topLeftCell="A1113" workbookViewId="0">
      <selection activeCell="B1123" sqref="B1123"/>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7109375" style="402" hidden="1" customWidth="1"/>
    <col min="11" max="16384" width="8.71093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9"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2730</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2730</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2731</v>
      </c>
      <c r="D24" s="1301" t="s">
        <v>1090</v>
      </c>
      <c r="E24" s="1301"/>
      <c r="F24" s="1301"/>
      <c r="I24" s="490"/>
    </row>
    <row r="25" spans="1:9" ht="14.25">
      <c r="A25" s="484"/>
      <c r="B25" s="484"/>
      <c r="D25" s="1301"/>
      <c r="E25" s="1301"/>
      <c r="F25" s="1301"/>
      <c r="I25" s="490"/>
    </row>
    <row r="26" spans="1:9">
      <c r="I26" s="490"/>
    </row>
    <row r="27" spans="1:9" ht="14.25">
      <c r="A27" s="484"/>
      <c r="B27" s="485" t="s">
        <v>2730</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2730</v>
      </c>
      <c r="D33" s="1301" t="s">
        <v>2047</v>
      </c>
      <c r="E33" s="1301"/>
      <c r="F33" s="1301"/>
      <c r="I33" s="490"/>
    </row>
    <row r="34" spans="1:9">
      <c r="D34" s="1301"/>
      <c r="E34" s="1301"/>
      <c r="F34" s="1301"/>
      <c r="I34" s="490"/>
    </row>
    <row r="35" spans="1:9" ht="14.25">
      <c r="A35" s="484"/>
      <c r="B35" s="484"/>
      <c r="D35" s="447"/>
      <c r="I35" s="490"/>
    </row>
    <row r="36" spans="1:9" ht="14.65" customHeight="1">
      <c r="A36" s="484"/>
      <c r="B36" s="485" t="s">
        <v>2730</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2731</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2731</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65" customHeight="1">
      <c r="A52" s="484"/>
      <c r="B52" s="485" t="s">
        <v>2730</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2730</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2731</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2731</v>
      </c>
      <c r="D65" s="1301" t="s">
        <v>1096</v>
      </c>
      <c r="E65" s="1301"/>
      <c r="F65" s="1301"/>
      <c r="I65" s="490"/>
    </row>
    <row r="66" spans="1:9">
      <c r="D66" s="1301"/>
      <c r="E66" s="1301"/>
      <c r="F66" s="1301"/>
      <c r="I66" s="490"/>
    </row>
    <row r="67" spans="1:9">
      <c r="I67" s="490"/>
    </row>
    <row r="68" spans="1:9" ht="14.25">
      <c r="A68" s="484"/>
      <c r="B68" s="485" t="s">
        <v>2730</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2730</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9" customHeight="1">
      <c r="A80" s="484"/>
      <c r="B80" s="485" t="s">
        <v>2730</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2730</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2730</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2730</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2731</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65" customHeight="1">
      <c r="A103" s="484"/>
      <c r="B103" s="485" t="s">
        <v>2731</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2731</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2730</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2730</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2730</v>
      </c>
      <c r="D137" s="1301" t="s">
        <v>1104</v>
      </c>
      <c r="E137" s="1301"/>
      <c r="F137" s="1301"/>
      <c r="I137" s="490"/>
    </row>
    <row r="138" spans="1:9" s="417" customFormat="1" ht="13.9" customHeight="1">
      <c r="A138" s="488"/>
      <c r="B138" s="488"/>
      <c r="C138" s="488"/>
      <c r="D138" s="1301"/>
      <c r="E138" s="1301"/>
      <c r="F138" s="1301"/>
      <c r="I138" s="1155"/>
    </row>
    <row r="139" spans="1:9" ht="13.9" customHeight="1">
      <c r="D139" s="1301"/>
      <c r="E139" s="1301"/>
      <c r="F139" s="1301"/>
      <c r="I139" s="490"/>
    </row>
    <row r="140" spans="1:9" ht="13.9" customHeight="1">
      <c r="D140" s="1301"/>
      <c r="E140" s="1301"/>
      <c r="F140" s="1301"/>
      <c r="I140" s="490"/>
    </row>
    <row r="141" spans="1:9" ht="13.9" customHeight="1">
      <c r="D141" s="1301"/>
      <c r="E141" s="1301"/>
      <c r="F141" s="1301"/>
      <c r="I141" s="490"/>
    </row>
    <row r="142" spans="1:9" ht="13.9" customHeight="1">
      <c r="A142" s="489"/>
      <c r="B142" s="489"/>
      <c r="D142" s="1301"/>
      <c r="E142" s="1301"/>
      <c r="F142" s="1301"/>
      <c r="I142" s="490"/>
    </row>
    <row r="143" spans="1:9" ht="13.9" customHeight="1">
      <c r="D143" s="1301"/>
      <c r="E143" s="1301"/>
      <c r="F143" s="1301"/>
      <c r="I143" s="490"/>
    </row>
    <row r="144" spans="1:9" ht="13.9" customHeight="1">
      <c r="D144" s="1301"/>
      <c r="E144" s="1301"/>
      <c r="F144" s="1301"/>
      <c r="I144" s="490"/>
    </row>
    <row r="145" spans="2:9" ht="13.9" customHeight="1">
      <c r="D145" s="1301"/>
      <c r="E145" s="1301"/>
      <c r="F145" s="1301"/>
      <c r="I145" s="490"/>
    </row>
    <row r="146" spans="2:9" ht="13.9" customHeight="1">
      <c r="D146" s="1301"/>
      <c r="E146" s="1301"/>
      <c r="F146" s="1301"/>
      <c r="I146" s="490"/>
    </row>
    <row r="147" spans="2:9" ht="13.9" customHeight="1">
      <c r="D147" s="1301"/>
      <c r="E147" s="1301"/>
      <c r="F147" s="1301"/>
      <c r="I147" s="490"/>
    </row>
    <row r="148" spans="2:9" ht="13.9" customHeight="1">
      <c r="D148" s="1301"/>
      <c r="E148" s="1301"/>
      <c r="F148" s="1301"/>
      <c r="I148" s="490"/>
    </row>
    <row r="149" spans="2:9" ht="13.9" customHeight="1">
      <c r="D149" s="1301"/>
      <c r="E149" s="1301"/>
      <c r="F149" s="1301"/>
      <c r="I149" s="490"/>
    </row>
    <row r="150" spans="2:9" ht="13.9" customHeight="1">
      <c r="D150" s="476"/>
      <c r="E150" s="446"/>
      <c r="F150" s="446"/>
      <c r="I150" s="490"/>
    </row>
    <row r="151" spans="2:9" ht="13.9" customHeight="1">
      <c r="B151" s="485" t="s">
        <v>2731</v>
      </c>
      <c r="D151" s="1301" t="s">
        <v>1176</v>
      </c>
      <c r="E151" s="1301"/>
      <c r="F151" s="1301"/>
      <c r="I151" s="490"/>
    </row>
    <row r="152" spans="2:9" ht="13.9" customHeight="1">
      <c r="D152" s="1301"/>
      <c r="E152" s="1301"/>
      <c r="F152" s="1301"/>
      <c r="I152" s="490"/>
    </row>
    <row r="153" spans="2:9" ht="13.9" customHeight="1">
      <c r="D153" s="1301"/>
      <c r="E153" s="1301"/>
      <c r="F153" s="1301"/>
      <c r="I153" s="490"/>
    </row>
    <row r="154" spans="2:9" ht="13.9" customHeight="1">
      <c r="D154" s="1301"/>
      <c r="E154" s="1301"/>
      <c r="F154" s="1301"/>
      <c r="I154" s="490"/>
    </row>
    <row r="155" spans="2:9" ht="13.9" customHeight="1">
      <c r="D155" s="1301"/>
      <c r="E155" s="1301"/>
      <c r="F155" s="1301"/>
      <c r="I155" s="490"/>
    </row>
    <row r="156" spans="2:9" ht="13.9" customHeight="1">
      <c r="D156" s="1301"/>
      <c r="E156" s="1301"/>
      <c r="F156" s="1301"/>
      <c r="I156" s="490"/>
    </row>
    <row r="157" spans="2:9" ht="13.9" customHeight="1">
      <c r="D157" s="1301"/>
      <c r="E157" s="1301"/>
      <c r="F157" s="1301"/>
      <c r="I157" s="490"/>
    </row>
    <row r="158" spans="2:9" ht="13.9" customHeight="1">
      <c r="D158" s="1301"/>
      <c r="E158" s="1301"/>
      <c r="F158" s="1301"/>
      <c r="I158" s="490"/>
    </row>
    <row r="159" spans="2:9" ht="13.9" customHeight="1">
      <c r="D159" s="1301"/>
      <c r="E159" s="1301"/>
      <c r="F159" s="1301"/>
      <c r="I159" s="490"/>
    </row>
    <row r="160" spans="2:9" ht="13.9" customHeight="1">
      <c r="D160" s="1301"/>
      <c r="E160" s="1301"/>
      <c r="F160" s="1301"/>
      <c r="I160" s="490"/>
    </row>
    <row r="161" spans="1:9" ht="13.9" customHeight="1">
      <c r="D161" s="1301"/>
      <c r="E161" s="1301"/>
      <c r="F161" s="1301"/>
      <c r="I161" s="490"/>
    </row>
    <row r="162" spans="1:9" ht="13.9" customHeight="1">
      <c r="D162" s="1301"/>
      <c r="E162" s="1301"/>
      <c r="F162" s="1301"/>
      <c r="I162" s="490"/>
    </row>
    <row r="163" spans="1:9" ht="13.9" customHeight="1">
      <c r="D163" s="1301"/>
      <c r="E163" s="1301"/>
      <c r="F163" s="1301"/>
      <c r="I163" s="490"/>
    </row>
    <row r="164" spans="1:9" ht="13.9" customHeight="1">
      <c r="D164" s="1301"/>
      <c r="E164" s="1301"/>
      <c r="F164" s="1301"/>
      <c r="I164" s="490"/>
    </row>
    <row r="165" spans="1:9" ht="13.9" customHeight="1">
      <c r="D165" s="1301"/>
      <c r="E165" s="1301"/>
      <c r="F165" s="1301"/>
      <c r="I165" s="490"/>
    </row>
    <row r="166" spans="1:9" ht="13.9" customHeight="1">
      <c r="D166" s="1301"/>
      <c r="E166" s="1301"/>
      <c r="F166" s="1301"/>
      <c r="I166" s="490"/>
    </row>
    <row r="167" spans="1:9" ht="13.9" customHeight="1">
      <c r="D167" s="1301"/>
      <c r="E167" s="1301"/>
      <c r="F167" s="1301"/>
      <c r="I167" s="490"/>
    </row>
    <row r="168" spans="1:9" ht="13.9" customHeight="1">
      <c r="D168" s="1301"/>
      <c r="E168" s="1301"/>
      <c r="F168" s="1301"/>
      <c r="I168" s="490"/>
    </row>
    <row r="169" spans="1:9" ht="13.9" customHeight="1">
      <c r="D169" s="1320" t="s">
        <v>2071</v>
      </c>
      <c r="E169" s="1320"/>
      <c r="F169" s="1320"/>
      <c r="G169" s="507"/>
      <c r="I169" s="490"/>
    </row>
    <row r="170" spans="1:9" ht="13.9" customHeight="1">
      <c r="D170" s="1318"/>
      <c r="E170" s="1318"/>
      <c r="F170" s="1318"/>
      <c r="G170" s="1318"/>
      <c r="I170" s="490"/>
    </row>
    <row r="171" spans="1:9" ht="14.65" customHeight="1">
      <c r="A171" s="489"/>
      <c r="B171" s="485" t="s">
        <v>2730</v>
      </c>
      <c r="C171" s="476"/>
      <c r="D171" s="1272" t="s">
        <v>2211</v>
      </c>
      <c r="E171" s="1272"/>
      <c r="F171" s="1272"/>
      <c r="G171" s="476"/>
      <c r="I171" s="490"/>
    </row>
    <row r="172" spans="1:9" ht="14.65" customHeight="1">
      <c r="A172" s="489"/>
      <c r="B172" s="489"/>
      <c r="C172" s="476"/>
      <c r="D172" s="1272"/>
      <c r="E172" s="1272"/>
      <c r="F172" s="1272"/>
      <c r="G172" s="476"/>
      <c r="I172" s="490"/>
    </row>
    <row r="173" spans="1:9" ht="14.65" customHeight="1">
      <c r="A173" s="489"/>
      <c r="B173" s="489"/>
      <c r="C173" s="476"/>
      <c r="D173" s="1272"/>
      <c r="E173" s="1272"/>
      <c r="F173" s="1272"/>
      <c r="G173" s="476"/>
      <c r="I173" s="490"/>
    </row>
    <row r="174" spans="1:9" ht="14.65" customHeight="1">
      <c r="A174" s="489"/>
      <c r="B174" s="489"/>
      <c r="C174" s="476"/>
      <c r="D174" s="1272"/>
      <c r="E174" s="1272"/>
      <c r="F174" s="1272"/>
      <c r="G174" s="476"/>
      <c r="I174" s="490"/>
    </row>
    <row r="175" spans="1:9" ht="13.9" customHeight="1">
      <c r="A175" s="489"/>
      <c r="B175" s="489"/>
      <c r="C175" s="476"/>
      <c r="D175" s="1272"/>
      <c r="E175" s="1272"/>
      <c r="F175" s="1272"/>
      <c r="G175" s="476"/>
      <c r="I175" s="490"/>
    </row>
    <row r="176" spans="1:9" ht="13.9" customHeight="1">
      <c r="A176" s="489"/>
      <c r="B176" s="489"/>
      <c r="C176" s="476"/>
      <c r="D176" s="476"/>
      <c r="E176" s="476"/>
      <c r="F176" s="476"/>
      <c r="G176" s="476"/>
      <c r="I176" s="490"/>
    </row>
    <row r="177" spans="1:9" ht="13.9" customHeight="1">
      <c r="A177" s="489"/>
      <c r="B177" s="485" t="s">
        <v>2731</v>
      </c>
      <c r="C177" s="476"/>
      <c r="D177" s="1272" t="s">
        <v>1105</v>
      </c>
      <c r="E177" s="1272"/>
      <c r="F177" s="1272"/>
      <c r="G177" s="476"/>
      <c r="I177" s="490"/>
    </row>
    <row r="178" spans="1:9" ht="13.9" customHeight="1">
      <c r="A178" s="489"/>
      <c r="B178" s="489"/>
      <c r="C178" s="476"/>
      <c r="D178" s="1272"/>
      <c r="E178" s="1272"/>
      <c r="F178" s="1272"/>
      <c r="G178" s="476"/>
      <c r="I178" s="490"/>
    </row>
    <row r="179" spans="1:9" ht="13.9" customHeight="1">
      <c r="A179" s="489"/>
      <c r="B179" s="489"/>
      <c r="C179" s="476"/>
      <c r="D179" s="1272"/>
      <c r="E179" s="1272"/>
      <c r="F179" s="1272"/>
      <c r="G179" s="476"/>
      <c r="I179" s="490"/>
    </row>
    <row r="180" spans="1:9" ht="13.9" customHeight="1">
      <c r="A180" s="489"/>
      <c r="B180" s="489"/>
      <c r="C180" s="476"/>
      <c r="D180" s="1272"/>
      <c r="E180" s="1272"/>
      <c r="F180" s="1272"/>
      <c r="G180" s="476"/>
      <c r="I180" s="490"/>
    </row>
    <row r="181" spans="1:9" ht="13.9" customHeight="1">
      <c r="D181" s="446"/>
      <c r="E181" s="446"/>
      <c r="F181" s="446"/>
      <c r="I181" s="490"/>
    </row>
    <row r="182" spans="1:9" ht="13.9" customHeight="1">
      <c r="B182" s="485" t="s">
        <v>2730</v>
      </c>
      <c r="D182" s="1313" t="s">
        <v>2049</v>
      </c>
      <c r="E182" s="1313"/>
      <c r="F182" s="1313"/>
      <c r="I182" s="490"/>
    </row>
    <row r="183" spans="1:9" ht="13.9" customHeight="1">
      <c r="D183" s="1313"/>
      <c r="E183" s="1313"/>
      <c r="F183" s="1313"/>
      <c r="I183" s="490"/>
    </row>
    <row r="184" spans="1:9" ht="13.9" customHeight="1">
      <c r="D184" s="1313"/>
      <c r="E184" s="1313"/>
      <c r="F184" s="1313"/>
      <c r="I184" s="490"/>
    </row>
    <row r="185" spans="1:9" ht="13.9"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446</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9"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2731</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2731</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2731</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2731</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2731</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2731</v>
      </c>
      <c r="D217" s="1301" t="s">
        <v>1215</v>
      </c>
      <c r="E217" s="1301"/>
      <c r="F217" s="1301"/>
      <c r="I217" s="490"/>
    </row>
    <row r="218" spans="1:9" ht="14.6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9" customHeight="1">
      <c r="A227" s="490"/>
      <c r="C227" s="490"/>
      <c r="D227" s="1309" t="s">
        <v>546</v>
      </c>
      <c r="E227" s="1309"/>
      <c r="F227" s="1309"/>
      <c r="I227" s="490"/>
    </row>
    <row r="228" spans="1:9" ht="14.25">
      <c r="A228" s="484"/>
      <c r="B228" s="485" t="s">
        <v>2730</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2730</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2731</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65" customHeight="1">
      <c r="A250" s="484"/>
      <c r="B250" s="485" t="s">
        <v>2731</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2730</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2730</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65" customHeight="1">
      <c r="A267" s="484"/>
      <c r="B267" s="485" t="s">
        <v>2730</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65" customHeight="1">
      <c r="A271" s="484"/>
      <c r="B271" s="485" t="s">
        <v>2731</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2731</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2730</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2730</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2731</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1127</v>
      </c>
      <c r="E303" s="1299"/>
      <c r="F303" s="1299"/>
      <c r="I303" s="490"/>
    </row>
    <row r="304" spans="1:9">
      <c r="C304" s="490"/>
      <c r="D304" s="493"/>
      <c r="I304" s="490"/>
    </row>
    <row r="305" spans="1:9">
      <c r="B305" s="485" t="s">
        <v>2730</v>
      </c>
      <c r="D305" s="1299" t="s">
        <v>1128</v>
      </c>
      <c r="E305" s="1299"/>
      <c r="F305" s="1299"/>
      <c r="I305" s="490"/>
    </row>
    <row r="306" spans="1:9" ht="14.25">
      <c r="A306" s="484"/>
      <c r="B306" s="484"/>
      <c r="D306" s="494"/>
      <c r="E306" s="495"/>
      <c r="F306" s="495"/>
      <c r="I306" s="490"/>
    </row>
    <row r="307" spans="1:9" ht="13.9" customHeight="1">
      <c r="B307" s="485" t="s">
        <v>2731</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9" customHeight="1">
      <c r="B313" s="485" t="s">
        <v>2730</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2730</v>
      </c>
      <c r="D316" s="1299" t="s">
        <v>1130</v>
      </c>
      <c r="E316" s="1299"/>
      <c r="F316" s="1299"/>
      <c r="I316" s="490"/>
    </row>
    <row r="317" spans="1:9">
      <c r="E317" s="446"/>
      <c r="F317" s="446"/>
      <c r="I317" s="490"/>
    </row>
    <row r="318" spans="1:9" ht="14.25">
      <c r="A318" s="484"/>
      <c r="B318" s="485" t="s">
        <v>2730</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2730</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2730</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2730</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2730</v>
      </c>
      <c r="C360" s="476"/>
      <c r="D360" s="1318" t="s">
        <v>2055</v>
      </c>
      <c r="E360" s="1318"/>
      <c r="F360" s="1318"/>
      <c r="I360" s="480"/>
    </row>
    <row r="361" spans="1:9">
      <c r="A361" s="476"/>
      <c r="B361" s="476"/>
      <c r="C361" s="476"/>
      <c r="D361" s="447"/>
      <c r="E361" s="447"/>
      <c r="F361" s="446"/>
      <c r="I361" s="490"/>
    </row>
    <row r="362" spans="1:9">
      <c r="A362" s="476"/>
      <c r="B362" s="485" t="s">
        <v>2730</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2730</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2731</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2731</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9"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2730</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65" customHeight="1">
      <c r="A423" s="484"/>
      <c r="B423" s="485" t="s">
        <v>2730</v>
      </c>
      <c r="D423" s="1272" t="s">
        <v>1880</v>
      </c>
      <c r="E423" s="1272"/>
      <c r="F423" s="1272"/>
      <c r="I423" s="490"/>
    </row>
    <row r="424" spans="1:9" ht="14.65" customHeight="1">
      <c r="A424" s="484"/>
      <c r="D424" s="1272"/>
      <c r="E424" s="1272"/>
      <c r="F424" s="1272"/>
      <c r="I424" s="490"/>
    </row>
    <row r="425" spans="1:9" ht="14.65" customHeight="1">
      <c r="A425" s="484"/>
      <c r="D425" s="1272"/>
      <c r="E425" s="1272"/>
      <c r="F425" s="1272"/>
      <c r="I425" s="490"/>
    </row>
    <row r="426" spans="1:9" ht="14.65" customHeight="1">
      <c r="A426" s="484"/>
      <c r="D426" s="1272"/>
      <c r="E426" s="1272"/>
      <c r="F426" s="1272"/>
      <c r="I426" s="490"/>
    </row>
    <row r="427" spans="1:9" ht="14.65" customHeight="1">
      <c r="A427" s="484"/>
      <c r="D427" s="1272"/>
      <c r="E427" s="1272"/>
      <c r="F427" s="1272"/>
      <c r="I427" s="490"/>
    </row>
    <row r="428" spans="1:9" ht="14.65" customHeight="1">
      <c r="A428" s="484"/>
      <c r="D428" s="385"/>
      <c r="E428" s="385"/>
      <c r="F428" s="385"/>
      <c r="I428" s="490"/>
    </row>
    <row r="429" spans="1:9" ht="13.9" customHeight="1">
      <c r="A429" s="484"/>
      <c r="B429" s="485" t="s">
        <v>2730</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2731</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9" customHeight="1">
      <c r="D465" s="1301"/>
      <c r="E465" s="1301"/>
      <c r="F465" s="1301"/>
      <c r="I465" s="490"/>
    </row>
    <row r="466" spans="1:9">
      <c r="D466" s="446"/>
      <c r="E466" s="446"/>
      <c r="F466" s="446"/>
      <c r="I466" s="490"/>
    </row>
    <row r="467" spans="1:9" ht="14.25">
      <c r="A467" s="484"/>
      <c r="B467" s="485" t="s">
        <v>2731</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2731</v>
      </c>
      <c r="C471" s="484"/>
      <c r="D471" s="1301" t="s">
        <v>1196</v>
      </c>
      <c r="E471" s="1301"/>
      <c r="F471" s="1301"/>
      <c r="I471" s="490"/>
    </row>
    <row r="472" spans="1:9">
      <c r="D472" s="1301"/>
      <c r="E472" s="1301"/>
      <c r="F472" s="1301"/>
      <c r="I472" s="490"/>
    </row>
    <row r="473" spans="1:9">
      <c r="D473" s="446"/>
      <c r="E473" s="446"/>
      <c r="F473" s="446"/>
      <c r="I473" s="490"/>
    </row>
    <row r="474" spans="1:9" ht="14.25">
      <c r="B474" s="485" t="s">
        <v>2731</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2731</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2731</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2731</v>
      </c>
      <c r="C486" s="402"/>
      <c r="D486" s="1301"/>
      <c r="E486" s="1301"/>
      <c r="F486" s="1301"/>
      <c r="I486" s="490"/>
    </row>
    <row r="487" spans="1:9">
      <c r="A487" s="402"/>
      <c r="C487" s="402"/>
      <c r="D487" s="1301"/>
      <c r="E487" s="1301"/>
      <c r="F487" s="1301"/>
      <c r="I487" s="490"/>
    </row>
    <row r="488" spans="1:9">
      <c r="A488" s="402"/>
      <c r="B488" s="485" t="s">
        <v>2731</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2731</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2730</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2730</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2730</v>
      </c>
      <c r="D509" s="1299" t="s">
        <v>1142</v>
      </c>
      <c r="E509" s="1299"/>
      <c r="F509" s="1299"/>
      <c r="I509" s="490"/>
    </row>
    <row r="510" spans="1:9" ht="14.25">
      <c r="A510" s="484"/>
      <c r="B510" s="484"/>
      <c r="D510" s="446"/>
      <c r="I510" s="490"/>
    </row>
    <row r="511" spans="1:9" ht="14.25">
      <c r="A511" s="484"/>
      <c r="B511" s="485" t="s">
        <v>2730</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2731</v>
      </c>
      <c r="D514" s="1299" t="s">
        <v>1144</v>
      </c>
      <c r="E514" s="1299"/>
      <c r="F514" s="1299"/>
      <c r="I514" s="490"/>
    </row>
    <row r="515" spans="1:9">
      <c r="D515" s="446"/>
      <c r="E515" s="446"/>
      <c r="F515" s="446"/>
      <c r="I515" s="490"/>
    </row>
    <row r="516" spans="1:9">
      <c r="B516" s="485" t="s">
        <v>2731</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9" customHeight="1">
      <c r="A527" s="483"/>
      <c r="B527" s="485" t="s">
        <v>2730</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2730</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2731</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446</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1080</v>
      </c>
      <c r="E546" s="1299"/>
      <c r="F546" s="1299"/>
      <c r="I546" s="490"/>
    </row>
    <row r="547" spans="1:9">
      <c r="C547" s="487"/>
      <c r="D547" s="446"/>
      <c r="E547" s="446"/>
      <c r="F547" s="446"/>
      <c r="I547" s="490"/>
    </row>
    <row r="548" spans="1:9" ht="13.9" customHeight="1">
      <c r="A548" s="484"/>
      <c r="B548" s="485" t="s">
        <v>2730</v>
      </c>
      <c r="C548" s="487"/>
      <c r="D548" s="1299" t="s">
        <v>884</v>
      </c>
      <c r="E548" s="1299"/>
      <c r="F548" s="1299"/>
      <c r="I548" s="490"/>
    </row>
    <row r="549" spans="1:9" ht="13.9" customHeight="1">
      <c r="A549" s="487"/>
      <c r="B549" s="487"/>
      <c r="C549" s="487"/>
      <c r="D549" s="446"/>
      <c r="I549" s="490"/>
    </row>
    <row r="550" spans="1:9" ht="14.25">
      <c r="A550" s="484"/>
      <c r="B550" s="485" t="s">
        <v>2730</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2730</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2730</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2730</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2731</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2730</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2730</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2730</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2730</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2730</v>
      </c>
      <c r="D588" s="1313" t="s">
        <v>888</v>
      </c>
      <c r="E588" s="1313"/>
      <c r="F588" s="1313"/>
      <c r="I588" s="490"/>
    </row>
    <row r="589" spans="1:9">
      <c r="A589" s="490"/>
      <c r="B589" s="490"/>
      <c r="D589" s="476"/>
      <c r="I589" s="490"/>
    </row>
    <row r="590" spans="1:9">
      <c r="A590" s="490"/>
      <c r="B590" s="485" t="s">
        <v>2730</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2731</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2730</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2731</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2730</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2730</v>
      </c>
      <c r="D620" s="1307" t="s">
        <v>1110</v>
      </c>
      <c r="E620" s="1307"/>
      <c r="F620" s="1307"/>
      <c r="I620" s="490"/>
    </row>
    <row r="621" spans="1:9">
      <c r="D621" s="1307"/>
      <c r="E621" s="1307"/>
      <c r="F621" s="1307"/>
      <c r="I621" s="490"/>
    </row>
    <row r="622" spans="1:9">
      <c r="I622" s="490"/>
    </row>
    <row r="623" spans="1:9">
      <c r="B623" s="485" t="s">
        <v>2730</v>
      </c>
      <c r="D623" s="1307" t="s">
        <v>1111</v>
      </c>
      <c r="E623" s="1307"/>
      <c r="F623" s="1307"/>
      <c r="I623" s="490"/>
    </row>
    <row r="624" spans="1:9">
      <c r="C624" s="500"/>
      <c r="D624" s="1307"/>
      <c r="E624" s="1307"/>
      <c r="F624" s="1307"/>
      <c r="I624" s="490"/>
    </row>
    <row r="625" spans="1:9">
      <c r="C625" s="500"/>
      <c r="I625" s="490"/>
    </row>
    <row r="626" spans="1:9">
      <c r="B626" s="485" t="s">
        <v>2731</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2730</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2731</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2731</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2731</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2731</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65" customHeight="1">
      <c r="A657" s="484"/>
      <c r="B657" s="484"/>
      <c r="C657" s="487"/>
      <c r="D657" s="385"/>
      <c r="E657" s="385"/>
      <c r="F657" s="385"/>
      <c r="I657" s="490"/>
    </row>
    <row r="658" spans="1:9" ht="12.75" customHeight="1">
      <c r="A658" s="483"/>
      <c r="B658" s="485" t="s">
        <v>2731</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2731</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2731</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2731</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2731</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2730</v>
      </c>
      <c r="C694" s="483"/>
      <c r="D694" s="1299" t="s">
        <v>917</v>
      </c>
      <c r="E694" s="1299"/>
      <c r="F694" s="1299"/>
      <c r="H694" s="501"/>
      <c r="I694" s="483"/>
      <c r="J694" s="501"/>
      <c r="K694" s="501"/>
    </row>
    <row r="695" spans="1:11" ht="14.25">
      <c r="A695" s="484"/>
      <c r="B695" s="484"/>
      <c r="C695" s="483"/>
      <c r="D695" s="1299" t="s">
        <v>894</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2731</v>
      </c>
      <c r="C698" s="483"/>
      <c r="D698" s="1299" t="s">
        <v>2467</v>
      </c>
      <c r="E698" s="1299"/>
      <c r="F698" s="1299"/>
      <c r="H698" s="501"/>
      <c r="I698" s="483"/>
      <c r="J698" s="501"/>
      <c r="K698" s="501"/>
    </row>
    <row r="699" spans="1:11" ht="14.25">
      <c r="A699" s="484"/>
      <c r="B699" s="484"/>
      <c r="C699" s="483"/>
      <c r="D699" s="1299" t="s">
        <v>894</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2731</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2731</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2731</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2731</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2731</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2731</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2731</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2731</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9"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2730</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7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2731</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2731</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2730</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2730</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2730</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2731</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2730</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2731</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2731</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2731</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2731</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2730</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2730</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2731</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2731</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2731</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2730</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2730</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2731</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2731</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2731</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2730</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2730</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2730</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2731</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2731</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2731</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2731</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2730</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2730</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2731</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2731</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2731</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2731</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2731</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2730</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2731</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2731</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2730</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2731</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2730</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2731</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2731</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2731</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2731</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2731</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2730</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2731</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2730</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2731</v>
      </c>
      <c r="C1062" s="402"/>
      <c r="D1062" s="402" t="s">
        <v>1811</v>
      </c>
      <c r="I1062" s="490"/>
    </row>
    <row r="1063" spans="1:9">
      <c r="A1063" s="402"/>
      <c r="B1063" s="402"/>
      <c r="C1063" s="402"/>
      <c r="I1063" s="490"/>
    </row>
    <row r="1064" spans="1:9">
      <c r="A1064" s="402"/>
      <c r="B1064" s="485" t="s">
        <v>2731</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2730</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2731</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2731</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2731</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2730</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2731</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2731</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2730</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2731</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2731</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2731</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15" zoomScale="90" zoomScaleNormal="90" workbookViewId="0">
      <selection activeCell="AO631" sqref="AO631:AS631"/>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3.15" customHeight="1">
      <c r="J1" s="100"/>
      <c r="AS1" s="1031">
        <v>4</v>
      </c>
      <c r="BD1" s="3" t="s">
        <v>2495</v>
      </c>
      <c r="BE1" s="3"/>
      <c r="BF1" s="3"/>
    </row>
    <row r="2" spans="1:58" ht="13.15" customHeight="1">
      <c r="BD2" s="3" t="s">
        <v>2496</v>
      </c>
      <c r="BE2" s="3" t="s">
        <v>2497</v>
      </c>
      <c r="BF2" s="3" t="s">
        <v>2498</v>
      </c>
    </row>
    <row r="3" spans="1:58" ht="13.15" customHeight="1">
      <c r="BD3" s="3" t="s">
        <v>2593</v>
      </c>
      <c r="BE3" t="str">
        <f>AC220</f>
        <v>Bay Area ((Alameda, Contra Costa, Marin, San Francisco, San Mateo, Santa Clara, and Santa Cruz Counties)</v>
      </c>
    </row>
    <row r="4" spans="1:58" ht="13.15" customHeight="1">
      <c r="BD4" s="3" t="s">
        <v>2505</v>
      </c>
      <c r="BE4" s="1246"/>
    </row>
    <row r="5" spans="1:58" ht="13.15" customHeight="1">
      <c r="BD5" s="3" t="s">
        <v>2506</v>
      </c>
      <c r="BE5">
        <f>SUMIF($AC$718:$AC$752,"&lt;=20%",$G$718:G$752)</f>
        <v>0</v>
      </c>
      <c r="BF5" s="3" t="s">
        <v>2511</v>
      </c>
    </row>
    <row r="6" spans="1:58" ht="13.15" customHeight="1">
      <c r="BD6" s="3" t="s">
        <v>2507</v>
      </c>
      <c r="BE6" s="1249">
        <f>SUMIF($AC$718:$AC$752,"&lt;=25%",$G$718:G$752)-SUM($BE$5:BE5)</f>
        <v>0</v>
      </c>
    </row>
    <row r="7" spans="1:58" ht="13.15" customHeight="1">
      <c r="BD7" s="1247" t="s">
        <v>2499</v>
      </c>
      <c r="BE7" s="1249">
        <f>SUMIF($AC$718:$AC$752,"&lt;=30%",$G$718:G$752)-SUM($BE$5:BE6)</f>
        <v>13</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8"/>
      <c r="AV8" s="898"/>
      <c r="AW8" s="898"/>
      <c r="AX8" s="898"/>
      <c r="AY8" s="898"/>
      <c r="BD8" s="3" t="s">
        <v>2508</v>
      </c>
      <c r="BE8" s="1249">
        <f>SUMIF($AC$718:$AC$752,"&lt;=35%",$G$718:G$752)-SUM($BE$5:BE7)</f>
        <v>6</v>
      </c>
    </row>
    <row r="9" spans="1:58" ht="13.15" customHeight="1">
      <c r="A9" s="1372" t="s">
        <v>2075</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8" t="s">
        <v>2500</v>
      </c>
      <c r="BE9" s="1249">
        <f>SUMIF($AC$718:$AC$752,"&lt;=40%",$G$718:G$752)-SUM($BE$5:BE8)</f>
        <v>0</v>
      </c>
    </row>
    <row r="10" spans="1:58" ht="13.15" customHeight="1">
      <c r="A10" s="1372" t="s">
        <v>2457</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2509</v>
      </c>
      <c r="BE10" s="1249">
        <f>SUMIF($AC$718:$AC$752,"&lt;=45%",$G$718:G$752)-SUM($BE$5:BE9)</f>
        <v>0</v>
      </c>
    </row>
    <row r="11" spans="1:58" ht="13.15" customHeight="1">
      <c r="A11" s="1372" t="s">
        <v>2603</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7" t="s">
        <v>2501</v>
      </c>
      <c r="BE11" s="1249">
        <f>SUMIF($AC$718:$AC$752,"&lt;=50%",$G$718:G$752)-SUM($BE$5:BE10)</f>
        <v>89</v>
      </c>
    </row>
    <row r="12" spans="1:58" ht="13.15" customHeight="1">
      <c r="A12" s="1411" t="s">
        <v>2609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2510</v>
      </c>
      <c r="BE12" s="1249">
        <f>SUMIF($AC$718:$AC$752,"&lt;=55%",$G$718:G$752)-SUM($BE$5:BE11)</f>
        <v>0</v>
      </c>
    </row>
    <row r="13" spans="1:58" ht="13.1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35</v>
      </c>
    </row>
    <row r="14" spans="1:58" ht="13.1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3.15" customHeight="1">
      <c r="A16" s="57" t="s">
        <v>2077</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8" t="s">
        <v>656</v>
      </c>
      <c r="BE16" s="1249" t="str">
        <f>Application!H18</f>
        <v>Eden Palms</v>
      </c>
    </row>
    <row r="17" spans="1:58" ht="13.15" customHeight="1">
      <c r="BD17" s="1247" t="s">
        <v>2517</v>
      </c>
      <c r="BE17" s="1249">
        <f>Application!AA934</f>
        <v>0</v>
      </c>
    </row>
    <row r="18" spans="1:58" ht="13.15" customHeight="1">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8" t="s">
        <v>2518</v>
      </c>
      <c r="BE18" s="1249">
        <f>'CalHFA Addendum'!N11</f>
        <v>0</v>
      </c>
    </row>
    <row r="19" spans="1:58" ht="13.15" customHeight="1">
      <c r="BD19" s="1247" t="s">
        <v>2519</v>
      </c>
      <c r="BE19" s="1249">
        <f>Application!M26</f>
        <v>2913871</v>
      </c>
    </row>
    <row r="20" spans="1:58" ht="13.1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0"/>
      <c r="AV20" s="900"/>
      <c r="AW20" s="900"/>
      <c r="AX20" s="900"/>
      <c r="AY20" s="900"/>
      <c r="BD20" s="1248" t="s">
        <v>2520</v>
      </c>
      <c r="BE20" s="1249">
        <f>Application!M27</f>
        <v>0</v>
      </c>
    </row>
    <row r="21" spans="1:58" ht="13.15" customHeight="1">
      <c r="A21" s="1421" t="s">
        <v>1008</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1"/>
      <c r="AN21" s="901"/>
      <c r="AO21" s="901"/>
      <c r="AP21" s="901"/>
      <c r="AQ21" s="901"/>
      <c r="AR21" s="901"/>
      <c r="AS21" s="901"/>
      <c r="AT21" s="901"/>
      <c r="AU21" s="901"/>
      <c r="AV21" s="901"/>
      <c r="AW21" s="901"/>
      <c r="AX21" s="901"/>
      <c r="AY21" s="901"/>
      <c r="BD21" s="1247" t="s">
        <v>2521</v>
      </c>
      <c r="BE21" s="1249">
        <f>Application!AM554</f>
        <v>21000000</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76439274</v>
      </c>
      <c r="BF22" s="3" t="s">
        <v>2594</v>
      </c>
    </row>
    <row r="23" spans="1:58" ht="13.1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5717000</v>
      </c>
    </row>
    <row r="24" spans="1:58" ht="13.1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192416</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3.15" customHeight="1">
      <c r="A26" s="4"/>
      <c r="C26" s="4"/>
      <c r="D26" s="4"/>
      <c r="E26" s="4"/>
      <c r="F26" s="4"/>
      <c r="G26" s="4"/>
      <c r="H26" s="4"/>
      <c r="I26" s="4"/>
      <c r="J26" s="4"/>
      <c r="K26" s="4"/>
      <c r="L26" s="4"/>
      <c r="M26" s="1418">
        <f>'Basis &amp; Credits'!AB56</f>
        <v>2913871</v>
      </c>
      <c r="N26" s="1418"/>
      <c r="O26" s="1418"/>
      <c r="P26" s="1418"/>
      <c r="Q26" s="1418"/>
      <c r="R26" s="4" t="s">
        <v>759</v>
      </c>
      <c r="S26" s="4"/>
      <c r="T26" s="4"/>
      <c r="U26" s="4"/>
      <c r="V26" s="4"/>
      <c r="W26" s="4"/>
      <c r="X26" s="4"/>
      <c r="Y26" s="4"/>
      <c r="Z26" s="4"/>
      <c r="AF26" s="4"/>
      <c r="AG26" s="4"/>
      <c r="AH26" s="4"/>
      <c r="AI26" s="4"/>
      <c r="AJ26" s="4"/>
      <c r="AK26" s="4"/>
      <c r="BD26" s="1248" t="s">
        <v>1638</v>
      </c>
      <c r="BE26" s="1249" t="b">
        <f>Application!M356="Yes"</f>
        <v>0</v>
      </c>
    </row>
    <row r="27" spans="1:58" ht="13.15"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2097</v>
      </c>
      <c r="BE27" s="1249" t="b">
        <f>Application!M355="Yes"</f>
        <v>0</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3.15" customHeight="1">
      <c r="A29" s="1413" t="s">
        <v>2146</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7" t="s">
        <v>2526</v>
      </c>
      <c r="BE29" s="1249" t="b">
        <f>Application!M358="Yes"</f>
        <v>1</v>
      </c>
    </row>
    <row r="30" spans="1:58" ht="13.1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8" t="s">
        <v>28</v>
      </c>
      <c r="BE30" s="1249" t="b">
        <f>Application!AJ355="Yes"</f>
        <v>0</v>
      </c>
    </row>
    <row r="31" spans="1:58" ht="13.1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7" t="s">
        <v>2527</v>
      </c>
      <c r="BE31" s="1249" t="str">
        <f>Application!D211</f>
        <v>Non-Targeted</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3.15" customHeight="1">
      <c r="A33" s="519" t="s">
        <v>1277</v>
      </c>
      <c r="C33" s="519"/>
      <c r="D33" s="519"/>
      <c r="E33" s="519"/>
      <c r="F33" s="519"/>
      <c r="G33" s="519"/>
      <c r="H33" s="519"/>
      <c r="I33" s="519"/>
      <c r="J33" s="519"/>
      <c r="K33" s="519"/>
      <c r="L33" s="519"/>
      <c r="M33" s="519"/>
      <c r="N33" s="519"/>
      <c r="O33" s="1332" t="s">
        <v>669</v>
      </c>
      <c r="P33" s="1332"/>
      <c r="Q33" s="1414" t="s">
        <v>2147</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7" t="s">
        <v>2595</v>
      </c>
      <c r="BE33" s="1249" t="str">
        <f>Application!D220</f>
        <v>South and West Bay Region: San Mateo and Santa Clara Counties</v>
      </c>
    </row>
    <row r="34" spans="1:57" ht="13.15" customHeight="1">
      <c r="A34" s="1413" t="s">
        <v>2148</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8" t="s">
        <v>2529</v>
      </c>
      <c r="BE34" s="1249" t="str">
        <f>Application!I185</f>
        <v>5342-5398 Monterey Road</v>
      </c>
    </row>
    <row r="35" spans="1:57" ht="13.1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7" t="s">
        <v>2530</v>
      </c>
      <c r="BE35" s="1249" t="str">
        <f>IF(Application!E187="","",Application!E187)</f>
        <v/>
      </c>
    </row>
    <row r="36" spans="1:57" ht="13.1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8" t="s">
        <v>2531</v>
      </c>
      <c r="BE36" s="1249" t="str">
        <f>Application!I189</f>
        <v>San Jose</v>
      </c>
    </row>
    <row r="37" spans="1:57" ht="13.1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7" t="s">
        <v>2532</v>
      </c>
      <c r="BE37" s="1249" t="str">
        <f>Application!T189</f>
        <v>Santa Clara</v>
      </c>
    </row>
    <row r="38" spans="1:57" ht="13.15" customHeight="1">
      <c r="A38" s="3"/>
      <c r="AZ38" s="20"/>
      <c r="BD38" s="1248" t="s">
        <v>2533</v>
      </c>
      <c r="BE38" s="1249">
        <f>Application!I190</f>
        <v>95111</v>
      </c>
    </row>
    <row r="39" spans="1:57" ht="13.1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145</v>
      </c>
    </row>
    <row r="40" spans="1:57" ht="13.1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143</v>
      </c>
    </row>
    <row r="41" spans="1:57" ht="13.1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1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0.5</v>
      </c>
    </row>
    <row r="43" spans="1:57" ht="13.1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0.39393185457521729</v>
      </c>
    </row>
    <row r="44" spans="1:57" ht="13.1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527167.40689655172</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28</v>
      </c>
    </row>
    <row r="46" spans="1:57" ht="13.1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0</v>
      </c>
    </row>
    <row r="47" spans="1:57" ht="13.1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1</v>
      </c>
    </row>
    <row r="48" spans="1:57" ht="13.1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Eden Palms LLC</v>
      </c>
    </row>
    <row r="49" spans="1:57" ht="13.1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Andrea Osgood</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Eden Housing, Inc.</v>
      </c>
    </row>
    <row r="51" spans="1:57" ht="13.1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f>Application!M251</f>
        <v>0</v>
      </c>
    </row>
    <row r="52" spans="1:57" ht="13.1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f>Application!M254</f>
        <v>0</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f>Application!AA257</f>
        <v>0</v>
      </c>
    </row>
    <row r="54" spans="1:57" ht="13.1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3.1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3.1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3.1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Eden Housing, Inc.</v>
      </c>
    </row>
    <row r="58" spans="1:57" ht="13.1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22645 Grand Street</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Hayward, CA, 94541</v>
      </c>
    </row>
    <row r="60" spans="1:57" ht="13.1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Weijia Song</v>
      </c>
    </row>
    <row r="61" spans="1:57" ht="13.1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wsong@co-operations.org</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0.84245846847715633</v>
      </c>
    </row>
    <row r="63" spans="1:57" ht="13.1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t="str">
        <f>Application!X180</f>
        <v>Yes</v>
      </c>
    </row>
    <row r="65" spans="1:57" ht="13.15" customHeight="1">
      <c r="A65" s="1415" t="s">
        <v>2155</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7" t="s">
        <v>2592</v>
      </c>
      <c r="BE65" s="1249" t="str">
        <f>Z205</f>
        <v>$500M</v>
      </c>
    </row>
    <row r="66" spans="1:57" ht="13.1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8" t="s">
        <v>2557</v>
      </c>
      <c r="BE66" s="1249" t="b">
        <f>Application!Z205="State Farmworker Credit"</f>
        <v>0</v>
      </c>
    </row>
    <row r="67" spans="1:57" ht="13.1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7" t="s">
        <v>2558</v>
      </c>
      <c r="BE67" s="1249" t="b">
        <f>Application!O33="Yes"</f>
        <v>0</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3.15" customHeight="1">
      <c r="A69" s="1415" t="s">
        <v>2156</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7" t="s">
        <v>2560</v>
      </c>
      <c r="BE69" s="1249" t="str">
        <f>Application!W700</f>
        <v>California Municipal Finance Authority</v>
      </c>
    </row>
    <row r="70" spans="1:57" ht="13.1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8" t="s">
        <v>2561</v>
      </c>
      <c r="BE70" s="1249">
        <f>'Points System'!AF821</f>
        <v>110</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3.15" customHeight="1">
      <c r="A72" s="1413" t="s">
        <v>2157</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8" t="s">
        <v>2563</v>
      </c>
      <c r="BE72" s="1249">
        <f>'Points System'!AF805</f>
        <v>0</v>
      </c>
    </row>
    <row r="73" spans="1:57" ht="13.1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7" t="s">
        <v>2564</v>
      </c>
      <c r="BE73" s="1249">
        <f>'Points System'!AF806</f>
        <v>19.999999999999996</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3.15" customHeight="1">
      <c r="A75" s="1786" t="s">
        <v>2158</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2566</v>
      </c>
      <c r="BE75" s="1249">
        <f>'Points System'!AF808</f>
        <v>10</v>
      </c>
    </row>
    <row r="76" spans="1:57" ht="13.1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2567</v>
      </c>
      <c r="BE76" s="1249">
        <f>'Points System'!AF811</f>
        <v>0</v>
      </c>
    </row>
    <row r="77" spans="1:57" ht="13.1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2568</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3.15" customHeight="1">
      <c r="A79" s="1415" t="s">
        <v>2159</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7" t="s">
        <v>2570</v>
      </c>
      <c r="BE79" s="1249">
        <f>'Points System'!AF815</f>
        <v>0</v>
      </c>
    </row>
    <row r="80" spans="1:57" ht="13.1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8" t="s">
        <v>2571</v>
      </c>
      <c r="BE80" s="1249">
        <f>'Points System'!AF817</f>
        <v>10</v>
      </c>
    </row>
    <row r="81" spans="1:57" ht="13.1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7" t="s">
        <v>2572</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3.1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3.7525876540824159</v>
      </c>
    </row>
    <row r="84" spans="1:57" ht="13.1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San Jose</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Erik Soliván</v>
      </c>
    </row>
    <row r="86" spans="1:57" ht="13.1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Housing Director</v>
      </c>
    </row>
    <row r="87" spans="1:57" ht="13.1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200 East Santa Clara St.</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San Jose</v>
      </c>
    </row>
    <row r="89" spans="1:57" ht="13.15" customHeight="1">
      <c r="A89" s="1785" t="s">
        <v>2162</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2580</v>
      </c>
      <c r="BE89" s="1249">
        <f>Application!O158</f>
        <v>95113</v>
      </c>
    </row>
    <row r="90" spans="1:57" ht="13.1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2581</v>
      </c>
      <c r="BE90" s="1249" t="str">
        <f>Application!H16</f>
        <v>Eden Housing, Inc.</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22645 Grand Street</v>
      </c>
    </row>
    <row r="92" spans="1:57" ht="13.15" customHeight="1">
      <c r="A92" s="1786" t="s">
        <v>2163</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2583</v>
      </c>
      <c r="BE92" s="1249" t="str">
        <f>Application!M234</f>
        <v>Hayward</v>
      </c>
    </row>
    <row r="93" spans="1:57" ht="13.1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2584</v>
      </c>
      <c r="BE93" s="1249" t="str">
        <f>Application!W234</f>
        <v>CA</v>
      </c>
    </row>
    <row r="94" spans="1:57" ht="13.1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2585</v>
      </c>
      <c r="BE94" s="1249">
        <f>Application!AC234</f>
        <v>94541</v>
      </c>
    </row>
    <row r="95" spans="1:57" ht="13.1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2586</v>
      </c>
      <c r="BE95" s="1249" t="str">
        <f>Application!M235</f>
        <v>Andrea Osgood</v>
      </c>
    </row>
    <row r="96" spans="1:57" ht="13.1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2587</v>
      </c>
      <c r="BE96" s="1249" t="str">
        <f>Application!M237</f>
        <v>aosgood@edenhousing.org</v>
      </c>
    </row>
    <row r="97" spans="1:57" ht="13.1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2588</v>
      </c>
      <c r="BE97" s="1249" t="str">
        <f>Application!M248</f>
        <v>aosgood@edenhousing.org</v>
      </c>
    </row>
    <row r="98" spans="1:57" ht="13.1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2589</v>
      </c>
      <c r="BE98" s="1249">
        <f>Application!M256</f>
        <v>0</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3.15" customHeight="1">
      <c r="A100" s="1787" t="s">
        <v>2164</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2591</v>
      </c>
      <c r="BE100" s="1249" t="str">
        <f>Application!L279</f>
        <v>wsong@co-operations.org</v>
      </c>
    </row>
    <row r="101" spans="1:57" ht="13.1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2596</v>
      </c>
      <c r="BE101">
        <f>'Sources and Uses Budget'!C105</f>
        <v>76439274</v>
      </c>
    </row>
    <row r="102" spans="1:57" ht="13.1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2597</v>
      </c>
      <c r="BE102" t="b">
        <f>T197="Yes"</f>
        <v>0</v>
      </c>
    </row>
    <row r="103" spans="1:57" ht="13.1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2174</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787" t="s">
        <v>2165</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3.1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181</v>
      </c>
      <c r="G113" s="1788" t="s">
        <v>2724</v>
      </c>
      <c r="H113" s="1788"/>
      <c r="I113" s="3" t="s">
        <v>182</v>
      </c>
      <c r="L113" s="1788" t="s">
        <v>2725</v>
      </c>
      <c r="M113" s="1788"/>
      <c r="N113" s="1788"/>
      <c r="O113" s="1788"/>
      <c r="P113" s="1795" t="s">
        <v>2238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800" t="s">
        <v>2624</v>
      </c>
      <c r="D115" s="1800"/>
      <c r="E115" s="1800"/>
      <c r="F115" s="1800"/>
      <c r="G115" s="1800"/>
      <c r="H115" s="1800"/>
      <c r="I115" s="1800"/>
      <c r="J115" s="1800"/>
      <c r="K115" s="1800"/>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628</v>
      </c>
      <c r="Y117" s="1788" t="s">
        <v>2626</v>
      </c>
      <c r="Z117" s="1788"/>
      <c r="AA117" s="1788"/>
      <c r="AB117" s="1788"/>
      <c r="AC117" s="1788"/>
      <c r="AD117" s="1788"/>
      <c r="AE117" s="1788"/>
      <c r="AF117" s="1788"/>
      <c r="AG117" s="1788"/>
      <c r="AH117" s="1788"/>
      <c r="AI117" s="1788"/>
      <c r="AJ117" s="1788"/>
      <c r="AK117" s="1788"/>
    </row>
    <row r="118" spans="1:117" ht="13.15" customHeight="1">
      <c r="X118" s="3"/>
      <c r="Y118" s="3"/>
      <c r="Z118" s="3" t="s">
        <v>629</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788" t="s">
        <v>2626</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Santa Clara</v>
      </c>
      <c r="DH122" s="1654"/>
      <c r="DI122" s="1654"/>
      <c r="DJ122" s="1654"/>
      <c r="DK122" s="1654"/>
      <c r="DL122" s="1654"/>
      <c r="DM122" s="1655"/>
    </row>
    <row r="123" spans="1:117" ht="13.15" customHeight="1">
      <c r="A123" s="3"/>
      <c r="B123" s="3"/>
      <c r="T123" s="3"/>
      <c r="U123" s="3"/>
      <c r="V123" s="3"/>
      <c r="W123" s="3"/>
      <c r="X123" s="3"/>
      <c r="Y123" s="1788" t="s">
        <v>2701</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1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3.15" customHeight="1">
      <c r="BM152">
        <v>4</v>
      </c>
      <c r="BN152" s="3" t="s">
        <v>2463</v>
      </c>
    </row>
    <row r="153" spans="1:108" ht="13.15" customHeight="1">
      <c r="D153" t="s">
        <v>645</v>
      </c>
      <c r="O153" s="1417" t="s">
        <v>2613</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2465</v>
      </c>
      <c r="CR153" s="31" t="s">
        <v>2598</v>
      </c>
      <c r="CS153" s="32"/>
      <c r="CT153" s="32"/>
      <c r="CU153" s="32"/>
      <c r="CV153" s="32"/>
      <c r="CW153" s="32"/>
      <c r="CX153" s="14"/>
      <c r="CY153" s="31" t="s">
        <v>2599</v>
      </c>
      <c r="CZ153" s="14"/>
      <c r="DA153" s="14"/>
      <c r="DB153" s="14"/>
      <c r="DC153" s="14"/>
      <c r="DD153" s="14"/>
    </row>
    <row r="154" spans="1:108" ht="13.15" customHeight="1">
      <c r="D154" s="303" t="s">
        <v>440</v>
      </c>
      <c r="O154" s="1436" t="s">
        <v>2614</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2466</v>
      </c>
      <c r="CR154" s="31"/>
      <c r="CS154" s="32"/>
      <c r="CT154" s="32"/>
      <c r="CU154" s="32"/>
      <c r="CV154" s="32"/>
      <c r="CW154" s="32"/>
      <c r="CX154" s="14"/>
      <c r="CY154" s="31"/>
      <c r="CZ154" s="14"/>
      <c r="DA154" s="14"/>
      <c r="DB154" s="14"/>
      <c r="DC154" s="14"/>
      <c r="DD154" s="14"/>
    </row>
    <row r="155" spans="1:108" ht="13.15" customHeight="1">
      <c r="D155" s="8" t="s">
        <v>441</v>
      </c>
      <c r="F155" s="8"/>
      <c r="G155" s="8"/>
      <c r="H155" s="8"/>
      <c r="I155" s="8"/>
      <c r="J155" s="8"/>
      <c r="K155" s="8"/>
      <c r="L155" s="8"/>
      <c r="M155" s="8"/>
      <c r="N155" s="8"/>
      <c r="O155" s="1808" t="s">
        <v>2615</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591</v>
      </c>
      <c r="CR155" s="31"/>
      <c r="CS155" s="32"/>
      <c r="CT155" s="32"/>
      <c r="CU155" s="32"/>
      <c r="CV155" s="32"/>
      <c r="CW155" s="32"/>
      <c r="CX155" s="14"/>
      <c r="CY155" s="31"/>
      <c r="CZ155" s="14"/>
      <c r="DA155" s="14"/>
      <c r="DB155" s="14"/>
      <c r="DC155" s="14"/>
      <c r="DD155" s="14"/>
    </row>
    <row r="156" spans="1:108" ht="13.15" customHeight="1">
      <c r="D156" t="s">
        <v>313</v>
      </c>
      <c r="O156" s="1371" t="s">
        <v>2616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417" t="s">
        <v>2617</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791">
        <v>95113</v>
      </c>
      <c r="P158" s="1791"/>
      <c r="Q158" s="1791"/>
      <c r="R158" s="1791"/>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780" t="s">
        <v>2618</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1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15" customHeight="1">
      <c r="D161" t="s">
        <v>318</v>
      </c>
      <c r="O161" s="1784" t="s">
        <v>2619</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1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15" customHeight="1">
      <c r="C164" s="27"/>
      <c r="D164" s="1801" t="s">
        <v>2215</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1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1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1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1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15"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15" customHeight="1">
      <c r="C174" s="24"/>
      <c r="D174" s="3" t="s">
        <v>1201</v>
      </c>
      <c r="J174" s="1371" t="s">
        <v>2100</v>
      </c>
      <c r="K174" s="1371"/>
      <c r="L174" s="1371"/>
      <c r="M174" s="1371"/>
      <c r="N174" s="1371"/>
      <c r="O174" s="1371"/>
      <c r="P174" s="1371"/>
      <c r="Q174" s="1371"/>
      <c r="R174" s="1371"/>
      <c r="S174" s="1371"/>
      <c r="T174" s="1371"/>
      <c r="U174" s="1371"/>
      <c r="V174" s="1371"/>
      <c r="W174" s="1371"/>
      <c r="X174" s="1371"/>
      <c r="Y174" s="1371"/>
      <c r="Z174" s="1371"/>
      <c r="AA174" s="1371"/>
      <c r="AB174" s="1371"/>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15" customHeight="1">
      <c r="C175" s="8"/>
      <c r="D175" s="3" t="s">
        <v>322</v>
      </c>
      <c r="O175" s="27"/>
      <c r="U175" s="1332" t="s">
        <v>545</v>
      </c>
      <c r="V175" s="1332"/>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15" customHeight="1">
      <c r="C176" s="8"/>
      <c r="D176" s="26"/>
      <c r="E176" t="s">
        <v>304</v>
      </c>
      <c r="O176" s="27"/>
      <c r="P176" t="s">
        <v>2078</v>
      </c>
      <c r="T176" s="27" t="s">
        <v>305</v>
      </c>
      <c r="U176" s="1425">
        <v>25</v>
      </c>
      <c r="V176" s="1425"/>
      <c r="W176" s="1" t="s">
        <v>306</v>
      </c>
      <c r="X176" s="1783">
        <v>478</v>
      </c>
      <c r="Y176" s="1783"/>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15" customHeight="1">
      <c r="C177" s="24"/>
      <c r="D177" t="s">
        <v>249</v>
      </c>
      <c r="R177" s="1332" t="s">
        <v>669</v>
      </c>
      <c r="S177" s="1332"/>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15" customHeight="1">
      <c r="C178" s="24"/>
      <c r="D178" s="3" t="s">
        <v>1202</v>
      </c>
      <c r="AA178" t="s">
        <v>2078</v>
      </c>
      <c r="AE178" s="27" t="s">
        <v>305</v>
      </c>
      <c r="AF178" s="1782"/>
      <c r="AG178" s="1782"/>
      <c r="AH178" s="1" t="s">
        <v>306</v>
      </c>
      <c r="AI178" s="1804"/>
      <c r="AJ178" s="1804"/>
      <c r="AK178" s="1804"/>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1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15" customHeight="1">
      <c r="C180" s="24"/>
      <c r="D180" t="s">
        <v>2079</v>
      </c>
      <c r="X180" s="1332" t="s">
        <v>545</v>
      </c>
      <c r="Y180" s="1332"/>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1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1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1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15" customHeight="1">
      <c r="C184" s="21"/>
      <c r="D184" t="s">
        <v>578</v>
      </c>
      <c r="I184" s="1358" t="str">
        <f>H18</f>
        <v>Eden Palms</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15" customHeight="1">
      <c r="C185" s="21"/>
      <c r="D185" t="s">
        <v>579</v>
      </c>
      <c r="I185" s="1348" t="s">
        <v>2620</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1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15"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15" customHeight="1">
      <c r="C188" s="21"/>
      <c r="E188" s="1772"/>
      <c r="F188" s="1772"/>
      <c r="G188" s="1772"/>
      <c r="H188" s="1772"/>
      <c r="I188" s="1772"/>
      <c r="J188" s="1772"/>
      <c r="K188" s="1772"/>
      <c r="L188" s="1772"/>
      <c r="M188" s="1772"/>
      <c r="N188" s="1772"/>
      <c r="O188" s="1772"/>
      <c r="P188" s="1772"/>
      <c r="Q188" s="1772"/>
      <c r="R188" s="1772"/>
      <c r="S188" s="1772"/>
      <c r="T188" s="1772"/>
      <c r="U188" s="1772"/>
      <c r="V188" s="1772"/>
      <c r="W188" s="1772"/>
      <c r="X188" s="1772"/>
      <c r="Y188" s="1772"/>
      <c r="Z188" s="1772"/>
      <c r="AA188" s="1772"/>
      <c r="AB188" s="1772"/>
      <c r="AC188" s="1772"/>
      <c r="AD188" s="1772"/>
      <c r="AE188" s="1772"/>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15" customHeight="1">
      <c r="C189" s="21"/>
      <c r="D189" t="s">
        <v>580</v>
      </c>
      <c r="I189" s="1416" t="s">
        <v>2617</v>
      </c>
      <c r="J189" s="1371"/>
      <c r="K189" s="1371"/>
      <c r="L189" s="1371"/>
      <c r="M189" s="1371"/>
      <c r="N189" s="1371"/>
      <c r="O189" s="1371"/>
      <c r="P189" s="1371"/>
      <c r="Q189" t="s">
        <v>582</v>
      </c>
      <c r="T189" s="1371" t="s">
        <v>192</v>
      </c>
      <c r="U189" s="1371"/>
      <c r="V189" s="1371"/>
      <c r="W189" s="1371"/>
      <c r="X189" s="1371"/>
      <c r="Y189" s="1371"/>
      <c r="Z189" s="1371"/>
      <c r="AA189" s="1371"/>
      <c r="AB189" s="1371"/>
      <c r="AC189" s="1371"/>
      <c r="AD189" s="1371"/>
      <c r="AE189" s="137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15" customHeight="1">
      <c r="C190" s="21"/>
      <c r="D190" t="s">
        <v>583</v>
      </c>
      <c r="I190" s="1348">
        <v>95111</v>
      </c>
      <c r="J190" s="1348"/>
      <c r="K190" s="1348"/>
      <c r="L190" s="1348"/>
      <c r="M190" s="1348"/>
      <c r="N190" s="1348"/>
      <c r="O190" t="s">
        <v>585</v>
      </c>
      <c r="T190" s="1789">
        <v>5120.43</v>
      </c>
      <c r="U190" s="1789"/>
      <c r="V190" s="1789"/>
      <c r="W190" s="1789"/>
      <c r="X190" s="1789"/>
      <c r="Y190" s="1789"/>
      <c r="Z190" s="1789"/>
      <c r="AA190" s="1789"/>
      <c r="AB190" s="1789"/>
      <c r="AC190" s="1789"/>
      <c r="AD190" s="1789"/>
      <c r="AE190" s="1789"/>
      <c r="BC190" t="s">
        <v>1040</v>
      </c>
      <c r="BH190" t="s">
        <v>1040</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15" customHeight="1">
      <c r="C191" s="21"/>
      <c r="D191" t="s">
        <v>462</v>
      </c>
      <c r="N191" s="1803" t="s">
        <v>2621</v>
      </c>
      <c r="O191" s="1803"/>
      <c r="P191" s="1803"/>
      <c r="Q191" s="1803"/>
      <c r="R191" s="1803"/>
      <c r="S191" s="1803"/>
      <c r="T191" s="1803"/>
      <c r="U191" s="1803"/>
      <c r="V191" s="1803"/>
      <c r="W191" s="1803"/>
      <c r="X191" s="1803"/>
      <c r="Y191" s="1803"/>
      <c r="Z191" s="1803"/>
      <c r="AA191" s="1803"/>
      <c r="AB191" s="1803"/>
      <c r="AC191" s="1803"/>
      <c r="AD191" s="1803"/>
      <c r="AE191" s="1803"/>
      <c r="BC191" t="s">
        <v>1039</v>
      </c>
      <c r="BH191" t="s">
        <v>1039</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15" customHeight="1">
      <c r="C192" s="21"/>
      <c r="M192" s="40"/>
      <c r="N192" s="1772"/>
      <c r="O192" s="1772"/>
      <c r="P192" s="1772"/>
      <c r="Q192" s="1772"/>
      <c r="R192" s="1772"/>
      <c r="S192" s="1772"/>
      <c r="T192" s="1772"/>
      <c r="U192" s="1772"/>
      <c r="V192" s="1772"/>
      <c r="W192" s="1772"/>
      <c r="X192" s="1772"/>
      <c r="Y192" s="1772"/>
      <c r="Z192" s="1772"/>
      <c r="AA192" s="1772"/>
      <c r="AB192" s="1772"/>
      <c r="AC192" s="1772"/>
      <c r="AD192" s="1772"/>
      <c r="AE192" s="1772"/>
      <c r="BC192" t="s">
        <v>1042</v>
      </c>
      <c r="BH192" s="3" t="s">
        <v>1363</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15" customHeight="1">
      <c r="C193" s="21"/>
      <c r="D193" t="s">
        <v>2080</v>
      </c>
      <c r="M193" s="40"/>
      <c r="N193" s="894"/>
      <c r="O193" s="894"/>
      <c r="P193" s="894"/>
      <c r="Q193" s="894"/>
      <c r="R193" s="894"/>
      <c r="S193" s="894"/>
      <c r="T193" s="1793" t="s">
        <v>2212</v>
      </c>
      <c r="U193" s="1793"/>
      <c r="V193" s="1793"/>
      <c r="W193" s="1793"/>
      <c r="X193" s="1793"/>
      <c r="Y193" s="1793"/>
      <c r="Z193" s="1793"/>
      <c r="AA193" s="1793"/>
      <c r="AB193" s="1793"/>
      <c r="AC193" s="1793"/>
      <c r="AD193" s="1793"/>
      <c r="AE193" s="1793"/>
      <c r="AF193" s="1793"/>
      <c r="AG193" s="1793"/>
      <c r="AH193" s="1793"/>
      <c r="AI193" s="1793"/>
      <c r="BC193" t="s">
        <v>1041</v>
      </c>
      <c r="BH193" s="3" t="s">
        <v>1628</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15" customHeight="1">
      <c r="C194" s="21"/>
      <c r="D194" s="3" t="s">
        <v>2214</v>
      </c>
      <c r="M194" s="40"/>
      <c r="N194" s="894"/>
      <c r="O194" s="894"/>
      <c r="P194" s="894"/>
      <c r="Q194" s="894"/>
      <c r="R194" s="894"/>
      <c r="S194" s="894"/>
      <c r="AH194" s="1332" t="s">
        <v>669</v>
      </c>
      <c r="AI194" s="1332"/>
      <c r="BC194" t="s">
        <v>1363</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15" customHeight="1">
      <c r="C195" s="21"/>
      <c r="D195" t="s">
        <v>331</v>
      </c>
      <c r="T195" s="1332" t="s">
        <v>669</v>
      </c>
      <c r="U195" s="1332"/>
      <c r="W195" t="s">
        <v>684</v>
      </c>
      <c r="AH195" s="1332">
        <v>19</v>
      </c>
      <c r="AI195" s="1332"/>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15" customHeight="1">
      <c r="C196" s="21"/>
      <c r="D196" t="s">
        <v>386</v>
      </c>
      <c r="T196" s="1402" t="s">
        <v>545</v>
      </c>
      <c r="U196" s="1402"/>
      <c r="W196" t="s">
        <v>685</v>
      </c>
      <c r="AH196" s="1332">
        <v>25</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15" customHeight="1">
      <c r="C197" s="21"/>
      <c r="D197" s="3" t="s">
        <v>169</v>
      </c>
      <c r="T197" s="1402" t="s">
        <v>669</v>
      </c>
      <c r="U197" s="1402"/>
      <c r="W197" t="s">
        <v>686</v>
      </c>
      <c r="AH197" s="1332">
        <v>15</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15" customHeight="1">
      <c r="A198"/>
      <c r="B198"/>
      <c r="C198" s="21"/>
      <c r="D198" s="3" t="s">
        <v>1651</v>
      </c>
      <c r="E198"/>
      <c r="F198"/>
      <c r="G198"/>
      <c r="H198"/>
      <c r="I198"/>
      <c r="J198"/>
      <c r="K198"/>
      <c r="L198"/>
      <c r="M198"/>
      <c r="N198"/>
      <c r="O198"/>
      <c r="P198"/>
      <c r="Q198"/>
      <c r="R198"/>
      <c r="S198"/>
      <c r="T198" s="1402">
        <v>0</v>
      </c>
      <c r="U198" s="1402"/>
      <c r="V198"/>
      <c r="X198" s="1413" t="s">
        <v>2512</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15" customHeight="1">
      <c r="A199"/>
      <c r="B199"/>
      <c r="C199" s="21"/>
      <c r="D199" s="118" t="s">
        <v>2515</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15" customHeight="1">
      <c r="A200"/>
      <c r="B200"/>
      <c r="C200" s="21"/>
      <c r="D200" s="14" t="s">
        <v>2513</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15" customHeight="1">
      <c r="A201"/>
      <c r="B201"/>
      <c r="C201" s="21"/>
      <c r="E201" s="3" t="s">
        <v>2514</v>
      </c>
      <c r="V201"/>
      <c r="X201"/>
      <c r="Y201"/>
      <c r="Z201"/>
      <c r="AB201" s="1250" t="s">
        <v>919</v>
      </c>
      <c r="AC201"/>
      <c r="AH201" s="1"/>
      <c r="AJ201"/>
      <c r="AK201"/>
      <c r="AL201"/>
      <c r="AM201"/>
      <c r="AN201"/>
      <c r="AO201"/>
      <c r="AP201"/>
      <c r="AQ201"/>
      <c r="AR201"/>
      <c r="AS201"/>
      <c r="AU201"/>
      <c r="AV201"/>
      <c r="AW201"/>
      <c r="AX201"/>
      <c r="AY201"/>
      <c r="AZ201" s="30"/>
      <c r="BA201" s="30"/>
      <c r="BC201" s="3" t="s">
        <v>1060</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1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15" customHeight="1">
      <c r="A203" s="2" t="s">
        <v>586</v>
      </c>
      <c r="C203" s="2" t="s">
        <v>136</v>
      </c>
      <c r="BC203" t="s">
        <v>1061</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15" customHeight="1">
      <c r="D204" s="1358" t="s">
        <v>385</v>
      </c>
      <c r="E204" s="1358"/>
      <c r="F204" s="1358"/>
      <c r="G204" s="1358"/>
      <c r="H204" s="1358"/>
      <c r="I204" s="1358"/>
      <c r="J204" s="1358"/>
      <c r="K204" s="1358"/>
      <c r="L204" s="1358"/>
      <c r="M204" s="1358"/>
      <c r="P204" s="1802">
        <f>M26</f>
        <v>2913871</v>
      </c>
      <c r="Q204" s="1781"/>
      <c r="R204" s="1781"/>
      <c r="S204" s="1781"/>
      <c r="T204" s="1781"/>
      <c r="U204" s="1781"/>
      <c r="BC204" t="s">
        <v>1062</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15" customHeight="1">
      <c r="C205" s="21"/>
      <c r="D205" s="1811" t="s">
        <v>1246</v>
      </c>
      <c r="E205" s="1358"/>
      <c r="F205" s="1358"/>
      <c r="G205" s="1358"/>
      <c r="H205" s="1358"/>
      <c r="I205" s="1358"/>
      <c r="J205" s="1358"/>
      <c r="K205" s="1358"/>
      <c r="L205" s="1358"/>
      <c r="M205" s="1358"/>
      <c r="P205" s="1781">
        <f>M27</f>
        <v>0</v>
      </c>
      <c r="Q205" s="1781"/>
      <c r="R205" s="1781"/>
      <c r="S205" s="1781"/>
      <c r="T205" s="1781"/>
      <c r="U205" s="1781"/>
      <c r="V205" s="28"/>
      <c r="W205" s="3" t="s">
        <v>1719</v>
      </c>
      <c r="Z205" s="1809" t="s">
        <v>2218</v>
      </c>
      <c r="AA205" s="1809"/>
      <c r="AB205" s="1809"/>
      <c r="AC205" s="1809"/>
      <c r="AD205" s="1809"/>
      <c r="AE205" s="1809"/>
      <c r="AF205" s="1809"/>
      <c r="AG205" s="1809"/>
      <c r="AH205" s="1809"/>
      <c r="AI205" s="1809"/>
      <c r="AJ205" s="1809"/>
      <c r="AK205" s="1809"/>
      <c r="AL205" s="1809"/>
      <c r="AM205" s="1809"/>
      <c r="AN205" s="1809"/>
      <c r="AP205" s="1335"/>
      <c r="AQ205" s="1335"/>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15" customHeight="1">
      <c r="A207" s="2" t="s">
        <v>589</v>
      </c>
      <c r="C207" s="2" t="s">
        <v>551</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15" customHeight="1">
      <c r="C208" s="21"/>
      <c r="D208" s="1417" t="s">
        <v>2622</v>
      </c>
      <c r="E208" s="1417"/>
      <c r="F208" s="1417"/>
      <c r="G208" s="1417"/>
      <c r="H208" s="1417"/>
      <c r="I208" s="1417"/>
      <c r="J208" s="1417"/>
      <c r="K208" s="1417"/>
      <c r="L208" s="1417"/>
      <c r="M208" s="1417"/>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417" t="s">
        <v>1855</v>
      </c>
      <c r="E211" s="1417"/>
      <c r="F211" s="1417"/>
      <c r="G211" s="1417"/>
      <c r="H211" s="1417"/>
      <c r="I211" s="1417"/>
      <c r="J211" s="1417"/>
      <c r="K211" s="1417"/>
      <c r="L211" s="1417"/>
      <c r="M211" s="141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2229</v>
      </c>
      <c r="Q212" s="1332">
        <v>0</v>
      </c>
      <c r="R212" s="1332"/>
      <c r="T212" s="1796">
        <f>IFERROR(Q212/AG440,0)</f>
        <v>0</v>
      </c>
      <c r="U212" s="1797"/>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2472</v>
      </c>
      <c r="BC213" t="s">
        <v>526</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799" t="s">
        <v>591</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1652</v>
      </c>
      <c r="Z215" s="40"/>
      <c r="AB215" s="1798"/>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1650</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15" customHeight="1">
      <c r="A218" s="2" t="s">
        <v>592</v>
      </c>
      <c r="C218" s="2" t="s">
        <v>2232</v>
      </c>
      <c r="D218" s="28"/>
      <c r="AC218" s="2" t="s">
        <v>2461</v>
      </c>
      <c r="BC218" t="s">
        <v>529</v>
      </c>
    </row>
    <row r="219" spans="1:108" ht="13.15" customHeight="1">
      <c r="A219" s="2"/>
      <c r="C219" s="2"/>
      <c r="D219" s="3" t="s">
        <v>2462</v>
      </c>
      <c r="AZ219" s="3"/>
      <c r="BA219" s="3"/>
      <c r="BC219" t="s">
        <v>377</v>
      </c>
    </row>
    <row r="220" spans="1:108" ht="13.15" customHeight="1">
      <c r="A220" s="2"/>
      <c r="C220" s="2"/>
      <c r="D220" s="1417" t="s">
        <v>1025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10" t="s">
        <v>2464</v>
      </c>
      <c r="AD220" s="1810"/>
      <c r="AE220" s="1810"/>
      <c r="AF220" s="1810"/>
      <c r="AG220" s="1810"/>
      <c r="AH220" s="1810"/>
      <c r="AI220" s="1810"/>
      <c r="AJ220" s="1810"/>
      <c r="AK220" s="1810"/>
      <c r="AL220" s="1810"/>
      <c r="AM220" s="1810"/>
      <c r="AN220" s="1810"/>
      <c r="AO220" s="1810"/>
      <c r="AP220" s="1810"/>
      <c r="AQ220" s="1810"/>
      <c r="BA220" s="3"/>
      <c r="BC220" t="s">
        <v>300</v>
      </c>
    </row>
    <row r="221" spans="1:108" ht="13.15" customHeight="1">
      <c r="A221" s="2"/>
      <c r="B221" s="14"/>
      <c r="C221" s="2"/>
      <c r="BA221" s="3"/>
    </row>
    <row r="222" spans="1:108" ht="13.1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1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15" customHeight="1">
      <c r="AZ224" s="4"/>
      <c r="BA224" s="3"/>
      <c r="BB224" s="3"/>
      <c r="BQ224" s="34"/>
    </row>
    <row r="225" spans="1:59" ht="13.1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1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591</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1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1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470</v>
      </c>
      <c r="E232" s="4"/>
      <c r="F232" s="4"/>
      <c r="G232" s="4"/>
      <c r="H232" s="4"/>
      <c r="I232" s="4"/>
      <c r="J232" s="4"/>
      <c r="K232" s="4"/>
      <c r="M232" s="1790" t="str">
        <f>H16</f>
        <v>Eden Housing, Inc.</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538</v>
      </c>
      <c r="BG232" s="241">
        <f>IF(AND(AND($M$249="nonprofit",$M$257="nonprofit",$M$265="for profit")),2,0)</f>
        <v>0</v>
      </c>
    </row>
    <row r="233" spans="1:59" ht="13.15" customHeight="1">
      <c r="D233" s="4" t="s">
        <v>85</v>
      </c>
      <c r="E233" s="4"/>
      <c r="F233" s="4"/>
      <c r="G233" s="4"/>
      <c r="H233" s="4"/>
      <c r="I233" s="4"/>
      <c r="J233" s="4"/>
      <c r="K233" s="4"/>
      <c r="M233" s="1417" t="s">
        <v>2623</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3.15" customHeight="1">
      <c r="D234" s="4" t="s">
        <v>580</v>
      </c>
      <c r="E234" s="4"/>
      <c r="M234" s="1417" t="s">
        <v>2624</v>
      </c>
      <c r="N234" s="1417"/>
      <c r="O234" s="1417"/>
      <c r="P234" s="1417"/>
      <c r="Q234" s="1417"/>
      <c r="R234" s="1417"/>
      <c r="S234" s="1417"/>
      <c r="T234" s="1417"/>
      <c r="V234" s="33" t="s">
        <v>86</v>
      </c>
      <c r="W234" s="1436" t="s">
        <v>2625</v>
      </c>
      <c r="X234" s="1436"/>
      <c r="Y234" s="4" t="s">
        <v>583</v>
      </c>
      <c r="AC234" s="1417">
        <v>94541</v>
      </c>
      <c r="AD234" s="1417"/>
      <c r="AE234" s="1417"/>
      <c r="AU234" s="4"/>
      <c r="AV234" s="4"/>
      <c r="AW234" s="4"/>
      <c r="AX234" s="4"/>
      <c r="AY234" s="4"/>
      <c r="AZ234" s="4"/>
      <c r="BB234" s="205" t="s">
        <v>538</v>
      </c>
      <c r="BG234" s="240">
        <f>IF(AND(AND($M$249="for profit",$M$257="nonprofit",$M$265="nonprofit")),2,0)</f>
        <v>0</v>
      </c>
    </row>
    <row r="235" spans="1:59" ht="13.15" customHeight="1">
      <c r="D235" s="4" t="s">
        <v>87</v>
      </c>
      <c r="E235" s="4"/>
      <c r="F235" s="4"/>
      <c r="G235" s="4"/>
      <c r="H235" s="4"/>
      <c r="I235" s="4"/>
      <c r="J235" s="4"/>
      <c r="K235" s="19"/>
      <c r="M235" s="1417" t="s">
        <v>2626</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3.15" customHeight="1">
      <c r="D236" s="4" t="s">
        <v>88</v>
      </c>
      <c r="E236" s="4"/>
      <c r="F236" s="4"/>
      <c r="M236" s="1346" t="s">
        <v>2627</v>
      </c>
      <c r="N236" s="1346"/>
      <c r="O236" s="1346"/>
      <c r="P236" s="1346"/>
      <c r="Q236" s="1346"/>
      <c r="R236" s="1346"/>
      <c r="S236" s="4" t="s">
        <v>206</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3.15" customHeight="1">
      <c r="D237" s="4" t="s">
        <v>90</v>
      </c>
      <c r="E237" s="4"/>
      <c r="F237" s="4"/>
      <c r="M237" s="1784" t="s">
        <v>2628</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15" customHeight="1">
      <c r="A238" s="2" t="s">
        <v>586</v>
      </c>
      <c r="C238" s="2" t="s">
        <v>525</v>
      </c>
      <c r="M238" s="1348" t="s">
        <v>377</v>
      </c>
      <c r="N238" s="1348"/>
      <c r="O238" s="1348"/>
      <c r="P238" s="1348"/>
      <c r="Q238" s="1348"/>
      <c r="R238" s="1348"/>
      <c r="S238" s="1348"/>
      <c r="T238" s="1348"/>
      <c r="U238" s="204" t="s">
        <v>906</v>
      </c>
      <c r="V238" s="204"/>
      <c r="W238" s="204"/>
      <c r="X238" s="204"/>
      <c r="Y238" s="204"/>
      <c r="Z238" s="204"/>
      <c r="AA238" s="1774" t="s">
        <v>2611</v>
      </c>
      <c r="AB238" s="1774"/>
      <c r="AC238" s="1774"/>
      <c r="AD238" s="1774"/>
      <c r="AE238" s="1774"/>
      <c r="AF238" s="1774"/>
      <c r="AG238" s="1774"/>
      <c r="AH238" s="1774"/>
      <c r="AI238" s="1774"/>
      <c r="AJ238" s="1774"/>
      <c r="AK238" s="1774"/>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3.1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15" customHeight="1">
      <c r="D240" s="4"/>
      <c r="BB240" s="204" t="s">
        <v>877</v>
      </c>
      <c r="BG240" s="241">
        <f>IF(AND(AND($M$249="for profit",$M$257="for profit",$M$265="for profit")),3,0)</f>
        <v>0</v>
      </c>
    </row>
    <row r="241" spans="1:67" ht="13.15" customHeight="1">
      <c r="A241" s="2" t="s">
        <v>589</v>
      </c>
      <c r="C241" s="2" t="s">
        <v>1182</v>
      </c>
      <c r="D241" s="4"/>
      <c r="L241" s="8"/>
      <c r="M241" s="8"/>
      <c r="N241" s="8"/>
      <c r="AU241" s="3"/>
      <c r="AV241" s="3"/>
      <c r="AW241" s="3"/>
      <c r="AX241" s="3"/>
      <c r="AY241" s="3"/>
      <c r="BB241" s="204" t="s">
        <v>877</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473</v>
      </c>
      <c r="D243" s="4" t="s">
        <v>532</v>
      </c>
      <c r="E243" s="4"/>
      <c r="F243" s="4"/>
      <c r="G243" s="4"/>
      <c r="H243" s="4"/>
      <c r="I243" s="4"/>
      <c r="J243" s="4"/>
      <c r="K243" s="4"/>
      <c r="L243" s="4"/>
      <c r="M243" s="1420" t="s">
        <v>2629</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2630</v>
      </c>
      <c r="AG243" s="1420"/>
      <c r="AH243" s="1420"/>
      <c r="AI243" s="1420"/>
      <c r="AJ243" s="1420"/>
      <c r="AK243" s="1420"/>
      <c r="AU243" s="4"/>
      <c r="AV243" s="4"/>
      <c r="AW243" s="4"/>
      <c r="AX243" s="4"/>
      <c r="AY243" s="4"/>
      <c r="BG243">
        <f>SUM(BG226:BG241)</f>
        <v>1</v>
      </c>
    </row>
    <row r="244" spans="1:67" ht="13.15" customHeight="1">
      <c r="A244" s="19"/>
      <c r="B244" s="4"/>
      <c r="C244" s="4"/>
      <c r="D244" s="4" t="s">
        <v>85</v>
      </c>
      <c r="E244" s="4"/>
      <c r="F244" s="4"/>
      <c r="G244" s="4"/>
      <c r="H244" s="4"/>
      <c r="I244" s="4"/>
      <c r="J244" s="4"/>
      <c r="K244" s="4"/>
      <c r="L244" s="4"/>
      <c r="M244" s="1417" t="s">
        <v>2623</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1178</v>
      </c>
      <c r="AL244" s="4"/>
      <c r="AM244" s="4"/>
      <c r="AN244" s="4"/>
      <c r="AO244" s="4"/>
      <c r="AP244" s="4"/>
      <c r="AQ244" s="4"/>
      <c r="AR244" s="4"/>
      <c r="AS244" s="4"/>
      <c r="AT244" s="4"/>
      <c r="BB244" t="s">
        <v>307</v>
      </c>
      <c r="BG244">
        <v>1</v>
      </c>
      <c r="BH244" t="s">
        <v>534</v>
      </c>
    </row>
    <row r="245" spans="1:67" ht="13.15" customHeight="1">
      <c r="A245" s="19"/>
      <c r="B245" s="4"/>
      <c r="C245" s="4"/>
      <c r="D245" s="4" t="s">
        <v>580</v>
      </c>
      <c r="E245" s="4"/>
      <c r="M245" s="1417" t="s">
        <v>2624</v>
      </c>
      <c r="N245" s="1417"/>
      <c r="O245" s="1417"/>
      <c r="P245" s="1417"/>
      <c r="Q245" s="1417"/>
      <c r="R245" s="1417"/>
      <c r="S245" s="1417"/>
      <c r="T245" s="1417"/>
      <c r="V245" s="33" t="s">
        <v>86</v>
      </c>
      <c r="W245" s="1436" t="s">
        <v>2625</v>
      </c>
      <c r="X245" s="1436"/>
      <c r="Y245" s="4" t="s">
        <v>583</v>
      </c>
      <c r="AC245" s="1417">
        <v>94541</v>
      </c>
      <c r="AD245" s="1417"/>
      <c r="AE245" s="1417"/>
      <c r="AF245" s="3" t="s">
        <v>1179</v>
      </c>
      <c r="AU245" s="4"/>
      <c r="AV245" s="4"/>
      <c r="AW245" s="4"/>
      <c r="AX245" s="4"/>
      <c r="AY245" s="4"/>
      <c r="BB245" s="4" t="s">
        <v>280</v>
      </c>
      <c r="BG245">
        <v>2</v>
      </c>
      <c r="BH245" t="s">
        <v>566</v>
      </c>
      <c r="BO245" s="239" t="str">
        <f>VLOOKUP(BG243,BG244:BH247,2,FALSE)</f>
        <v>Nonprofit</v>
      </c>
    </row>
    <row r="246" spans="1:67" ht="13.15" customHeight="1">
      <c r="A246" s="19"/>
      <c r="B246" s="4"/>
      <c r="C246" s="4"/>
      <c r="D246" s="4" t="s">
        <v>87</v>
      </c>
      <c r="E246" s="4"/>
      <c r="F246" s="4"/>
      <c r="G246" s="4"/>
      <c r="H246" s="4"/>
      <c r="I246" s="4"/>
      <c r="J246" s="4"/>
      <c r="K246" s="4"/>
      <c r="L246" s="19"/>
      <c r="M246" s="1417" t="s">
        <v>2626</v>
      </c>
      <c r="N246" s="1417"/>
      <c r="O246" s="1417"/>
      <c r="P246" s="1417"/>
      <c r="Q246" s="1417"/>
      <c r="R246" s="1417"/>
      <c r="S246" s="1417"/>
      <c r="T246" s="1417"/>
      <c r="U246" s="1417"/>
      <c r="V246" s="1417"/>
      <c r="W246" s="1417"/>
      <c r="X246" s="1417"/>
      <c r="Y246" s="1417"/>
      <c r="Z246" s="1417"/>
      <c r="AA246" s="1417"/>
      <c r="AB246" s="1417"/>
      <c r="AC246" s="1417"/>
      <c r="AD246" s="1417"/>
      <c r="AE246" s="1417"/>
      <c r="AH246" s="1776">
        <v>0.01</v>
      </c>
      <c r="AI246" s="1776"/>
      <c r="AJ246" s="1776"/>
      <c r="AK246" s="1776"/>
      <c r="AL246" s="4"/>
      <c r="AM246" s="4"/>
      <c r="AN246" s="4"/>
      <c r="AO246" s="4"/>
      <c r="AP246" s="4"/>
      <c r="AQ246" s="4"/>
      <c r="AR246" s="4"/>
      <c r="AS246" s="4"/>
      <c r="AT246" s="4"/>
      <c r="BB246" s="4" t="s">
        <v>173</v>
      </c>
      <c r="BG246">
        <v>3</v>
      </c>
      <c r="BH246" t="s">
        <v>536</v>
      </c>
      <c r="BN246" s="34"/>
    </row>
    <row r="247" spans="1:67" ht="13.15" customHeight="1">
      <c r="A247" s="19"/>
      <c r="B247" s="4"/>
      <c r="C247" s="4"/>
      <c r="D247" s="4" t="s">
        <v>88</v>
      </c>
      <c r="E247" s="4"/>
      <c r="F247" s="4"/>
      <c r="M247" s="1346" t="s">
        <v>2627</v>
      </c>
      <c r="N247" s="1346"/>
      <c r="O247" s="1346"/>
      <c r="P247" s="1346"/>
      <c r="Q247" s="1346"/>
      <c r="R247" s="1346"/>
      <c r="S247" s="4" t="s">
        <v>206</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3.15" customHeight="1">
      <c r="A248" s="19"/>
      <c r="B248" s="4"/>
      <c r="C248" s="4"/>
      <c r="D248" s="4" t="s">
        <v>90</v>
      </c>
      <c r="E248" s="4"/>
      <c r="F248" s="4"/>
      <c r="M248" s="1784" t="s">
        <v>2628</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1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94" t="s">
        <v>2611</v>
      </c>
      <c r="AB249" s="1774"/>
      <c r="AC249" s="1774"/>
      <c r="AD249" s="1774"/>
      <c r="AE249" s="1774"/>
      <c r="AF249" s="1774"/>
      <c r="AG249" s="1774"/>
      <c r="AH249" s="1774"/>
      <c r="AI249" s="1774"/>
      <c r="AJ249" s="1774"/>
      <c r="AK249" s="1774"/>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955</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307</v>
      </c>
      <c r="AG251" s="1420"/>
      <c r="AH251" s="1420"/>
      <c r="AI251" s="1420"/>
      <c r="AJ251" s="1420"/>
      <c r="AK251" s="1420"/>
      <c r="AU251" s="4"/>
      <c r="AV251" s="4"/>
      <c r="AW251" s="4"/>
      <c r="AX251" s="4"/>
      <c r="AY251" s="4"/>
      <c r="BN251" s="34"/>
    </row>
    <row r="252" spans="1:67" ht="13.1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1178</v>
      </c>
      <c r="AL252" s="4"/>
      <c r="AM252" s="4"/>
      <c r="AN252" s="4"/>
      <c r="AO252" s="4"/>
      <c r="AP252" s="4"/>
      <c r="AQ252" s="4"/>
      <c r="AR252" s="4"/>
      <c r="AS252" s="4"/>
      <c r="AT252" s="4"/>
      <c r="BN252" s="34"/>
    </row>
    <row r="253" spans="1:67" ht="13.15" customHeight="1">
      <c r="A253" s="19"/>
      <c r="B253" s="4"/>
      <c r="C253" s="4"/>
      <c r="D253" s="4" t="s">
        <v>580</v>
      </c>
      <c r="E253" s="4"/>
      <c r="M253" s="1417"/>
      <c r="N253" s="1417"/>
      <c r="O253" s="1417"/>
      <c r="P253" s="1417"/>
      <c r="Q253" s="1417"/>
      <c r="R253" s="1417"/>
      <c r="S253" s="1417"/>
      <c r="T253" s="1417"/>
      <c r="V253" s="33" t="s">
        <v>86</v>
      </c>
      <c r="W253" s="1436"/>
      <c r="X253" s="1436"/>
      <c r="Y253" s="4" t="s">
        <v>583</v>
      </c>
      <c r="AC253" s="1417"/>
      <c r="AD253" s="1417"/>
      <c r="AE253" s="1417"/>
      <c r="AF253" s="3" t="s">
        <v>1179</v>
      </c>
      <c r="AU253" s="4"/>
      <c r="AV253" s="4"/>
      <c r="AW253" s="4"/>
      <c r="AX253" s="4"/>
      <c r="AY253" s="4"/>
      <c r="BN253" s="34"/>
    </row>
    <row r="254" spans="1:67" ht="13.1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6"/>
      <c r="AI254" s="1776"/>
      <c r="AJ254" s="1776"/>
      <c r="AK254" s="1776"/>
      <c r="AL254" s="4"/>
      <c r="AM254" s="4"/>
      <c r="AN254" s="4"/>
      <c r="AO254" s="4"/>
      <c r="AP254" s="4"/>
      <c r="AQ254" s="4"/>
      <c r="AR254" s="4"/>
      <c r="AS254" s="4"/>
      <c r="AT254" s="4"/>
    </row>
    <row r="255" spans="1:67" ht="13.15" customHeight="1">
      <c r="A255" s="19"/>
      <c r="B255" s="4"/>
      <c r="C255" s="4"/>
      <c r="D255" s="4" t="s">
        <v>88</v>
      </c>
      <c r="E255" s="4"/>
      <c r="F255" s="4"/>
      <c r="M255" s="1346"/>
      <c r="N255" s="1346"/>
      <c r="O255" s="1346"/>
      <c r="P255" s="1346"/>
      <c r="Q255" s="1346"/>
      <c r="R255" s="1346"/>
      <c r="S255" s="4" t="s">
        <v>206</v>
      </c>
      <c r="T255" s="4"/>
      <c r="U255" s="1436"/>
      <c r="V255" s="1436"/>
      <c r="W255" s="1436"/>
      <c r="X255" s="4" t="s">
        <v>89</v>
      </c>
      <c r="Z255" s="1346"/>
      <c r="AA255" s="1346"/>
      <c r="AB255" s="1346"/>
      <c r="AC255" s="1346"/>
      <c r="AD255" s="1346"/>
      <c r="AE255" s="1346"/>
      <c r="AU255" s="4"/>
      <c r="AV255" s="4"/>
      <c r="AW255" s="4"/>
      <c r="AX255" s="4"/>
      <c r="AY255" s="4"/>
      <c r="BN255" s="34"/>
    </row>
    <row r="256" spans="1:67" ht="13.15" customHeight="1">
      <c r="A256" s="19"/>
      <c r="B256" s="4"/>
      <c r="C256" s="4"/>
      <c r="D256" s="4" t="s">
        <v>90</v>
      </c>
      <c r="E256" s="4"/>
      <c r="F256" s="4"/>
      <c r="M256" s="1784"/>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535</v>
      </c>
      <c r="E257" s="4"/>
      <c r="F257" s="4"/>
      <c r="G257" s="4"/>
      <c r="H257" s="4"/>
      <c r="I257" s="4"/>
      <c r="J257" s="4"/>
      <c r="K257" s="4"/>
      <c r="L257" s="4"/>
      <c r="M257" s="1348" t="s">
        <v>307</v>
      </c>
      <c r="N257" s="1348"/>
      <c r="O257" s="1348"/>
      <c r="P257" s="1348"/>
      <c r="Q257" s="1348"/>
      <c r="R257" s="1348"/>
      <c r="S257" s="1348"/>
      <c r="T257" s="1348"/>
      <c r="U257" s="204" t="s">
        <v>906</v>
      </c>
      <c r="V257" s="204"/>
      <c r="W257" s="204"/>
      <c r="X257" s="204"/>
      <c r="Y257" s="204"/>
      <c r="Z257" s="204"/>
      <c r="AA257" s="1774"/>
      <c r="AB257" s="1774"/>
      <c r="AC257" s="1774"/>
      <c r="AD257" s="1774"/>
      <c r="AE257" s="1774"/>
      <c r="AF257" s="1774"/>
      <c r="AG257" s="1774"/>
      <c r="AH257" s="1774"/>
      <c r="AI257" s="1774"/>
      <c r="AJ257" s="1774"/>
      <c r="AK257" s="1774"/>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1178</v>
      </c>
      <c r="AL260" s="3"/>
      <c r="AM260" s="3"/>
      <c r="AN260" s="3"/>
      <c r="AO260" s="3"/>
      <c r="AP260" s="3"/>
      <c r="AQ260" s="3"/>
      <c r="AR260" s="3"/>
      <c r="AS260" s="3"/>
      <c r="AT260" s="3"/>
      <c r="AU260" s="3"/>
      <c r="AV260" s="3"/>
      <c r="AW260" s="3"/>
      <c r="AX260" s="3"/>
      <c r="AY260" s="3"/>
    </row>
    <row r="261" spans="1:51" ht="13.1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1179</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6"/>
      <c r="AI262" s="1776"/>
      <c r="AJ262" s="1776"/>
      <c r="AK262" s="1776"/>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346"/>
      <c r="N263" s="1346"/>
      <c r="O263" s="1346"/>
      <c r="P263" s="1346"/>
      <c r="Q263" s="1346"/>
      <c r="R263" s="1346"/>
      <c r="S263" s="4" t="s">
        <v>206</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535</v>
      </c>
      <c r="E265" s="4"/>
      <c r="F265" s="4"/>
      <c r="G265" s="4"/>
      <c r="H265" s="4"/>
      <c r="I265" s="4"/>
      <c r="J265" s="4"/>
      <c r="K265" s="4"/>
      <c r="L265" s="4"/>
      <c r="M265" s="1348" t="s">
        <v>307</v>
      </c>
      <c r="N265" s="1348"/>
      <c r="O265" s="1348"/>
      <c r="P265" s="1348"/>
      <c r="Q265" s="1348"/>
      <c r="R265" s="1348"/>
      <c r="S265" s="1348"/>
      <c r="T265" s="1348"/>
      <c r="U265" s="204" t="s">
        <v>906</v>
      </c>
      <c r="V265" s="204"/>
      <c r="W265" s="204"/>
      <c r="X265" s="204"/>
      <c r="Y265" s="204"/>
      <c r="Z265" s="204"/>
      <c r="AA265" s="1775"/>
      <c r="AB265" s="1775"/>
      <c r="AC265" s="1775"/>
      <c r="AD265" s="1775"/>
      <c r="AE265" s="1775"/>
      <c r="AF265" s="1775"/>
      <c r="AG265" s="1775"/>
      <c r="AH265" s="1775"/>
      <c r="AI265" s="1775"/>
      <c r="AJ265" s="1775"/>
      <c r="AK265" s="1775"/>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590</v>
      </c>
      <c r="B267" s="4"/>
      <c r="C267" s="2" t="s">
        <v>295</v>
      </c>
      <c r="D267" s="4"/>
      <c r="E267" s="4"/>
      <c r="F267" s="4"/>
      <c r="G267" s="4"/>
      <c r="H267" s="4"/>
      <c r="I267" s="4"/>
      <c r="J267" s="4"/>
      <c r="K267" s="4"/>
      <c r="L267" s="4"/>
      <c r="M267" s="35"/>
      <c r="N267" s="35"/>
      <c r="O267" s="35"/>
      <c r="P267" s="35"/>
      <c r="Q267" s="35"/>
      <c r="T267" s="1777" t="str">
        <f>IFERROR(BO245,"")</f>
        <v>Nonprofit</v>
      </c>
      <c r="U267" s="1777"/>
      <c r="V267" s="1777"/>
      <c r="W267" s="1777"/>
      <c r="X267" s="1777"/>
      <c r="Z267" s="307" t="s">
        <v>954</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1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15" customHeight="1">
      <c r="A270" s="4"/>
      <c r="B270" s="36">
        <v>0</v>
      </c>
      <c r="D270" s="1417" t="s">
        <v>173</v>
      </c>
      <c r="E270" s="1417"/>
      <c r="F270" s="1417"/>
      <c r="G270" s="1417"/>
      <c r="H270" s="1417"/>
      <c r="J270" t="s">
        <v>279</v>
      </c>
      <c r="X270" s="1690">
        <v>45962</v>
      </c>
      <c r="Y270" s="1690"/>
      <c r="Z270" s="1690"/>
      <c r="AA270" s="1690"/>
      <c r="AB270" s="1690"/>
      <c r="AC270" s="1690"/>
      <c r="AU270" s="3"/>
      <c r="AV270" s="3"/>
      <c r="AW270" s="3"/>
      <c r="AX270" s="3"/>
      <c r="AY270" s="3"/>
    </row>
    <row r="271" spans="1:51" ht="13.1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296</v>
      </c>
      <c r="E274" s="4"/>
      <c r="F274" s="4"/>
      <c r="G274" s="4"/>
      <c r="H274" s="4"/>
      <c r="I274" s="4"/>
      <c r="J274" s="4"/>
      <c r="K274" s="4"/>
      <c r="L274" s="1420" t="s">
        <v>2611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417" t="s">
        <v>2623</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15" customHeight="1">
      <c r="D276" s="4" t="s">
        <v>580</v>
      </c>
      <c r="E276" s="4"/>
      <c r="L276" s="1417" t="s">
        <v>2624</v>
      </c>
      <c r="M276" s="1417"/>
      <c r="N276" s="1417"/>
      <c r="O276" s="1417"/>
      <c r="P276" s="1417"/>
      <c r="Q276" s="1417"/>
      <c r="R276" s="1417"/>
      <c r="S276" s="1417"/>
      <c r="U276" s="33" t="s">
        <v>86</v>
      </c>
      <c r="V276" s="1436" t="s">
        <v>2625</v>
      </c>
      <c r="W276" s="1436"/>
      <c r="X276" s="4" t="s">
        <v>583</v>
      </c>
      <c r="AB276" s="1417">
        <v>94541</v>
      </c>
      <c r="AC276" s="1417"/>
      <c r="AD276" s="1417"/>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417" t="s">
        <v>2631</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15" customHeight="1">
      <c r="D278" s="4" t="s">
        <v>88</v>
      </c>
      <c r="E278" s="4"/>
      <c r="F278" s="4"/>
      <c r="L278" s="1779" t="s">
        <v>2632</v>
      </c>
      <c r="M278" s="1346"/>
      <c r="N278" s="1346"/>
      <c r="O278" s="1346"/>
      <c r="P278" s="1346"/>
      <c r="Q278" s="1346"/>
      <c r="R278" s="4" t="s">
        <v>206</v>
      </c>
      <c r="S278" s="4"/>
      <c r="T278" s="1436"/>
      <c r="U278" s="1436"/>
      <c r="V278" s="1436"/>
      <c r="W278" s="4" t="s">
        <v>89</v>
      </c>
      <c r="Y278" s="1346"/>
      <c r="Z278" s="1346"/>
      <c r="AA278" s="1346"/>
      <c r="AB278" s="1346"/>
      <c r="AC278" s="1346"/>
      <c r="AD278" s="1346"/>
    </row>
    <row r="279" spans="1:51" ht="13.15" customHeight="1">
      <c r="D279" s="4" t="s">
        <v>90</v>
      </c>
      <c r="E279" s="4"/>
      <c r="F279" s="4"/>
      <c r="L279" s="1784" t="s">
        <v>2633</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15" customHeight="1">
      <c r="D280" s="3" t="s">
        <v>623</v>
      </c>
      <c r="E280" s="3"/>
      <c r="F280" s="3"/>
      <c r="G280" s="3"/>
      <c r="H280" s="3"/>
      <c r="I280" s="3"/>
      <c r="L280" s="1545" t="s">
        <v>2634</v>
      </c>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3.15" customHeight="1">
      <c r="L281" s="22" t="s">
        <v>624</v>
      </c>
      <c r="AU281" s="95"/>
      <c r="AV281" s="95"/>
      <c r="AW281" s="95"/>
      <c r="AX281" s="95"/>
      <c r="AY281" s="95"/>
    </row>
    <row r="282" spans="1:51" ht="13.1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1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626</v>
      </c>
      <c r="C287" s="3"/>
      <c r="D287" s="3"/>
      <c r="E287" s="3"/>
      <c r="F287" s="3"/>
      <c r="H287" s="1371" t="s">
        <v>2611</v>
      </c>
      <c r="I287" s="1371"/>
      <c r="J287" s="1371"/>
      <c r="K287" s="1371"/>
      <c r="L287" s="1371"/>
      <c r="M287" s="1371"/>
      <c r="N287" s="1371"/>
      <c r="O287" s="1371"/>
      <c r="P287" s="1371"/>
      <c r="Q287" s="1371"/>
      <c r="R287" s="1371"/>
      <c r="T287" s="3" t="s">
        <v>567</v>
      </c>
      <c r="V287" s="3"/>
      <c r="W287" s="3"/>
      <c r="X287" s="3"/>
      <c r="Y287" s="3"/>
      <c r="AA287" s="1371" t="s">
        <v>2636</v>
      </c>
      <c r="AB287" s="1371"/>
      <c r="AC287" s="1371"/>
      <c r="AD287" s="1371"/>
      <c r="AE287" s="1371"/>
      <c r="AF287" s="1371"/>
      <c r="AG287" s="1371"/>
      <c r="AH287" s="1371"/>
      <c r="AI287" s="1371"/>
      <c r="AJ287" s="1371"/>
      <c r="AK287" s="1371"/>
    </row>
    <row r="288" spans="1:51" ht="13.15" customHeight="1">
      <c r="B288" s="3" t="s">
        <v>471</v>
      </c>
      <c r="C288" s="3"/>
      <c r="D288" s="3"/>
      <c r="E288" s="3"/>
      <c r="F288" s="3"/>
      <c r="H288" s="1348" t="s">
        <v>2623</v>
      </c>
      <c r="I288" s="1348"/>
      <c r="J288" s="1348"/>
      <c r="K288" s="1348"/>
      <c r="L288" s="1348"/>
      <c r="M288" s="1348"/>
      <c r="N288" s="1348"/>
      <c r="O288" s="1348"/>
      <c r="P288" s="1348"/>
      <c r="Q288" s="1348"/>
      <c r="R288" s="1348"/>
      <c r="T288" s="3" t="s">
        <v>471</v>
      </c>
      <c r="V288" s="3"/>
      <c r="W288" s="3"/>
      <c r="X288" s="3"/>
      <c r="Y288" s="3"/>
      <c r="AA288" s="1348" t="s">
        <v>2637</v>
      </c>
      <c r="AB288" s="1348"/>
      <c r="AC288" s="1348"/>
      <c r="AD288" s="1348"/>
      <c r="AE288" s="1348"/>
      <c r="AF288" s="1348"/>
      <c r="AG288" s="1348"/>
      <c r="AH288" s="1348"/>
      <c r="AI288" s="1348"/>
      <c r="AJ288" s="1348"/>
      <c r="AK288" s="1348"/>
    </row>
    <row r="289" spans="2:37" ht="13.15" customHeight="1">
      <c r="B289" s="3" t="s">
        <v>472</v>
      </c>
      <c r="C289" s="3"/>
      <c r="D289" s="3"/>
      <c r="E289" s="3"/>
      <c r="F289" s="3"/>
      <c r="H289" s="1348" t="s">
        <v>2635</v>
      </c>
      <c r="I289" s="1348"/>
      <c r="J289" s="1348"/>
      <c r="K289" s="1348"/>
      <c r="L289" s="1348"/>
      <c r="M289" s="1348"/>
      <c r="N289" s="1348"/>
      <c r="O289" s="1348"/>
      <c r="P289" s="1348"/>
      <c r="Q289" s="1348"/>
      <c r="R289" s="1348"/>
      <c r="T289" s="3" t="s">
        <v>75</v>
      </c>
      <c r="V289" s="3"/>
      <c r="W289" s="3"/>
      <c r="X289" s="3"/>
      <c r="Y289" s="3"/>
      <c r="AA289" s="1348" t="s">
        <v>2638</v>
      </c>
      <c r="AB289" s="1348"/>
      <c r="AC289" s="1348"/>
      <c r="AD289" s="1348"/>
      <c r="AE289" s="1348"/>
      <c r="AF289" s="1348"/>
      <c r="AG289" s="1348"/>
      <c r="AH289" s="1348"/>
      <c r="AI289" s="1348"/>
      <c r="AJ289" s="1348"/>
      <c r="AK289" s="1348"/>
    </row>
    <row r="290" spans="2:37" ht="13.15" customHeight="1">
      <c r="B290" s="3" t="s">
        <v>87</v>
      </c>
      <c r="C290" s="3"/>
      <c r="D290" s="3"/>
      <c r="E290" s="3"/>
      <c r="F290" s="3"/>
      <c r="H290" s="1348" t="s">
        <v>2631</v>
      </c>
      <c r="I290" s="1348"/>
      <c r="J290" s="1348"/>
      <c r="K290" s="1348"/>
      <c r="L290" s="1348"/>
      <c r="M290" s="1348"/>
      <c r="N290" s="1348"/>
      <c r="O290" s="1348"/>
      <c r="P290" s="1348"/>
      <c r="Q290" s="1348"/>
      <c r="R290" s="1348"/>
      <c r="T290" s="3" t="s">
        <v>87</v>
      </c>
      <c r="V290" s="3"/>
      <c r="W290" s="3"/>
      <c r="X290" s="3"/>
      <c r="Y290" s="3"/>
      <c r="AA290" s="1348" t="s">
        <v>2639</v>
      </c>
      <c r="AB290" s="1348"/>
      <c r="AC290" s="1348"/>
      <c r="AD290" s="1348"/>
      <c r="AE290" s="1348"/>
      <c r="AF290" s="1348"/>
      <c r="AG290" s="1348"/>
      <c r="AH290" s="1348"/>
      <c r="AI290" s="1348"/>
      <c r="AJ290" s="1348"/>
      <c r="AK290" s="1348"/>
    </row>
    <row r="291" spans="2:37" ht="13.15" customHeight="1">
      <c r="B291" s="3" t="s">
        <v>88</v>
      </c>
      <c r="C291" s="3"/>
      <c r="D291" s="3"/>
      <c r="E291" s="3"/>
      <c r="F291" s="3"/>
      <c r="G291" s="3"/>
      <c r="H291" s="1423" t="s">
        <v>2632</v>
      </c>
      <c r="I291" s="1423"/>
      <c r="J291" s="1423"/>
      <c r="K291" s="1423"/>
      <c r="L291" s="1423"/>
      <c r="M291" s="1423"/>
      <c r="N291" s="4" t="s">
        <v>206</v>
      </c>
      <c r="O291" s="4"/>
      <c r="P291" s="1417"/>
      <c r="Q291" s="1417"/>
      <c r="R291" s="1417"/>
      <c r="S291" s="3"/>
      <c r="T291" s="3" t="s">
        <v>88</v>
      </c>
      <c r="V291" s="3"/>
      <c r="W291" s="3"/>
      <c r="X291" s="3"/>
      <c r="Y291" s="3"/>
      <c r="AA291" s="1423" t="s">
        <v>2640</v>
      </c>
      <c r="AB291" s="1423"/>
      <c r="AC291" s="1423"/>
      <c r="AD291" s="1423"/>
      <c r="AE291" s="1423"/>
      <c r="AF291" s="1423"/>
      <c r="AG291" s="4" t="s">
        <v>206</v>
      </c>
      <c r="AH291" s="4"/>
      <c r="AI291" s="1417"/>
      <c r="AJ291" s="1417"/>
      <c r="AK291" s="1417"/>
    </row>
    <row r="292" spans="2:37" ht="13.1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3.15" customHeight="1">
      <c r="B293" s="3" t="s">
        <v>76</v>
      </c>
      <c r="C293" s="3"/>
      <c r="D293" s="3"/>
      <c r="E293" s="3"/>
      <c r="F293" s="3"/>
      <c r="G293" s="3"/>
      <c r="H293" s="1348" t="s">
        <v>2633</v>
      </c>
      <c r="I293" s="1348"/>
      <c r="J293" s="1348"/>
      <c r="K293" s="1348"/>
      <c r="L293" s="1348"/>
      <c r="M293" s="1348"/>
      <c r="N293" s="1371"/>
      <c r="O293" s="1371"/>
      <c r="P293" s="1371"/>
      <c r="Q293" s="1371"/>
      <c r="R293" s="1371"/>
      <c r="S293" s="3"/>
      <c r="T293" s="3" t="s">
        <v>76</v>
      </c>
      <c r="V293" s="3"/>
      <c r="W293" s="3"/>
      <c r="X293" s="3"/>
      <c r="Y293" s="3"/>
      <c r="AA293" s="1348" t="s">
        <v>2641</v>
      </c>
      <c r="AB293" s="1348"/>
      <c r="AC293" s="1348"/>
      <c r="AD293" s="1348"/>
      <c r="AE293" s="1348"/>
      <c r="AF293" s="1348"/>
      <c r="AG293" s="1371"/>
      <c r="AH293" s="1371"/>
      <c r="AI293" s="1371"/>
      <c r="AJ293" s="1371"/>
      <c r="AK293" s="1371"/>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323</v>
      </c>
      <c r="C295" s="3"/>
      <c r="D295" s="3"/>
      <c r="E295" s="3"/>
      <c r="F295" s="3"/>
      <c r="H295" s="1371" t="s">
        <v>2642</v>
      </c>
      <c r="I295" s="1371"/>
      <c r="J295" s="1371"/>
      <c r="K295" s="1371"/>
      <c r="L295" s="1371"/>
      <c r="M295" s="1371"/>
      <c r="N295" s="1371"/>
      <c r="O295" s="1371"/>
      <c r="P295" s="1371"/>
      <c r="Q295" s="1371"/>
      <c r="R295" s="1371"/>
      <c r="T295" s="3" t="s">
        <v>364</v>
      </c>
      <c r="V295" s="3"/>
      <c r="W295" s="3"/>
      <c r="X295" s="3"/>
      <c r="Y295" s="3"/>
      <c r="AA295" s="1371" t="s">
        <v>2648</v>
      </c>
      <c r="AB295" s="1371"/>
      <c r="AC295" s="1371"/>
      <c r="AD295" s="1371"/>
      <c r="AE295" s="1371"/>
      <c r="AF295" s="1371"/>
      <c r="AG295" s="1371"/>
      <c r="AH295" s="1371"/>
      <c r="AI295" s="1371"/>
      <c r="AJ295" s="1371"/>
      <c r="AK295" s="1371"/>
    </row>
    <row r="296" spans="2:37" ht="13.15" customHeight="1">
      <c r="B296" s="3" t="s">
        <v>471</v>
      </c>
      <c r="C296" s="3"/>
      <c r="D296" s="3"/>
      <c r="E296" s="3"/>
      <c r="F296" s="3"/>
      <c r="H296" s="1348" t="s">
        <v>2643</v>
      </c>
      <c r="I296" s="1348"/>
      <c r="J296" s="1348"/>
      <c r="K296" s="1348"/>
      <c r="L296" s="1348"/>
      <c r="M296" s="1348"/>
      <c r="N296" s="1348"/>
      <c r="O296" s="1348"/>
      <c r="P296" s="1348"/>
      <c r="Q296" s="1348"/>
      <c r="R296" s="1348"/>
      <c r="T296" s="3" t="s">
        <v>471</v>
      </c>
      <c r="V296" s="3"/>
      <c r="W296" s="3"/>
      <c r="X296" s="3"/>
      <c r="Y296" s="3"/>
      <c r="AA296" s="1348"/>
      <c r="AB296" s="1348"/>
      <c r="AC296" s="1348"/>
      <c r="AD296" s="1348"/>
      <c r="AE296" s="1348"/>
      <c r="AF296" s="1348"/>
      <c r="AG296" s="1348"/>
      <c r="AH296" s="1348"/>
      <c r="AI296" s="1348"/>
      <c r="AJ296" s="1348"/>
      <c r="AK296" s="1348"/>
    </row>
    <row r="297" spans="2:37" ht="13.15" customHeight="1">
      <c r="B297" s="3" t="s">
        <v>472</v>
      </c>
      <c r="C297" s="3"/>
      <c r="D297" s="3"/>
      <c r="E297" s="3"/>
      <c r="F297" s="3"/>
      <c r="H297" s="1348" t="s">
        <v>2644</v>
      </c>
      <c r="I297" s="1348"/>
      <c r="J297" s="1348"/>
      <c r="K297" s="1348"/>
      <c r="L297" s="1348"/>
      <c r="M297" s="1348"/>
      <c r="N297" s="1348"/>
      <c r="O297" s="1348"/>
      <c r="P297" s="1348"/>
      <c r="Q297" s="1348"/>
      <c r="R297" s="1348"/>
      <c r="T297" s="3" t="s">
        <v>75</v>
      </c>
      <c r="V297" s="3"/>
      <c r="W297" s="3"/>
      <c r="X297" s="3"/>
      <c r="Y297" s="3"/>
      <c r="AA297" s="1348"/>
      <c r="AB297" s="1348"/>
      <c r="AC297" s="1348"/>
      <c r="AD297" s="1348"/>
      <c r="AE297" s="1348"/>
      <c r="AF297" s="1348"/>
      <c r="AG297" s="1348"/>
      <c r="AH297" s="1348"/>
      <c r="AI297" s="1348"/>
      <c r="AJ297" s="1348"/>
      <c r="AK297" s="1348"/>
    </row>
    <row r="298" spans="2:37" ht="13.15" customHeight="1">
      <c r="B298" s="3" t="s">
        <v>87</v>
      </c>
      <c r="C298" s="3"/>
      <c r="D298" s="3"/>
      <c r="E298" s="3"/>
      <c r="F298" s="3"/>
      <c r="H298" s="1348" t="s">
        <v>2645</v>
      </c>
      <c r="I298" s="1348"/>
      <c r="J298" s="1348"/>
      <c r="K298" s="1348"/>
      <c r="L298" s="1348"/>
      <c r="M298" s="1348"/>
      <c r="N298" s="1348"/>
      <c r="O298" s="1348"/>
      <c r="P298" s="1348"/>
      <c r="Q298" s="1348"/>
      <c r="R298" s="1348"/>
      <c r="T298" s="3" t="s">
        <v>87</v>
      </c>
      <c r="V298" s="3"/>
      <c r="W298" s="3"/>
      <c r="X298" s="3"/>
      <c r="Y298" s="3"/>
      <c r="AA298" s="1348"/>
      <c r="AB298" s="1348"/>
      <c r="AC298" s="1348"/>
      <c r="AD298" s="1348"/>
      <c r="AE298" s="1348"/>
      <c r="AF298" s="1348"/>
      <c r="AG298" s="1348"/>
      <c r="AH298" s="1348"/>
      <c r="AI298" s="1348"/>
      <c r="AJ298" s="1348"/>
      <c r="AK298" s="1348"/>
    </row>
    <row r="299" spans="2:37" ht="13.15" customHeight="1">
      <c r="B299" s="3" t="s">
        <v>88</v>
      </c>
      <c r="C299" s="3"/>
      <c r="D299" s="3"/>
      <c r="E299" s="3"/>
      <c r="F299" s="3"/>
      <c r="G299" s="3"/>
      <c r="H299" s="1423" t="s">
        <v>2646</v>
      </c>
      <c r="I299" s="1423"/>
      <c r="J299" s="1423"/>
      <c r="K299" s="1423"/>
      <c r="L299" s="1423"/>
      <c r="M299" s="1423"/>
      <c r="N299" s="4" t="s">
        <v>206</v>
      </c>
      <c r="O299" s="4"/>
      <c r="P299" s="1417">
        <v>6</v>
      </c>
      <c r="Q299" s="1417"/>
      <c r="R299" s="1417"/>
      <c r="S299" s="3"/>
      <c r="T299" s="3" t="s">
        <v>88</v>
      </c>
      <c r="V299" s="3"/>
      <c r="W299" s="3"/>
      <c r="X299" s="3"/>
      <c r="Y299" s="3"/>
      <c r="AA299" s="1423"/>
      <c r="AB299" s="1423"/>
      <c r="AC299" s="1423"/>
      <c r="AD299" s="1423"/>
      <c r="AE299" s="1423"/>
      <c r="AF299" s="1423"/>
      <c r="AG299" s="4" t="s">
        <v>206</v>
      </c>
      <c r="AH299" s="4"/>
      <c r="AI299" s="1417"/>
      <c r="AJ299" s="1417"/>
      <c r="AK299" s="1417"/>
    </row>
    <row r="300" spans="2:37" ht="13.1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3.15" customHeight="1">
      <c r="B301" s="3" t="s">
        <v>76</v>
      </c>
      <c r="C301" s="3"/>
      <c r="D301" s="3"/>
      <c r="E301" s="3"/>
      <c r="F301" s="3"/>
      <c r="G301" s="3"/>
      <c r="H301" s="1348" t="s">
        <v>2647</v>
      </c>
      <c r="I301" s="1348"/>
      <c r="J301" s="1348"/>
      <c r="K301" s="1348"/>
      <c r="L301" s="1348"/>
      <c r="M301" s="1348"/>
      <c r="N301" s="1371"/>
      <c r="O301" s="1371"/>
      <c r="P301" s="1371"/>
      <c r="Q301" s="1371"/>
      <c r="R301" s="1371"/>
      <c r="S301" s="3"/>
      <c r="T301" s="3" t="s">
        <v>76</v>
      </c>
      <c r="V301" s="3"/>
      <c r="W301" s="3"/>
      <c r="X301" s="3"/>
      <c r="Y301" s="3"/>
      <c r="AA301" s="1348"/>
      <c r="AB301" s="1348"/>
      <c r="AC301" s="1348"/>
      <c r="AD301" s="1348"/>
      <c r="AE301" s="1348"/>
      <c r="AF301" s="1348"/>
      <c r="AG301" s="1371"/>
      <c r="AH301" s="1371"/>
      <c r="AI301" s="1371"/>
      <c r="AJ301" s="1371"/>
      <c r="AK301" s="1371"/>
    </row>
    <row r="302" spans="2:37" ht="13.15" customHeight="1"/>
    <row r="303" spans="2:37" ht="13.15" customHeight="1">
      <c r="B303" s="3" t="s">
        <v>77</v>
      </c>
      <c r="C303" s="3"/>
      <c r="D303" s="3"/>
      <c r="E303" s="3"/>
      <c r="F303" s="3"/>
      <c r="H303" s="1371" t="s">
        <v>2642</v>
      </c>
      <c r="I303" s="1371"/>
      <c r="J303" s="1371"/>
      <c r="K303" s="1371"/>
      <c r="L303" s="1371"/>
      <c r="M303" s="1371"/>
      <c r="N303" s="1371"/>
      <c r="O303" s="1371"/>
      <c r="P303" s="1371"/>
      <c r="Q303" s="1371"/>
      <c r="R303" s="1371"/>
      <c r="T303" s="4" t="s">
        <v>878</v>
      </c>
      <c r="V303" s="3"/>
      <c r="W303" s="3"/>
      <c r="X303" s="3"/>
      <c r="Y303" s="3"/>
      <c r="AA303" s="1371" t="s">
        <v>2665</v>
      </c>
      <c r="AB303" s="1371"/>
      <c r="AC303" s="1371"/>
      <c r="AD303" s="1371"/>
      <c r="AE303" s="1371"/>
      <c r="AF303" s="1371"/>
      <c r="AG303" s="1371"/>
      <c r="AH303" s="1371"/>
      <c r="AI303" s="1371"/>
      <c r="AJ303" s="1371"/>
      <c r="AK303" s="1371"/>
    </row>
    <row r="304" spans="2:37" ht="13.15" customHeight="1">
      <c r="B304" s="3" t="s">
        <v>471</v>
      </c>
      <c r="C304" s="3"/>
      <c r="D304" s="3"/>
      <c r="E304" s="3"/>
      <c r="F304" s="3"/>
      <c r="H304" s="1348" t="s">
        <v>2643</v>
      </c>
      <c r="I304" s="1348"/>
      <c r="J304" s="1348"/>
      <c r="K304" s="1348"/>
      <c r="L304" s="1348"/>
      <c r="M304" s="1348"/>
      <c r="N304" s="1348"/>
      <c r="O304" s="1348"/>
      <c r="P304" s="1348"/>
      <c r="Q304" s="1348"/>
      <c r="R304" s="1348"/>
      <c r="T304" s="3" t="s">
        <v>471</v>
      </c>
      <c r="V304" s="3"/>
      <c r="W304" s="3"/>
      <c r="X304" s="3"/>
      <c r="Y304" s="3"/>
      <c r="AA304" s="1348" t="s">
        <v>2666</v>
      </c>
      <c r="AB304" s="1348"/>
      <c r="AC304" s="1348"/>
      <c r="AD304" s="1348"/>
      <c r="AE304" s="1348"/>
      <c r="AF304" s="1348"/>
      <c r="AG304" s="1348"/>
      <c r="AH304" s="1348"/>
      <c r="AI304" s="1348"/>
      <c r="AJ304" s="1348"/>
      <c r="AK304" s="1348"/>
    </row>
    <row r="305" spans="2:37" ht="13.15" customHeight="1">
      <c r="B305" s="3" t="s">
        <v>472</v>
      </c>
      <c r="C305" s="3"/>
      <c r="D305" s="3"/>
      <c r="E305" s="3"/>
      <c r="F305" s="3"/>
      <c r="H305" s="1348" t="s">
        <v>2644</v>
      </c>
      <c r="I305" s="1348"/>
      <c r="J305" s="1348"/>
      <c r="K305" s="1348"/>
      <c r="L305" s="1348"/>
      <c r="M305" s="1348"/>
      <c r="N305" s="1348"/>
      <c r="O305" s="1348"/>
      <c r="P305" s="1348"/>
      <c r="Q305" s="1348"/>
      <c r="R305" s="1348"/>
      <c r="T305" s="3" t="s">
        <v>75</v>
      </c>
      <c r="V305" s="3"/>
      <c r="W305" s="3"/>
      <c r="X305" s="3"/>
      <c r="Y305" s="3"/>
      <c r="AA305" s="1348" t="s">
        <v>2667</v>
      </c>
      <c r="AB305" s="1348"/>
      <c r="AC305" s="1348"/>
      <c r="AD305" s="1348"/>
      <c r="AE305" s="1348"/>
      <c r="AF305" s="1348"/>
      <c r="AG305" s="1348"/>
      <c r="AH305" s="1348"/>
      <c r="AI305" s="1348"/>
      <c r="AJ305" s="1348"/>
      <c r="AK305" s="1348"/>
    </row>
    <row r="306" spans="2:37" ht="13.15" customHeight="1">
      <c r="B306" s="3" t="s">
        <v>87</v>
      </c>
      <c r="C306" s="3"/>
      <c r="D306" s="3"/>
      <c r="E306" s="3"/>
      <c r="F306" s="3"/>
      <c r="H306" s="1348" t="s">
        <v>2645</v>
      </c>
      <c r="I306" s="1348"/>
      <c r="J306" s="1348"/>
      <c r="K306" s="1348"/>
      <c r="L306" s="1348"/>
      <c r="M306" s="1348"/>
      <c r="N306" s="1348"/>
      <c r="O306" s="1348"/>
      <c r="P306" s="1348"/>
      <c r="Q306" s="1348"/>
      <c r="R306" s="1348"/>
      <c r="T306" s="3" t="s">
        <v>87</v>
      </c>
      <c r="V306" s="3"/>
      <c r="W306" s="3"/>
      <c r="X306" s="3"/>
      <c r="Y306" s="3"/>
      <c r="AA306" s="1348" t="s">
        <v>2668</v>
      </c>
      <c r="AB306" s="1348"/>
      <c r="AC306" s="1348"/>
      <c r="AD306" s="1348"/>
      <c r="AE306" s="1348"/>
      <c r="AF306" s="1348"/>
      <c r="AG306" s="1348"/>
      <c r="AH306" s="1348"/>
      <c r="AI306" s="1348"/>
      <c r="AJ306" s="1348"/>
      <c r="AK306" s="1348"/>
    </row>
    <row r="307" spans="2:37" ht="13.15" customHeight="1">
      <c r="B307" s="3" t="s">
        <v>88</v>
      </c>
      <c r="C307" s="3"/>
      <c r="D307" s="3"/>
      <c r="E307" s="3"/>
      <c r="F307" s="3"/>
      <c r="G307" s="3"/>
      <c r="H307" s="1423" t="s">
        <v>2646</v>
      </c>
      <c r="I307" s="1423"/>
      <c r="J307" s="1423"/>
      <c r="K307" s="1423"/>
      <c r="L307" s="1423"/>
      <c r="M307" s="1423"/>
      <c r="N307" s="4" t="s">
        <v>206</v>
      </c>
      <c r="O307" s="4"/>
      <c r="P307" s="1417">
        <v>6</v>
      </c>
      <c r="Q307" s="1417"/>
      <c r="R307" s="1417"/>
      <c r="S307" s="3"/>
      <c r="T307" s="3" t="s">
        <v>88</v>
      </c>
      <c r="V307" s="3"/>
      <c r="W307" s="3"/>
      <c r="X307" s="3"/>
      <c r="Y307" s="3"/>
      <c r="AA307" s="1423" t="s">
        <v>2669</v>
      </c>
      <c r="AB307" s="1423"/>
      <c r="AC307" s="1423"/>
      <c r="AD307" s="1423"/>
      <c r="AE307" s="1423"/>
      <c r="AF307" s="1423"/>
      <c r="AG307" s="4" t="s">
        <v>206</v>
      </c>
      <c r="AH307" s="4"/>
      <c r="AI307" s="1417"/>
      <c r="AJ307" s="1417"/>
      <c r="AK307" s="1417"/>
    </row>
    <row r="308" spans="2:37" ht="13.1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3.15" customHeight="1">
      <c r="B309" s="3" t="s">
        <v>76</v>
      </c>
      <c r="C309" s="3"/>
      <c r="D309" s="3"/>
      <c r="E309" s="3"/>
      <c r="F309" s="3"/>
      <c r="G309" s="3"/>
      <c r="H309" s="1348" t="s">
        <v>2647</v>
      </c>
      <c r="I309" s="1348"/>
      <c r="J309" s="1348"/>
      <c r="K309" s="1348"/>
      <c r="L309" s="1348"/>
      <c r="M309" s="1348"/>
      <c r="N309" s="1371"/>
      <c r="O309" s="1371"/>
      <c r="P309" s="1371"/>
      <c r="Q309" s="1371"/>
      <c r="R309" s="1371"/>
      <c r="S309" s="3"/>
      <c r="T309" s="3" t="s">
        <v>76</v>
      </c>
      <c r="V309" s="3"/>
      <c r="W309" s="3"/>
      <c r="X309" s="3"/>
      <c r="Y309" s="3"/>
      <c r="AA309" s="1348" t="s">
        <v>2670</v>
      </c>
      <c r="AB309" s="1348"/>
      <c r="AC309" s="1348"/>
      <c r="AD309" s="1348"/>
      <c r="AE309" s="1348"/>
      <c r="AF309" s="1348"/>
      <c r="AG309" s="1371"/>
      <c r="AH309" s="1371"/>
      <c r="AI309" s="1371"/>
      <c r="AJ309" s="1371"/>
      <c r="AK309" s="1371"/>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907</v>
      </c>
      <c r="C311" s="3"/>
      <c r="D311" s="3"/>
      <c r="E311" s="3"/>
      <c r="F311" s="3"/>
      <c r="H311" s="1371" t="s">
        <v>2658</v>
      </c>
      <c r="I311" s="1371"/>
      <c r="J311" s="1371"/>
      <c r="K311" s="1371"/>
      <c r="L311" s="1371"/>
      <c r="M311" s="1371"/>
      <c r="N311" s="1371"/>
      <c r="O311" s="1371"/>
      <c r="P311" s="1371"/>
      <c r="Q311" s="1371"/>
      <c r="R311" s="1371"/>
      <c r="S311" s="3"/>
      <c r="T311" s="3" t="s">
        <v>365</v>
      </c>
      <c r="V311" s="3"/>
      <c r="W311" s="3"/>
      <c r="X311" s="3"/>
      <c r="Y311" s="3"/>
      <c r="AA311" s="1371" t="s">
        <v>2648</v>
      </c>
      <c r="AB311" s="1371"/>
      <c r="AC311" s="1371"/>
      <c r="AD311" s="1371"/>
      <c r="AE311" s="1371"/>
      <c r="AF311" s="1371"/>
      <c r="AG311" s="1371"/>
      <c r="AH311" s="1371"/>
      <c r="AI311" s="1371"/>
      <c r="AJ311" s="1371"/>
      <c r="AK311" s="1371"/>
    </row>
    <row r="312" spans="2:37" ht="13.15" customHeight="1">
      <c r="B312" s="3" t="s">
        <v>471</v>
      </c>
      <c r="C312" s="3"/>
      <c r="D312" s="3"/>
      <c r="E312" s="3"/>
      <c r="F312" s="3"/>
      <c r="H312" s="1348" t="s">
        <v>2659</v>
      </c>
      <c r="I312" s="1348"/>
      <c r="J312" s="1348"/>
      <c r="K312" s="1348"/>
      <c r="L312" s="1348"/>
      <c r="M312" s="1348"/>
      <c r="N312" s="1348"/>
      <c r="O312" s="1348"/>
      <c r="P312" s="1348"/>
      <c r="Q312" s="1348"/>
      <c r="R312" s="1348"/>
      <c r="S312" s="3"/>
      <c r="T312" s="3" t="s">
        <v>471</v>
      </c>
      <c r="V312" s="3"/>
      <c r="W312" s="3"/>
      <c r="X312" s="3"/>
      <c r="Y312" s="3"/>
      <c r="AA312" s="1348"/>
      <c r="AB312" s="1348"/>
      <c r="AC312" s="1348"/>
      <c r="AD312" s="1348"/>
      <c r="AE312" s="1348"/>
      <c r="AF312" s="1348"/>
      <c r="AG312" s="1348"/>
      <c r="AH312" s="1348"/>
      <c r="AI312" s="1348"/>
      <c r="AJ312" s="1348"/>
      <c r="AK312" s="1348"/>
    </row>
    <row r="313" spans="2:37" ht="13.15" customHeight="1">
      <c r="B313" s="3" t="s">
        <v>472</v>
      </c>
      <c r="C313" s="3"/>
      <c r="D313" s="3"/>
      <c r="E313" s="3"/>
      <c r="F313" s="3"/>
      <c r="H313" s="1348" t="s">
        <v>2660</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3.15" customHeight="1">
      <c r="B314" s="3" t="s">
        <v>87</v>
      </c>
      <c r="C314" s="3"/>
      <c r="D314" s="3"/>
      <c r="E314" s="3"/>
      <c r="F314" s="3"/>
      <c r="H314" s="1348" t="s">
        <v>2661</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3.15" customHeight="1">
      <c r="B315" s="3" t="s">
        <v>88</v>
      </c>
      <c r="C315" s="3"/>
      <c r="D315" s="3"/>
      <c r="E315" s="3"/>
      <c r="F315" s="3"/>
      <c r="G315" s="3"/>
      <c r="H315" s="1423" t="s">
        <v>2662</v>
      </c>
      <c r="I315" s="1423"/>
      <c r="J315" s="1423"/>
      <c r="K315" s="1423"/>
      <c r="L315" s="1423"/>
      <c r="M315" s="1423"/>
      <c r="N315" s="4" t="s">
        <v>206</v>
      </c>
      <c r="O315" s="4"/>
      <c r="P315" s="1417">
        <v>6</v>
      </c>
      <c r="Q315" s="1417"/>
      <c r="R315" s="1417"/>
      <c r="S315" s="3"/>
      <c r="T315" s="3" t="s">
        <v>88</v>
      </c>
      <c r="V315" s="3"/>
      <c r="W315" s="3"/>
      <c r="X315" s="3"/>
      <c r="Y315" s="3"/>
      <c r="AA315" s="1423"/>
      <c r="AB315" s="1423"/>
      <c r="AC315" s="1423"/>
      <c r="AD315" s="1423"/>
      <c r="AE315" s="1423"/>
      <c r="AF315" s="1423"/>
      <c r="AG315" s="4" t="s">
        <v>206</v>
      </c>
      <c r="AH315" s="4"/>
      <c r="AI315" s="1417"/>
      <c r="AJ315" s="1417"/>
      <c r="AK315" s="1417"/>
    </row>
    <row r="316" spans="2:37" ht="13.15" customHeight="1">
      <c r="B316" s="3" t="s">
        <v>89</v>
      </c>
      <c r="C316" s="3"/>
      <c r="D316" s="3"/>
      <c r="E316" s="3"/>
      <c r="F316" s="3"/>
      <c r="G316" s="3"/>
      <c r="H316" s="1346" t="s">
        <v>2663</v>
      </c>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3.15" customHeight="1">
      <c r="B317" s="3" t="s">
        <v>76</v>
      </c>
      <c r="C317" s="3"/>
      <c r="D317" s="3"/>
      <c r="E317" s="3"/>
      <c r="F317" s="3"/>
      <c r="G317" s="3"/>
      <c r="H317" s="1348" t="s">
        <v>2664</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3.15" customHeight="1"/>
    <row r="319" spans="2:37" ht="13.15" customHeight="1">
      <c r="B319" s="4" t="s">
        <v>908</v>
      </c>
      <c r="C319" s="3"/>
      <c r="D319" s="3"/>
      <c r="E319" s="3"/>
      <c r="F319" s="3"/>
      <c r="H319" s="1371" t="s">
        <v>2655</v>
      </c>
      <c r="I319" s="1371"/>
      <c r="J319" s="1371"/>
      <c r="K319" s="1371"/>
      <c r="L319" s="1371"/>
      <c r="M319" s="1371"/>
      <c r="N319" s="1371"/>
      <c r="O319" s="1371"/>
      <c r="P319" s="1371"/>
      <c r="Q319" s="1371"/>
      <c r="R319" s="1371"/>
      <c r="T319" s="3" t="s">
        <v>366</v>
      </c>
      <c r="V319" s="3"/>
      <c r="W319" s="3"/>
      <c r="X319" s="3"/>
      <c r="Y319" s="3"/>
      <c r="AA319" s="1371" t="s">
        <v>2649</v>
      </c>
      <c r="AB319" s="1371"/>
      <c r="AC319" s="1371"/>
      <c r="AD319" s="1371"/>
      <c r="AE319" s="1371"/>
      <c r="AF319" s="1371"/>
      <c r="AG319" s="1371"/>
      <c r="AH319" s="1371"/>
      <c r="AI319" s="1371"/>
      <c r="AJ319" s="1371"/>
      <c r="AK319" s="1371"/>
    </row>
    <row r="320" spans="2:37" ht="13.15" customHeight="1">
      <c r="B320" s="3" t="s">
        <v>471</v>
      </c>
      <c r="C320" s="3"/>
      <c r="D320" s="3"/>
      <c r="E320" s="3"/>
      <c r="F320" s="3"/>
      <c r="H320" s="1348" t="s">
        <v>2656</v>
      </c>
      <c r="I320" s="1348"/>
      <c r="J320" s="1348"/>
      <c r="K320" s="1348"/>
      <c r="L320" s="1348"/>
      <c r="M320" s="1348"/>
      <c r="N320" s="1348"/>
      <c r="O320" s="1348"/>
      <c r="P320" s="1348"/>
      <c r="Q320" s="1348"/>
      <c r="R320" s="1348"/>
      <c r="T320" s="3" t="s">
        <v>471</v>
      </c>
      <c r="V320" s="3"/>
      <c r="W320" s="3"/>
      <c r="X320" s="3"/>
      <c r="Y320" s="3"/>
      <c r="AA320" s="1348" t="s">
        <v>2650</v>
      </c>
      <c r="AB320" s="1348"/>
      <c r="AC320" s="1348"/>
      <c r="AD320" s="1348"/>
      <c r="AE320" s="1348"/>
      <c r="AF320" s="1348"/>
      <c r="AG320" s="1348"/>
      <c r="AH320" s="1348"/>
      <c r="AI320" s="1348"/>
      <c r="AJ320" s="1348"/>
      <c r="AK320" s="1348"/>
    </row>
    <row r="321" spans="2:37" ht="13.15" customHeight="1">
      <c r="B321" s="3" t="s">
        <v>472</v>
      </c>
      <c r="C321" s="3"/>
      <c r="D321" s="3"/>
      <c r="E321" s="3"/>
      <c r="F321" s="3"/>
      <c r="H321" s="1348" t="s">
        <v>2657</v>
      </c>
      <c r="I321" s="1348"/>
      <c r="J321" s="1348"/>
      <c r="K321" s="1348"/>
      <c r="L321" s="1348"/>
      <c r="M321" s="1348"/>
      <c r="N321" s="1348"/>
      <c r="O321" s="1348"/>
      <c r="P321" s="1348"/>
      <c r="Q321" s="1348"/>
      <c r="R321" s="1348"/>
      <c r="T321" s="3" t="s">
        <v>75</v>
      </c>
      <c r="V321" s="3"/>
      <c r="W321" s="3"/>
      <c r="X321" s="3"/>
      <c r="Y321" s="3"/>
      <c r="AA321" s="1348" t="s">
        <v>2651</v>
      </c>
      <c r="AB321" s="1348"/>
      <c r="AC321" s="1348"/>
      <c r="AD321" s="1348"/>
      <c r="AE321" s="1348"/>
      <c r="AF321" s="1348"/>
      <c r="AG321" s="1348"/>
      <c r="AH321" s="1348"/>
      <c r="AI321" s="1348"/>
      <c r="AJ321" s="1348"/>
      <c r="AK321" s="1348"/>
    </row>
    <row r="322" spans="2:37" ht="13.15" customHeight="1">
      <c r="B322" s="3" t="s">
        <v>87</v>
      </c>
      <c r="C322" s="3"/>
      <c r="D322" s="3"/>
      <c r="E322" s="3"/>
      <c r="F322" s="3"/>
      <c r="H322" s="1348" t="s">
        <v>2727</v>
      </c>
      <c r="I322" s="1348"/>
      <c r="J322" s="1348"/>
      <c r="K322" s="1348"/>
      <c r="L322" s="1348"/>
      <c r="M322" s="1348"/>
      <c r="N322" s="1348"/>
      <c r="O322" s="1348"/>
      <c r="P322" s="1348"/>
      <c r="Q322" s="1348"/>
      <c r="R322" s="1348"/>
      <c r="T322" s="3" t="s">
        <v>87</v>
      </c>
      <c r="V322" s="3"/>
      <c r="W322" s="3"/>
      <c r="X322" s="3"/>
      <c r="Y322" s="3"/>
      <c r="AA322" s="1348" t="s">
        <v>2652</v>
      </c>
      <c r="AB322" s="1348"/>
      <c r="AC322" s="1348"/>
      <c r="AD322" s="1348"/>
      <c r="AE322" s="1348"/>
      <c r="AF322" s="1348"/>
      <c r="AG322" s="1348"/>
      <c r="AH322" s="1348"/>
      <c r="AI322" s="1348"/>
      <c r="AJ322" s="1348"/>
      <c r="AK322" s="1348"/>
    </row>
    <row r="323" spans="2:37" ht="13.15" customHeight="1">
      <c r="B323" s="3" t="s">
        <v>88</v>
      </c>
      <c r="C323" s="3"/>
      <c r="D323" s="3"/>
      <c r="E323" s="3"/>
      <c r="F323" s="3"/>
      <c r="G323" s="3"/>
      <c r="H323" s="1778" t="s">
        <v>2728</v>
      </c>
      <c r="I323" s="1423"/>
      <c r="J323" s="1423"/>
      <c r="K323" s="1423"/>
      <c r="L323" s="1423"/>
      <c r="M323" s="1423"/>
      <c r="N323" s="4" t="s">
        <v>206</v>
      </c>
      <c r="O323" s="4"/>
      <c r="P323" s="1417"/>
      <c r="Q323" s="1417"/>
      <c r="R323" s="1417"/>
      <c r="S323" s="3"/>
      <c r="T323" s="3" t="s">
        <v>88</v>
      </c>
      <c r="V323" s="3"/>
      <c r="W323" s="3"/>
      <c r="X323" s="3"/>
      <c r="Y323" s="3"/>
      <c r="AA323" s="1423" t="s">
        <v>2653</v>
      </c>
      <c r="AB323" s="1423"/>
      <c r="AC323" s="1423"/>
      <c r="AD323" s="1423"/>
      <c r="AE323" s="1423"/>
      <c r="AF323" s="1423"/>
      <c r="AG323" s="4" t="s">
        <v>206</v>
      </c>
      <c r="AH323" s="4"/>
      <c r="AI323" s="1417"/>
      <c r="AJ323" s="1417"/>
      <c r="AK323" s="1417"/>
    </row>
    <row r="324" spans="2:37" ht="13.1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3.15" customHeight="1">
      <c r="B325" s="3" t="s">
        <v>76</v>
      </c>
      <c r="C325" s="3"/>
      <c r="D325" s="3"/>
      <c r="E325" s="3"/>
      <c r="F325" s="3"/>
      <c r="G325" s="3"/>
      <c r="H325" s="1348" t="s">
        <v>2729</v>
      </c>
      <c r="I325" s="1348"/>
      <c r="J325" s="1348"/>
      <c r="K325" s="1348"/>
      <c r="L325" s="1348"/>
      <c r="M325" s="1348"/>
      <c r="N325" s="1371"/>
      <c r="O325" s="1371"/>
      <c r="P325" s="1371"/>
      <c r="Q325" s="1371"/>
      <c r="R325" s="1371"/>
      <c r="S325" s="3"/>
      <c r="T325" s="3" t="s">
        <v>76</v>
      </c>
      <c r="V325" s="3"/>
      <c r="W325" s="3"/>
      <c r="X325" s="3"/>
      <c r="Y325" s="3"/>
      <c r="AA325" s="1348" t="s">
        <v>2654</v>
      </c>
      <c r="AB325" s="1348"/>
      <c r="AC325" s="1348"/>
      <c r="AD325" s="1348"/>
      <c r="AE325" s="1348"/>
      <c r="AF325" s="1348"/>
      <c r="AG325" s="1371"/>
      <c r="AH325" s="1371"/>
      <c r="AI325" s="1371"/>
      <c r="AJ325" s="1371"/>
      <c r="AK325" s="1371"/>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367</v>
      </c>
      <c r="C327" s="3"/>
      <c r="D327" s="3"/>
      <c r="E327" s="3"/>
      <c r="F327" s="3"/>
      <c r="H327" s="1371" t="s">
        <v>2678</v>
      </c>
      <c r="I327" s="1371"/>
      <c r="J327" s="1371"/>
      <c r="K327" s="1371"/>
      <c r="L327" s="1371"/>
      <c r="M327" s="1371"/>
      <c r="N327" s="1371"/>
      <c r="O327" s="1371"/>
      <c r="P327" s="1371"/>
      <c r="Q327" s="1371"/>
      <c r="R327" s="1371"/>
      <c r="T327" s="3" t="s">
        <v>368</v>
      </c>
      <c r="V327" s="3"/>
      <c r="W327" s="3"/>
      <c r="X327" s="3"/>
      <c r="Y327" s="3"/>
      <c r="AA327" s="1371" t="s">
        <v>2685</v>
      </c>
      <c r="AB327" s="1371"/>
      <c r="AC327" s="1371"/>
      <c r="AD327" s="1371"/>
      <c r="AE327" s="1371"/>
      <c r="AF327" s="1371"/>
      <c r="AG327" s="1371"/>
      <c r="AH327" s="1371"/>
      <c r="AI327" s="1371"/>
      <c r="AJ327" s="1371"/>
      <c r="AK327" s="1371"/>
    </row>
    <row r="328" spans="2:37" ht="13.15" customHeight="1">
      <c r="B328" s="3" t="s">
        <v>471</v>
      </c>
      <c r="C328" s="3"/>
      <c r="D328" s="3"/>
      <c r="E328" s="3"/>
      <c r="F328" s="3"/>
      <c r="H328" s="1348" t="s">
        <v>2679</v>
      </c>
      <c r="I328" s="1348"/>
      <c r="J328" s="1348"/>
      <c r="K328" s="1348"/>
      <c r="L328" s="1348"/>
      <c r="M328" s="1348"/>
      <c r="N328" s="1348"/>
      <c r="O328" s="1348"/>
      <c r="P328" s="1348"/>
      <c r="Q328" s="1348"/>
      <c r="R328" s="1348"/>
      <c r="T328" s="3" t="s">
        <v>471</v>
      </c>
      <c r="V328" s="3"/>
      <c r="W328" s="3"/>
      <c r="X328" s="3"/>
      <c r="Y328" s="3"/>
      <c r="AA328" s="1348" t="s">
        <v>2686</v>
      </c>
      <c r="AB328" s="1348"/>
      <c r="AC328" s="1348"/>
      <c r="AD328" s="1348"/>
      <c r="AE328" s="1348"/>
      <c r="AF328" s="1348"/>
      <c r="AG328" s="1348"/>
      <c r="AH328" s="1348"/>
      <c r="AI328" s="1348"/>
      <c r="AJ328" s="1348"/>
      <c r="AK328" s="1348"/>
    </row>
    <row r="329" spans="2:37" ht="13.15" customHeight="1">
      <c r="B329" s="3" t="s">
        <v>472</v>
      </c>
      <c r="C329" s="3"/>
      <c r="D329" s="3"/>
      <c r="E329" s="3"/>
      <c r="F329" s="3"/>
      <c r="H329" s="1348" t="s">
        <v>2680</v>
      </c>
      <c r="I329" s="1348"/>
      <c r="J329" s="1348"/>
      <c r="K329" s="1348"/>
      <c r="L329" s="1348"/>
      <c r="M329" s="1348"/>
      <c r="N329" s="1348"/>
      <c r="O329" s="1348"/>
      <c r="P329" s="1348"/>
      <c r="Q329" s="1348"/>
      <c r="R329" s="1348"/>
      <c r="T329" s="3" t="s">
        <v>75</v>
      </c>
      <c r="V329" s="3"/>
      <c r="W329" s="3"/>
      <c r="X329" s="3"/>
      <c r="Y329" s="3"/>
      <c r="AA329" s="1348" t="s">
        <v>2687</v>
      </c>
      <c r="AB329" s="1348"/>
      <c r="AC329" s="1348"/>
      <c r="AD329" s="1348"/>
      <c r="AE329" s="1348"/>
      <c r="AF329" s="1348"/>
      <c r="AG329" s="1348"/>
      <c r="AH329" s="1348"/>
      <c r="AI329" s="1348"/>
      <c r="AJ329" s="1348"/>
      <c r="AK329" s="1348"/>
    </row>
    <row r="330" spans="2:37" ht="13.15" customHeight="1">
      <c r="B330" s="3" t="s">
        <v>87</v>
      </c>
      <c r="C330" s="3"/>
      <c r="D330" s="3"/>
      <c r="E330" s="3"/>
      <c r="F330" s="3"/>
      <c r="H330" s="1348" t="s">
        <v>2681</v>
      </c>
      <c r="I330" s="1348"/>
      <c r="J330" s="1348"/>
      <c r="K330" s="1348"/>
      <c r="L330" s="1348"/>
      <c r="M330" s="1348"/>
      <c r="N330" s="1348"/>
      <c r="O330" s="1348"/>
      <c r="P330" s="1348"/>
      <c r="Q330" s="1348"/>
      <c r="R330" s="1348"/>
      <c r="T330" s="3" t="s">
        <v>87</v>
      </c>
      <c r="V330" s="3"/>
      <c r="W330" s="3"/>
      <c r="X330" s="3"/>
      <c r="Y330" s="3"/>
      <c r="AA330" s="1348" t="s">
        <v>2688</v>
      </c>
      <c r="AB330" s="1348"/>
      <c r="AC330" s="1348"/>
      <c r="AD330" s="1348"/>
      <c r="AE330" s="1348"/>
      <c r="AF330" s="1348"/>
      <c r="AG330" s="1348"/>
      <c r="AH330" s="1348"/>
      <c r="AI330" s="1348"/>
      <c r="AJ330" s="1348"/>
      <c r="AK330" s="1348"/>
    </row>
    <row r="331" spans="2:37" ht="13.15" customHeight="1">
      <c r="B331" s="3" t="s">
        <v>88</v>
      </c>
      <c r="C331" s="3"/>
      <c r="D331" s="3"/>
      <c r="E331" s="3"/>
      <c r="F331" s="3"/>
      <c r="G331" s="3"/>
      <c r="H331" s="1423" t="s">
        <v>2682</v>
      </c>
      <c r="I331" s="1423"/>
      <c r="J331" s="1423"/>
      <c r="K331" s="1423"/>
      <c r="L331" s="1423"/>
      <c r="M331" s="1423"/>
      <c r="N331" s="4" t="s">
        <v>206</v>
      </c>
      <c r="O331" s="4"/>
      <c r="P331" s="1417"/>
      <c r="Q331" s="1417"/>
      <c r="R331" s="1417"/>
      <c r="S331" s="3"/>
      <c r="T331" s="3" t="s">
        <v>88</v>
      </c>
      <c r="V331" s="3"/>
      <c r="W331" s="3"/>
      <c r="X331" s="3"/>
      <c r="Y331" s="3"/>
      <c r="AA331" s="1423" t="s">
        <v>2689</v>
      </c>
      <c r="AB331" s="1423"/>
      <c r="AC331" s="1423"/>
      <c r="AD331" s="1423"/>
      <c r="AE331" s="1423"/>
      <c r="AF331" s="1423"/>
      <c r="AG331" s="4" t="s">
        <v>206</v>
      </c>
      <c r="AH331" s="4"/>
      <c r="AI331" s="1417"/>
      <c r="AJ331" s="1417"/>
      <c r="AK331" s="1417"/>
    </row>
    <row r="332" spans="2:37" ht="13.15" customHeight="1">
      <c r="B332" s="3" t="s">
        <v>89</v>
      </c>
      <c r="C332" s="3"/>
      <c r="D332" s="3"/>
      <c r="E332" s="3"/>
      <c r="F332" s="3"/>
      <c r="G332" s="3"/>
      <c r="H332" s="1346" t="s">
        <v>2683</v>
      </c>
      <c r="I332" s="1346"/>
      <c r="J332" s="1346"/>
      <c r="K332" s="1346"/>
      <c r="L332" s="1346"/>
      <c r="M332" s="1346"/>
      <c r="N332" s="4"/>
      <c r="O332" s="4"/>
      <c r="P332" s="35"/>
      <c r="Q332" s="35"/>
      <c r="R332" s="35"/>
      <c r="S332" s="3"/>
      <c r="T332" s="3" t="s">
        <v>89</v>
      </c>
      <c r="V332" s="3"/>
      <c r="W332" s="3"/>
      <c r="X332" s="3"/>
      <c r="Y332" s="3"/>
      <c r="AA332" s="1346" t="s">
        <v>2690</v>
      </c>
      <c r="AB332" s="1346"/>
      <c r="AC332" s="1346"/>
      <c r="AD332" s="1346"/>
      <c r="AE332" s="1346"/>
      <c r="AF332" s="1346"/>
      <c r="AG332" s="4"/>
      <c r="AH332" s="4"/>
      <c r="AI332" s="35"/>
      <c r="AJ332" s="35"/>
      <c r="AK332" s="35"/>
    </row>
    <row r="333" spans="2:37" ht="13.15" customHeight="1">
      <c r="B333" s="3" t="s">
        <v>76</v>
      </c>
      <c r="C333" s="3"/>
      <c r="D333" s="3"/>
      <c r="E333" s="3"/>
      <c r="F333" s="3"/>
      <c r="G333" s="3"/>
      <c r="H333" s="1348" t="s">
        <v>2684</v>
      </c>
      <c r="I333" s="1348"/>
      <c r="J333" s="1348"/>
      <c r="K333" s="1348"/>
      <c r="L333" s="1348"/>
      <c r="M333" s="1348"/>
      <c r="N333" s="1371"/>
      <c r="O333" s="1371"/>
      <c r="P333" s="1371"/>
      <c r="Q333" s="1371"/>
      <c r="R333" s="1371"/>
      <c r="S333" s="3"/>
      <c r="T333" s="3" t="s">
        <v>76</v>
      </c>
      <c r="V333" s="3"/>
      <c r="W333" s="3"/>
      <c r="X333" s="3"/>
      <c r="Y333" s="3"/>
      <c r="AA333" s="1348" t="s">
        <v>2691</v>
      </c>
      <c r="AB333" s="1348"/>
      <c r="AC333" s="1348"/>
      <c r="AD333" s="1348"/>
      <c r="AE333" s="1348"/>
      <c r="AF333" s="1348"/>
      <c r="AG333" s="1371"/>
      <c r="AH333" s="1371"/>
      <c r="AI333" s="1371"/>
      <c r="AJ333" s="1371"/>
      <c r="AK333" s="1371"/>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329</v>
      </c>
      <c r="C335" s="3"/>
      <c r="D335" s="3"/>
      <c r="E335" s="3"/>
      <c r="F335" s="3"/>
      <c r="H335" s="1371" t="s">
        <v>2671</v>
      </c>
      <c r="I335" s="1371"/>
      <c r="J335" s="1371"/>
      <c r="K335" s="1371"/>
      <c r="L335" s="1371"/>
      <c r="M335" s="1371"/>
      <c r="N335" s="1371"/>
      <c r="O335" s="1371"/>
      <c r="P335" s="1371"/>
      <c r="Q335" s="1371"/>
      <c r="R335" s="1371"/>
      <c r="T335" s="204" t="s">
        <v>886</v>
      </c>
      <c r="V335" s="3"/>
      <c r="W335" s="3"/>
      <c r="X335" s="3"/>
      <c r="Y335" s="3"/>
      <c r="AA335" s="1371" t="s">
        <v>2692</v>
      </c>
      <c r="AB335" s="1371"/>
      <c r="AC335" s="1371"/>
      <c r="AD335" s="1371"/>
      <c r="AE335" s="1371"/>
      <c r="AF335" s="1371"/>
      <c r="AG335" s="1371"/>
      <c r="AH335" s="1371"/>
      <c r="AI335" s="1371"/>
      <c r="AJ335" s="1371"/>
      <c r="AK335" s="1371"/>
    </row>
    <row r="336" spans="2:37" ht="13.15" customHeight="1">
      <c r="B336" s="3" t="s">
        <v>471</v>
      </c>
      <c r="C336" s="3"/>
      <c r="D336" s="3"/>
      <c r="E336" s="3"/>
      <c r="F336" s="3"/>
      <c r="H336" s="1348" t="s">
        <v>2672</v>
      </c>
      <c r="I336" s="1348"/>
      <c r="J336" s="1348"/>
      <c r="K336" s="1348"/>
      <c r="L336" s="1348"/>
      <c r="M336" s="1348"/>
      <c r="N336" s="1348"/>
      <c r="O336" s="1348"/>
      <c r="P336" s="1348"/>
      <c r="Q336" s="1348"/>
      <c r="R336" s="1348"/>
      <c r="T336" s="3" t="s">
        <v>471</v>
      </c>
      <c r="V336" s="3"/>
      <c r="W336" s="3"/>
      <c r="X336" s="3"/>
      <c r="Y336" s="3"/>
      <c r="AA336" s="1348" t="s">
        <v>2623</v>
      </c>
      <c r="AB336" s="1348"/>
      <c r="AC336" s="1348"/>
      <c r="AD336" s="1348"/>
      <c r="AE336" s="1348"/>
      <c r="AF336" s="1348"/>
      <c r="AG336" s="1348"/>
      <c r="AH336" s="1348"/>
      <c r="AI336" s="1348"/>
      <c r="AJ336" s="1348"/>
      <c r="AK336" s="1348"/>
    </row>
    <row r="337" spans="1:66" ht="13.15" customHeight="1">
      <c r="B337" s="3" t="s">
        <v>75</v>
      </c>
      <c r="C337" s="3"/>
      <c r="D337" s="3"/>
      <c r="E337" s="3"/>
      <c r="F337" s="3"/>
      <c r="H337" s="1348" t="s">
        <v>2673</v>
      </c>
      <c r="I337" s="1348"/>
      <c r="J337" s="1348"/>
      <c r="K337" s="1348"/>
      <c r="L337" s="1348"/>
      <c r="M337" s="1348"/>
      <c r="N337" s="1348"/>
      <c r="O337" s="1348"/>
      <c r="P337" s="1348"/>
      <c r="Q337" s="1348"/>
      <c r="R337" s="1348"/>
      <c r="T337" s="3" t="s">
        <v>75</v>
      </c>
      <c r="V337" s="3"/>
      <c r="W337" s="3"/>
      <c r="X337" s="3"/>
      <c r="Y337" s="3"/>
      <c r="AA337" s="1348" t="s">
        <v>2635</v>
      </c>
      <c r="AB337" s="1348"/>
      <c r="AC337" s="1348"/>
      <c r="AD337" s="1348"/>
      <c r="AE337" s="1348"/>
      <c r="AF337" s="1348"/>
      <c r="AG337" s="1348"/>
      <c r="AH337" s="1348"/>
      <c r="AI337" s="1348"/>
      <c r="AJ337" s="1348"/>
      <c r="AK337" s="1348"/>
    </row>
    <row r="338" spans="1:66" ht="13.15" customHeight="1">
      <c r="B338" s="3" t="s">
        <v>87</v>
      </c>
      <c r="C338" s="3"/>
      <c r="D338" s="3"/>
      <c r="E338" s="3"/>
      <c r="F338" s="3"/>
      <c r="G338" s="3"/>
      <c r="H338" s="1348" t="s">
        <v>2674</v>
      </c>
      <c r="I338" s="1348"/>
      <c r="J338" s="1348"/>
      <c r="K338" s="1348"/>
      <c r="L338" s="1348"/>
      <c r="M338" s="1348"/>
      <c r="N338" s="1348"/>
      <c r="O338" s="1348"/>
      <c r="P338" s="1348"/>
      <c r="Q338" s="1348"/>
      <c r="R338" s="1348"/>
      <c r="T338" s="3" t="s">
        <v>87</v>
      </c>
      <c r="V338" s="3"/>
      <c r="W338" s="3"/>
      <c r="X338" s="3"/>
      <c r="Y338" s="3"/>
      <c r="AA338" s="1348" t="s">
        <v>2693</v>
      </c>
      <c r="AB338" s="1348"/>
      <c r="AC338" s="1348"/>
      <c r="AD338" s="1348"/>
      <c r="AE338" s="1348"/>
      <c r="AF338" s="1348"/>
      <c r="AG338" s="1348"/>
      <c r="AH338" s="1348"/>
      <c r="AI338" s="1348"/>
      <c r="AJ338" s="1348"/>
      <c r="AK338" s="1348"/>
    </row>
    <row r="339" spans="1:66" ht="13.15" customHeight="1">
      <c r="B339" s="3" t="s">
        <v>88</v>
      </c>
      <c r="C339" s="3"/>
      <c r="D339" s="3"/>
      <c r="E339" s="3"/>
      <c r="F339" s="3"/>
      <c r="G339" s="3"/>
      <c r="H339" s="1423" t="s">
        <v>2675</v>
      </c>
      <c r="I339" s="1423"/>
      <c r="J339" s="1423"/>
      <c r="K339" s="1423"/>
      <c r="L339" s="1423"/>
      <c r="M339" s="1423"/>
      <c r="N339" s="4" t="s">
        <v>206</v>
      </c>
      <c r="O339" s="4"/>
      <c r="P339" s="1417"/>
      <c r="Q339" s="1417"/>
      <c r="R339" s="1417"/>
      <c r="S339" s="3"/>
      <c r="T339" s="3" t="s">
        <v>88</v>
      </c>
      <c r="V339" s="3"/>
      <c r="W339" s="3"/>
      <c r="X339" s="3"/>
      <c r="Y339" s="3"/>
      <c r="AA339" s="1423" t="s">
        <v>2694</v>
      </c>
      <c r="AB339" s="1423"/>
      <c r="AC339" s="1423"/>
      <c r="AD339" s="1423"/>
      <c r="AE339" s="1423"/>
      <c r="AF339" s="1423"/>
      <c r="AG339" s="4" t="s">
        <v>206</v>
      </c>
      <c r="AH339" s="4"/>
      <c r="AI339" s="1417"/>
      <c r="AJ339" s="1417"/>
      <c r="AK339" s="1417"/>
    </row>
    <row r="340" spans="1:66" ht="13.15" customHeight="1">
      <c r="B340" s="3" t="s">
        <v>89</v>
      </c>
      <c r="C340" s="3"/>
      <c r="D340" s="3"/>
      <c r="E340" s="3"/>
      <c r="F340" s="3"/>
      <c r="G340" s="3"/>
      <c r="H340" s="1346" t="s">
        <v>2676</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3.15" customHeight="1">
      <c r="B341" s="3" t="s">
        <v>76</v>
      </c>
      <c r="C341" s="3"/>
      <c r="D341" s="3"/>
      <c r="E341" s="3"/>
      <c r="F341" s="3"/>
      <c r="G341" s="3"/>
      <c r="H341" s="1348" t="s">
        <v>2677</v>
      </c>
      <c r="I341" s="1348"/>
      <c r="J341" s="1348"/>
      <c r="K341" s="1348"/>
      <c r="L341" s="1348"/>
      <c r="M341" s="1348"/>
      <c r="N341" s="1371"/>
      <c r="O341" s="1371"/>
      <c r="P341" s="1371"/>
      <c r="Q341" s="1371"/>
      <c r="R341" s="1371"/>
      <c r="S341" s="3"/>
      <c r="T341" s="3" t="s">
        <v>76</v>
      </c>
      <c r="V341" s="3"/>
      <c r="W341" s="3"/>
      <c r="X341" s="3"/>
      <c r="Y341" s="3"/>
      <c r="AA341" s="1348" t="s">
        <v>2695</v>
      </c>
      <c r="AB341" s="1348"/>
      <c r="AC341" s="1348"/>
      <c r="AD341" s="1348"/>
      <c r="AE341" s="1348"/>
      <c r="AF341" s="1348"/>
      <c r="AG341" s="1371"/>
      <c r="AH341" s="1371"/>
      <c r="AI341" s="1371"/>
      <c r="AJ341" s="1371"/>
      <c r="AK341" s="1371"/>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15" customHeight="1">
      <c r="B343" s="3"/>
      <c r="C343" s="4"/>
      <c r="D343" s="4"/>
      <c r="E343" s="4"/>
      <c r="F343" s="4"/>
      <c r="I343" s="204" t="s">
        <v>887</v>
      </c>
      <c r="P343" s="1371" t="s">
        <v>591</v>
      </c>
      <c r="Q343" s="1371"/>
      <c r="R343" s="1371"/>
      <c r="S343" s="1371"/>
      <c r="T343" s="1371"/>
      <c r="U343" s="1371"/>
      <c r="V343" s="1371"/>
      <c r="W343" s="1371"/>
      <c r="X343" s="1371"/>
      <c r="Y343" s="1371"/>
      <c r="Z343" s="1371"/>
      <c r="AA343" s="1371"/>
      <c r="AB343" s="1371"/>
      <c r="AC343" s="1371"/>
      <c r="AD343" s="1371"/>
      <c r="AE343" s="1371"/>
      <c r="BN343" t="s">
        <v>669</v>
      </c>
    </row>
    <row r="344" spans="1:66" ht="13.1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3.1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1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1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6"/>
      <c r="AD347" s="1436"/>
      <c r="AE347" s="1436"/>
      <c r="AF347" s="302"/>
      <c r="AG347" s="4"/>
      <c r="AH347" s="4"/>
      <c r="AI347" s="4"/>
      <c r="AJ347" s="4"/>
      <c r="AK347" s="4"/>
    </row>
    <row r="348" spans="1:66" ht="13.1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3.1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15" customHeight="1">
      <c r="T350" s="8"/>
      <c r="U350" s="8"/>
      <c r="V350" s="8"/>
      <c r="W350" s="8"/>
      <c r="X350" s="8"/>
      <c r="Y350" s="8"/>
      <c r="Z350" s="8"/>
      <c r="AU350" s="95"/>
      <c r="AV350" s="95"/>
      <c r="AW350" s="95"/>
      <c r="AX350" s="95"/>
      <c r="AY350" s="95"/>
    </row>
    <row r="351" spans="1:66" ht="13.1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1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319</v>
      </c>
      <c r="B354" s="2"/>
      <c r="C354" s="2" t="s">
        <v>782</v>
      </c>
    </row>
    <row r="355" spans="1:46" ht="13.15" customHeight="1">
      <c r="D355" s="3" t="s">
        <v>2097</v>
      </c>
      <c r="M355" s="1332" t="s">
        <v>591</v>
      </c>
      <c r="N355" s="1332"/>
      <c r="P355" t="s">
        <v>1649</v>
      </c>
      <c r="AJ355" s="1332" t="s">
        <v>669</v>
      </c>
      <c r="AK355" s="1332"/>
    </row>
    <row r="356" spans="1:46" ht="13.15" customHeight="1">
      <c r="D356" s="3" t="s">
        <v>1638</v>
      </c>
      <c r="M356" s="1332" t="s">
        <v>591</v>
      </c>
      <c r="N356" s="1332"/>
      <c r="P356" s="3" t="s">
        <v>1718</v>
      </c>
      <c r="AJ356" s="1446"/>
      <c r="AK356" s="1446"/>
    </row>
    <row r="357" spans="1:46" ht="13.15" customHeight="1">
      <c r="D357" s="3" t="s">
        <v>704</v>
      </c>
      <c r="M357" s="1332" t="s">
        <v>591</v>
      </c>
      <c r="N357" s="1332"/>
      <c r="P357" t="s">
        <v>1648</v>
      </c>
      <c r="AJ357" s="1332" t="s">
        <v>545</v>
      </c>
      <c r="AK357" s="1332"/>
    </row>
    <row r="358" spans="1:46" ht="13.15" customHeight="1">
      <c r="D358" s="3" t="s">
        <v>705</v>
      </c>
      <c r="M358" s="1332" t="s">
        <v>545</v>
      </c>
      <c r="N358" s="1332"/>
      <c r="Q358" s="4"/>
    </row>
    <row r="359" spans="1:46" ht="13.15" customHeight="1">
      <c r="Q359" s="4"/>
    </row>
    <row r="360" spans="1:46" ht="13.15" customHeight="1">
      <c r="Q360" s="4"/>
    </row>
    <row r="361" spans="1:46" ht="13.15" customHeight="1">
      <c r="A361" s="2" t="s">
        <v>576</v>
      </c>
      <c r="B361" s="2"/>
      <c r="C361" s="2" t="s">
        <v>552</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3.15" customHeight="1">
      <c r="E364" t="s">
        <v>370</v>
      </c>
      <c r="Y364" s="1332" t="s">
        <v>591</v>
      </c>
      <c r="Z364" s="1332"/>
    </row>
    <row r="365" spans="1:46" ht="13.15" customHeight="1">
      <c r="D365" s="4" t="s">
        <v>977</v>
      </c>
      <c r="Q365" s="1371" t="s">
        <v>2696</v>
      </c>
      <c r="R365" s="1371"/>
      <c r="S365" s="1371"/>
      <c r="T365" s="1371"/>
      <c r="U365" s="1371"/>
      <c r="V365" s="1371"/>
      <c r="W365" s="1371"/>
      <c r="X365" s="1371"/>
      <c r="Y365" s="1371"/>
      <c r="Z365" s="1371"/>
      <c r="AA365" s="1371"/>
      <c r="AB365" s="1371"/>
      <c r="AC365" s="1371"/>
      <c r="AD365" s="1371"/>
      <c r="AE365" s="1371"/>
      <c r="AF365" s="1371"/>
      <c r="AG365" s="1371"/>
    </row>
    <row r="366" spans="1:46" ht="13.1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188</v>
      </c>
      <c r="E367" s="40"/>
      <c r="F367" s="40"/>
      <c r="G367" s="40"/>
      <c r="H367" s="40"/>
      <c r="I367" s="40"/>
      <c r="J367" s="1332" t="s">
        <v>545</v>
      </c>
      <c r="K367" s="1332"/>
      <c r="L367" s="40"/>
      <c r="M367" s="40"/>
      <c r="N367" s="40"/>
      <c r="O367" s="40"/>
      <c r="P367" s="40"/>
      <c r="Q367" s="40"/>
      <c r="R367" s="40"/>
      <c r="S367" s="40"/>
      <c r="T367" s="40"/>
      <c r="U367" s="40"/>
      <c r="V367" s="40"/>
      <c r="W367" s="40"/>
      <c r="X367" s="40"/>
      <c r="Y367" s="40"/>
      <c r="Z367" s="40"/>
      <c r="AC367" s="40"/>
      <c r="AD367" s="40"/>
      <c r="AE367" s="40"/>
    </row>
    <row r="368" spans="1:46" ht="13.1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1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15" customHeight="1">
      <c r="E370" s="4" t="s">
        <v>448</v>
      </c>
      <c r="F370" s="4"/>
      <c r="G370" s="4"/>
      <c r="H370" s="4"/>
      <c r="I370" s="4"/>
      <c r="J370" s="4"/>
      <c r="K370" s="4"/>
      <c r="L370" s="4"/>
      <c r="N370" s="1662" t="s">
        <v>2697</v>
      </c>
      <c r="O370" s="1662"/>
      <c r="P370" s="1662"/>
      <c r="Q370" s="1662"/>
      <c r="R370" s="4"/>
      <c r="U370" s="4" t="s">
        <v>449</v>
      </c>
      <c r="V370" s="4"/>
      <c r="W370" s="4"/>
      <c r="X370" s="4"/>
      <c r="Y370" s="4"/>
      <c r="Z370" s="4"/>
      <c r="AA370" s="4"/>
      <c r="AB370" s="4"/>
      <c r="AC370" s="1662">
        <v>29</v>
      </c>
      <c r="AD370" s="1662"/>
      <c r="AE370" s="1662"/>
      <c r="AF370" s="1662"/>
    </row>
    <row r="371" spans="1:34" ht="13.15" customHeight="1">
      <c r="E371" s="4" t="s">
        <v>450</v>
      </c>
      <c r="F371" s="4"/>
      <c r="G371" s="4"/>
      <c r="H371" s="4"/>
      <c r="I371" s="4"/>
      <c r="J371" s="4"/>
      <c r="K371" s="4"/>
      <c r="L371" s="4"/>
      <c r="N371" s="1662">
        <v>29</v>
      </c>
      <c r="O371" s="1662"/>
      <c r="P371" s="1662"/>
      <c r="Q371" s="1662"/>
      <c r="R371" s="4"/>
      <c r="U371" s="4" t="s">
        <v>0</v>
      </c>
      <c r="V371" s="4"/>
      <c r="W371" s="4"/>
      <c r="X371" s="4"/>
      <c r="Y371" s="4"/>
      <c r="Z371" s="4"/>
      <c r="AA371" s="4"/>
      <c r="AB371" s="4"/>
      <c r="AC371" s="1662">
        <v>145</v>
      </c>
      <c r="AD371" s="1662"/>
      <c r="AE371" s="1662"/>
      <c r="AF371" s="1662"/>
    </row>
    <row r="372" spans="1:34" ht="13.15" customHeight="1">
      <c r="E372" s="4" t="s">
        <v>1</v>
      </c>
      <c r="F372" s="4"/>
      <c r="G372" s="4"/>
      <c r="H372" s="4"/>
      <c r="I372" s="4"/>
      <c r="J372" s="4"/>
      <c r="K372" s="4"/>
      <c r="L372" s="4"/>
      <c r="N372" s="1662" t="s">
        <v>2698</v>
      </c>
      <c r="O372" s="1662"/>
      <c r="P372" s="1662"/>
      <c r="Q372" s="1662"/>
      <c r="R372" s="4"/>
      <c r="V372" s="4"/>
      <c r="W372" s="4"/>
      <c r="X372" s="4"/>
      <c r="Y372" s="4"/>
      <c r="Z372" s="4"/>
      <c r="AA372" s="4"/>
      <c r="AB372" s="4"/>
    </row>
    <row r="373" spans="1:34" ht="13.15" customHeight="1">
      <c r="E373" s="4" t="s">
        <v>2</v>
      </c>
      <c r="F373" s="4"/>
      <c r="G373" s="4"/>
      <c r="H373" s="4"/>
      <c r="I373" s="4"/>
      <c r="J373" s="4"/>
      <c r="K373" s="4"/>
      <c r="L373" s="4"/>
      <c r="N373" s="1813" t="s">
        <v>2699</v>
      </c>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3.1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3.15" customHeight="1">
      <c r="C375" s="512"/>
      <c r="E375" s="4"/>
      <c r="F375" s="4"/>
      <c r="G375" s="4"/>
      <c r="H375" s="4"/>
      <c r="I375" s="4"/>
      <c r="J375" s="4"/>
      <c r="K375" s="4"/>
      <c r="L375" s="4"/>
    </row>
    <row r="376" spans="1:34" ht="13.15" customHeight="1">
      <c r="D376" s="2" t="s">
        <v>974</v>
      </c>
      <c r="E376" s="2"/>
      <c r="F376" s="4"/>
      <c r="G376" s="4"/>
      <c r="H376" s="4"/>
      <c r="I376" s="4"/>
      <c r="J376" s="4"/>
      <c r="K376" s="4"/>
      <c r="L376" s="4"/>
    </row>
    <row r="377" spans="1:34" ht="13.15" customHeight="1">
      <c r="E377" s="4" t="s">
        <v>2083</v>
      </c>
      <c r="F377" s="4"/>
      <c r="G377" s="4"/>
      <c r="H377" s="4"/>
      <c r="I377" s="4"/>
      <c r="J377" s="4"/>
      <c r="K377" s="4"/>
      <c r="L377" s="4"/>
      <c r="N377" t="s">
        <v>2078</v>
      </c>
      <c r="R377" s="27" t="s">
        <v>305</v>
      </c>
      <c r="S377" s="1815">
        <v>94</v>
      </c>
      <c r="T377" s="1815"/>
      <c r="U377" s="1" t="s">
        <v>306</v>
      </c>
      <c r="V377" s="1815">
        <v>73</v>
      </c>
      <c r="W377" s="1815"/>
      <c r="Y377" t="s">
        <v>2078</v>
      </c>
      <c r="AC377" s="27" t="s">
        <v>305</v>
      </c>
      <c r="AD377" s="1815"/>
      <c r="AE377" s="1815"/>
      <c r="AF377" s="1" t="s">
        <v>306</v>
      </c>
      <c r="AG377" s="1815"/>
      <c r="AH377" s="1815"/>
    </row>
    <row r="378" spans="1:34" ht="13.15" customHeight="1">
      <c r="E378" s="4" t="s">
        <v>986</v>
      </c>
      <c r="F378" s="4"/>
      <c r="G378" s="4"/>
      <c r="H378" s="4"/>
      <c r="I378" s="4"/>
      <c r="J378" s="4"/>
      <c r="K378" s="4"/>
      <c r="L378" s="4"/>
      <c r="N378" s="1815">
        <v>1996</v>
      </c>
      <c r="O378" s="1815"/>
      <c r="P378" s="1815"/>
    </row>
    <row r="379" spans="1:34" ht="13.15" customHeight="1">
      <c r="E379" s="204" t="s">
        <v>2084</v>
      </c>
      <c r="F379" s="4"/>
      <c r="G379" s="4"/>
      <c r="H379" s="4"/>
      <c r="I379" s="4"/>
      <c r="J379" s="4"/>
      <c r="K379" s="4"/>
      <c r="L379" s="4"/>
      <c r="AG379" s="1804" t="s">
        <v>591</v>
      </c>
      <c r="AH379" s="1804"/>
    </row>
    <row r="380" spans="1:34" ht="13.15" customHeight="1">
      <c r="E380" s="4"/>
      <c r="F380" s="4"/>
      <c r="G380" s="4" t="s">
        <v>2085</v>
      </c>
      <c r="H380" s="4"/>
      <c r="I380" s="4"/>
      <c r="J380" s="4"/>
      <c r="K380" s="4"/>
      <c r="L380" s="4"/>
      <c r="AG380" s="1804" t="s">
        <v>669</v>
      </c>
      <c r="AH380" s="1804"/>
    </row>
    <row r="381" spans="1:34" ht="13.15" customHeight="1">
      <c r="E381" s="4"/>
      <c r="F381" s="4"/>
      <c r="G381" s="320" t="s">
        <v>987</v>
      </c>
      <c r="H381" s="4"/>
      <c r="I381" s="4"/>
      <c r="J381" s="4"/>
      <c r="K381" s="4"/>
      <c r="L381" s="4"/>
      <c r="V381" s="1332" t="s">
        <v>591</v>
      </c>
      <c r="W381" s="1332"/>
      <c r="Y381" s="22" t="s">
        <v>979</v>
      </c>
    </row>
    <row r="382" spans="1:34" ht="13.15" customHeight="1">
      <c r="E382" s="4" t="s">
        <v>980</v>
      </c>
      <c r="F382" s="4"/>
      <c r="G382" s="4"/>
      <c r="H382" s="4"/>
      <c r="I382" s="4"/>
      <c r="J382" s="4"/>
      <c r="K382" s="4"/>
      <c r="L382" s="4"/>
      <c r="V382" s="1332" t="s">
        <v>591</v>
      </c>
      <c r="W382" s="1332"/>
      <c r="Y382" s="4" t="s">
        <v>981</v>
      </c>
    </row>
    <row r="383" spans="1:34" ht="13.15" customHeight="1"/>
    <row r="384" spans="1:34" ht="13.15" customHeight="1">
      <c r="A384" s="2" t="s">
        <v>78</v>
      </c>
      <c r="B384" s="2"/>
    </row>
    <row r="385" spans="4:36" ht="13.15" customHeight="1">
      <c r="D385" t="s">
        <v>428</v>
      </c>
      <c r="J385" s="1371" t="s">
        <v>2700</v>
      </c>
      <c r="K385" s="1371"/>
      <c r="L385" s="1371"/>
      <c r="M385" s="1371"/>
      <c r="N385" s="1371"/>
      <c r="O385" s="1371"/>
      <c r="P385" s="1371"/>
      <c r="Q385" s="1371"/>
      <c r="R385" s="1371"/>
      <c r="S385" s="1371"/>
      <c r="T385" s="1371"/>
      <c r="U385" s="1371"/>
      <c r="V385" s="8" t="s">
        <v>83</v>
      </c>
      <c r="W385" s="8"/>
      <c r="X385" s="8"/>
      <c r="Y385" s="8"/>
      <c r="Z385" s="8"/>
      <c r="AA385" s="8"/>
      <c r="AB385" s="8"/>
      <c r="AC385" s="1371" t="s">
        <v>2626</v>
      </c>
      <c r="AD385" s="1371"/>
      <c r="AE385" s="1371"/>
      <c r="AF385" s="1371"/>
      <c r="AG385" s="1371"/>
      <c r="AH385" s="1371"/>
      <c r="AI385" s="1371"/>
      <c r="AJ385" s="1371"/>
    </row>
    <row r="386" spans="4:36" ht="13.15" customHeight="1">
      <c r="D386" s="3" t="s">
        <v>1181</v>
      </c>
      <c r="J386" s="1348" t="s">
        <v>2626</v>
      </c>
      <c r="K386" s="1348"/>
      <c r="L386" s="1348"/>
      <c r="M386" s="1348"/>
      <c r="N386" s="1348"/>
      <c r="O386" s="1348"/>
      <c r="P386" s="1348"/>
      <c r="Q386" s="1348"/>
      <c r="R386" s="1348"/>
      <c r="S386" s="1348"/>
      <c r="T386" s="1348"/>
      <c r="U386" s="1348"/>
      <c r="V386" s="3" t="s">
        <v>1181</v>
      </c>
      <c r="W386" s="8"/>
      <c r="X386" s="8"/>
      <c r="Y386" s="8"/>
      <c r="Z386" s="8"/>
      <c r="AA386" s="8"/>
      <c r="AB386" s="8"/>
      <c r="AC386" s="1371"/>
      <c r="AD386" s="1371"/>
      <c r="AE386" s="1371"/>
      <c r="AF386" s="1371"/>
      <c r="AG386" s="1371"/>
      <c r="AH386" s="1371"/>
      <c r="AI386" s="1371"/>
      <c r="AJ386" s="1371"/>
    </row>
    <row r="387" spans="4:36" ht="13.15" customHeight="1">
      <c r="D387" s="3" t="s">
        <v>441</v>
      </c>
      <c r="J387" s="1348" t="s">
        <v>2701</v>
      </c>
      <c r="K387" s="1348"/>
      <c r="L387" s="1348"/>
      <c r="M387" s="1348"/>
      <c r="N387" s="1348"/>
      <c r="O387" s="1348"/>
      <c r="P387" s="1348"/>
      <c r="Q387" s="1348"/>
      <c r="R387" s="1348"/>
      <c r="S387" s="1348"/>
      <c r="T387" s="1348"/>
      <c r="U387" s="1348"/>
      <c r="V387" s="3" t="s">
        <v>441</v>
      </c>
      <c r="W387" s="8"/>
      <c r="X387" s="8"/>
      <c r="Y387" s="8"/>
      <c r="Z387" s="8"/>
      <c r="AA387" s="8"/>
      <c r="AB387" s="8"/>
      <c r="AC387" s="1371"/>
      <c r="AD387" s="1371"/>
      <c r="AE387" s="1371"/>
      <c r="AF387" s="1371"/>
      <c r="AG387" s="1371"/>
      <c r="AH387" s="1371"/>
      <c r="AI387" s="1371"/>
      <c r="AJ387" s="1371"/>
    </row>
    <row r="388" spans="4:36" ht="13.15" customHeight="1">
      <c r="D388" t="s">
        <v>1177</v>
      </c>
      <c r="J388" s="1402" t="s">
        <v>2702</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3.15" customHeight="1">
      <c r="D389" t="s">
        <v>4</v>
      </c>
      <c r="Q389" s="1750">
        <v>45903</v>
      </c>
      <c r="R389" s="1750"/>
      <c r="S389" s="1750"/>
      <c r="T389" s="1750"/>
      <c r="U389" s="1750"/>
      <c r="V389" t="s">
        <v>309</v>
      </c>
      <c r="AI389" s="1332" t="s">
        <v>545</v>
      </c>
      <c r="AJ389" s="1332"/>
    </row>
    <row r="390" spans="4:36" ht="13.15" customHeight="1">
      <c r="D390" t="s">
        <v>5</v>
      </c>
      <c r="Q390" s="1533"/>
      <c r="R390" s="1819"/>
      <c r="S390" s="1819"/>
      <c r="T390" s="1819"/>
      <c r="U390" s="1819"/>
      <c r="W390" s="21" t="s">
        <v>74</v>
      </c>
      <c r="AG390" s="1817">
        <v>0</v>
      </c>
      <c r="AH390" s="1817"/>
      <c r="AI390" s="1817"/>
      <c r="AJ390" s="1817"/>
    </row>
    <row r="391" spans="4:36" ht="13.15" customHeight="1">
      <c r="D391" t="s">
        <v>427</v>
      </c>
      <c r="Q391" s="1828">
        <v>41000000</v>
      </c>
      <c r="R391" s="1828"/>
      <c r="S391" s="1828"/>
      <c r="T391" s="1828"/>
      <c r="U391" s="1828"/>
      <c r="V391" s="3" t="s">
        <v>1180</v>
      </c>
      <c r="AG391" s="1818">
        <v>46143</v>
      </c>
      <c r="AH391" s="1818"/>
      <c r="AI391" s="1818"/>
      <c r="AJ391" s="1818"/>
    </row>
    <row r="392" spans="4:36" ht="13.15" customHeight="1">
      <c r="D392" t="s">
        <v>88</v>
      </c>
      <c r="I392" s="1423" t="s">
        <v>2627</v>
      </c>
      <c r="J392" s="1423"/>
      <c r="K392" s="1423"/>
      <c r="L392" s="1423"/>
      <c r="M392" s="1423"/>
      <c r="N392" s="1423"/>
      <c r="Q392" s="4" t="s">
        <v>206</v>
      </c>
      <c r="S392" s="1827"/>
      <c r="T392" s="1827"/>
      <c r="U392" s="1827"/>
      <c r="V392" t="s">
        <v>73</v>
      </c>
      <c r="AI392" s="1332" t="s">
        <v>669</v>
      </c>
      <c r="AJ392" s="1332"/>
    </row>
    <row r="393" spans="4:36" ht="13.15" customHeight="1">
      <c r="D393" t="s">
        <v>310</v>
      </c>
      <c r="Q393" s="1408"/>
      <c r="R393" s="1408"/>
      <c r="S393" s="1408"/>
      <c r="T393" s="1408"/>
      <c r="U393" s="1408"/>
      <c r="V393" t="s">
        <v>311</v>
      </c>
      <c r="AG393" s="1817"/>
      <c r="AH393" s="1817"/>
      <c r="AI393" s="1817"/>
      <c r="AJ393" s="1817"/>
    </row>
    <row r="394" spans="4:36" ht="13.15" customHeight="1">
      <c r="D394" t="s">
        <v>312</v>
      </c>
      <c r="Q394" s="1754"/>
      <c r="R394" s="1754"/>
      <c r="S394" s="1754"/>
      <c r="T394" s="1754"/>
      <c r="U394" s="1754"/>
      <c r="V394" t="s">
        <v>1162</v>
      </c>
      <c r="AG394" s="1817"/>
      <c r="AH394" s="1817"/>
      <c r="AI394" s="1817"/>
      <c r="AJ394" s="1817"/>
    </row>
    <row r="395" spans="4:36" ht="13.15" customHeight="1">
      <c r="D395" t="s">
        <v>1161</v>
      </c>
      <c r="AG395" s="1817"/>
      <c r="AH395" s="1817"/>
      <c r="AI395" s="1817"/>
      <c r="AJ395" s="1817"/>
    </row>
    <row r="396" spans="4:36" ht="13.15" customHeight="1">
      <c r="AG396" s="456"/>
      <c r="AH396" s="456"/>
      <c r="AI396" s="456"/>
      <c r="AJ396" s="456"/>
    </row>
    <row r="397" spans="4:36" ht="13.15" customHeight="1">
      <c r="D397" s="3" t="s">
        <v>2141</v>
      </c>
      <c r="AG397" s="456"/>
      <c r="AH397" s="456"/>
      <c r="AI397" s="1332" t="s">
        <v>669</v>
      </c>
      <c r="AJ397" s="1332"/>
    </row>
    <row r="398" spans="4:36" ht="13.15" customHeight="1">
      <c r="D398" s="3" t="s">
        <v>1666</v>
      </c>
      <c r="T398" s="1749"/>
      <c r="U398" s="1749"/>
      <c r="V398" s="1749"/>
      <c r="W398" s="1749"/>
      <c r="X398" s="1749"/>
      <c r="Y398" s="1749"/>
      <c r="Z398" s="1749"/>
      <c r="AA398" s="1749"/>
      <c r="AB398" s="1749"/>
      <c r="AC398" s="1749"/>
      <c r="AD398" s="1749"/>
      <c r="AE398" s="1749"/>
      <c r="AF398" s="1749"/>
      <c r="AG398" s="1749"/>
      <c r="AH398" s="1749"/>
      <c r="AI398" s="1749"/>
      <c r="AJ398" s="1749"/>
    </row>
    <row r="399" spans="4:36" ht="13.15" customHeight="1">
      <c r="D399" s="3" t="s">
        <v>1665</v>
      </c>
      <c r="T399" s="1749"/>
      <c r="U399" s="1749"/>
      <c r="V399" s="1749"/>
      <c r="W399" s="1749"/>
      <c r="X399" s="1749"/>
      <c r="Y399" s="1749"/>
      <c r="Z399" s="1749"/>
      <c r="AA399" s="1749"/>
      <c r="AB399" s="1749"/>
      <c r="AC399" s="1749"/>
      <c r="AD399" s="1749"/>
      <c r="AE399" s="1749"/>
      <c r="AF399" s="1749"/>
      <c r="AG399" s="1749"/>
      <c r="AH399" s="1749"/>
      <c r="AI399" s="1749"/>
      <c r="AJ399" s="1749"/>
    </row>
    <row r="400" spans="4:36" ht="13.15" customHeight="1">
      <c r="AG400" s="456"/>
      <c r="AH400" s="456"/>
      <c r="AI400" s="456"/>
      <c r="AJ400" s="456"/>
    </row>
    <row r="401" spans="1:36" ht="13.15" customHeight="1">
      <c r="D401" s="3" t="s">
        <v>1659</v>
      </c>
      <c r="S401" s="1749" t="s">
        <v>669</v>
      </c>
      <c r="T401" s="1749"/>
      <c r="U401" s="1749"/>
      <c r="V401" t="s">
        <v>1660</v>
      </c>
      <c r="AG401" s="1821"/>
      <c r="AH401" s="1821"/>
      <c r="AI401" s="1821"/>
      <c r="AJ401" s="1821"/>
    </row>
    <row r="402" spans="1:36" ht="13.15" customHeight="1">
      <c r="D402" s="3" t="s">
        <v>1657</v>
      </c>
      <c r="S402" s="1749" t="s">
        <v>591</v>
      </c>
      <c r="T402" s="1749"/>
      <c r="U402" s="1749"/>
      <c r="V402" t="s">
        <v>1662</v>
      </c>
      <c r="AE402" s="1816"/>
      <c r="AF402" s="1816"/>
      <c r="AG402" s="1816"/>
      <c r="AH402" s="1816"/>
      <c r="AI402" s="1816"/>
      <c r="AJ402" s="1816"/>
    </row>
    <row r="403" spans="1:36" ht="13.15" customHeight="1">
      <c r="D403" s="3" t="s">
        <v>1658</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15" customHeight="1">
      <c r="D404" s="3" t="s">
        <v>1661</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15" customHeight="1">
      <c r="D405" s="3" t="s">
        <v>1664</v>
      </c>
      <c r="E405" s="477"/>
      <c r="F405" s="477"/>
      <c r="G405" s="477"/>
      <c r="H405" s="477"/>
      <c r="I405" s="477"/>
      <c r="J405" s="477"/>
      <c r="K405" s="477"/>
      <c r="L405" s="477"/>
      <c r="M405" s="477"/>
      <c r="N405" s="477"/>
      <c r="O405" s="477"/>
      <c r="P405" s="477"/>
      <c r="Q405" s="477"/>
      <c r="R405" s="477"/>
      <c r="S405" s="1826" t="s">
        <v>2703</v>
      </c>
      <c r="T405" s="1826"/>
      <c r="U405" s="1826"/>
      <c r="V405" s="1826"/>
      <c r="W405" s="1826"/>
      <c r="X405" s="1826"/>
      <c r="Y405" s="1826"/>
      <c r="Z405" s="1826"/>
      <c r="AA405" s="1826"/>
      <c r="AB405" s="1826"/>
      <c r="AC405" s="1826"/>
      <c r="AD405" s="1826"/>
      <c r="AE405" s="1826"/>
      <c r="AF405" s="1826"/>
      <c r="AG405" s="1826"/>
      <c r="AH405" s="1826"/>
      <c r="AI405" s="1826"/>
      <c r="AJ405" s="1826"/>
    </row>
    <row r="406" spans="1:36" ht="13.1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1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15" customHeight="1">
      <c r="AG408" s="456"/>
      <c r="AH408" s="456"/>
      <c r="AI408" s="456"/>
      <c r="AJ408" s="456"/>
    </row>
    <row r="409" spans="1:36" ht="13.15" customHeight="1">
      <c r="A409" s="2" t="s">
        <v>589</v>
      </c>
      <c r="B409" s="2"/>
      <c r="C409" s="2" t="s">
        <v>111</v>
      </c>
    </row>
    <row r="410" spans="1:36" ht="13.15" customHeight="1">
      <c r="B410" s="2"/>
      <c r="C410" s="2"/>
      <c r="D410" s="2" t="s">
        <v>1203</v>
      </c>
      <c r="I410" s="1416" t="s">
        <v>2704</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15" customHeight="1">
      <c r="E411" t="s">
        <v>106</v>
      </c>
      <c r="R411" s="1332" t="s">
        <v>591</v>
      </c>
      <c r="S411" s="1332"/>
      <c r="AC411" s="27" t="s">
        <v>570</v>
      </c>
      <c r="AD411" s="1662"/>
      <c r="AE411" s="1662"/>
    </row>
    <row r="412" spans="1:36" ht="13.15" customHeight="1">
      <c r="E412" t="s">
        <v>107</v>
      </c>
      <c r="R412" s="1332" t="s">
        <v>545</v>
      </c>
      <c r="S412" s="1332"/>
      <c r="AC412" s="27" t="s">
        <v>570</v>
      </c>
      <c r="AD412" s="1662">
        <v>2</v>
      </c>
      <c r="AE412" s="1662"/>
    </row>
    <row r="413" spans="1:36" ht="13.15" customHeight="1">
      <c r="E413" t="s">
        <v>108</v>
      </c>
      <c r="S413" s="1332" t="s">
        <v>591</v>
      </c>
      <c r="T413" s="1332"/>
    </row>
    <row r="414" spans="1:36" ht="13.15" customHeight="1">
      <c r="E414" t="s">
        <v>170</v>
      </c>
      <c r="H414" s="1755" t="s">
        <v>334</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15" customHeight="1">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15" customHeight="1"/>
    <row r="417" spans="1:39" ht="13.15" customHeight="1">
      <c r="A417" s="2" t="s">
        <v>590</v>
      </c>
      <c r="B417" s="2"/>
      <c r="C417" s="2"/>
      <c r="D417" s="2" t="s">
        <v>114</v>
      </c>
      <c r="AF417" s="2" t="s">
        <v>957</v>
      </c>
    </row>
    <row r="418" spans="1:39" ht="13.15" customHeight="1">
      <c r="E418" s="1815"/>
      <c r="F418" s="1815"/>
      <c r="G418" s="1815"/>
      <c r="H418" s="13" t="s">
        <v>115</v>
      </c>
      <c r="I418" s="1815"/>
      <c r="J418" s="1815"/>
      <c r="K418" s="1815"/>
      <c r="L418" t="s">
        <v>116</v>
      </c>
      <c r="N418" s="27" t="s">
        <v>575</v>
      </c>
      <c r="P418" s="1758">
        <v>10.130000000000001</v>
      </c>
      <c r="Q418" s="1758"/>
      <c r="R418" s="1758"/>
      <c r="S418" t="s">
        <v>117</v>
      </c>
      <c r="W418" s="1825">
        <f>IF(E418&gt;0,(E418*I418),(P418*43560))</f>
        <v>441262.80000000005</v>
      </c>
      <c r="X418" s="1825"/>
      <c r="Y418" s="1825"/>
      <c r="Z418" t="s">
        <v>118</v>
      </c>
      <c r="AF418" s="1759">
        <f>IFERROR(IF(P418&gt;0,(AG437/P418),(AG437/(W418/43560))),0)</f>
        <v>14.313919052319841</v>
      </c>
      <c r="AG418" s="1759"/>
      <c r="AH418" s="1759"/>
      <c r="AM418" s="3"/>
    </row>
    <row r="419" spans="1:39" ht="13.15" customHeight="1">
      <c r="E419" t="s">
        <v>51</v>
      </c>
    </row>
    <row r="420" spans="1:39" ht="13.1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15" customHeight="1">
      <c r="E421" s="118" t="s">
        <v>1735</v>
      </c>
      <c r="F421" s="1013"/>
      <c r="G421" s="1013"/>
      <c r="H421" s="1013"/>
      <c r="I421" s="1757">
        <v>10.130000000000001</v>
      </c>
      <c r="J421" s="1757"/>
      <c r="K421" s="1757"/>
      <c r="L421" s="1013"/>
      <c r="M421" s="118"/>
      <c r="N421" s="1013"/>
      <c r="O421" s="1013"/>
      <c r="P421" s="1440">
        <f>(DU755+DU778+DU800)/I421</f>
        <v>42.744323790720628</v>
      </c>
      <c r="Q421" s="1440"/>
      <c r="R421" s="1440"/>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592</v>
      </c>
      <c r="B423" s="2"/>
      <c r="C423" s="2"/>
      <c r="D423" s="2" t="s">
        <v>120</v>
      </c>
    </row>
    <row r="424" spans="1:39" ht="13.15" customHeight="1">
      <c r="E424" t="s">
        <v>121</v>
      </c>
      <c r="P424" s="1332">
        <v>29</v>
      </c>
      <c r="Q424" s="1332"/>
      <c r="S424" t="s">
        <v>189</v>
      </c>
      <c r="AE424" s="1332">
        <v>28</v>
      </c>
      <c r="AF424" s="1332"/>
    </row>
    <row r="425" spans="1:39" ht="13.15" customHeight="1">
      <c r="E425" t="s">
        <v>190</v>
      </c>
      <c r="P425" s="1332">
        <v>1</v>
      </c>
      <c r="Q425" s="1332"/>
      <c r="S425" t="s">
        <v>131</v>
      </c>
      <c r="AE425" s="1332" t="s">
        <v>545</v>
      </c>
      <c r="AF425" s="1332"/>
    </row>
    <row r="426" spans="1:39" ht="13.15" customHeight="1">
      <c r="F426" s="28" t="s">
        <v>132</v>
      </c>
    </row>
    <row r="427" spans="1:39" ht="13.15" customHeight="1">
      <c r="F427" s="1803" t="s">
        <v>2705</v>
      </c>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3.15" customHeight="1">
      <c r="F428" s="1772"/>
      <c r="G428" s="1772"/>
      <c r="H428" s="1772"/>
      <c r="I428" s="1772"/>
      <c r="J428" s="1772"/>
      <c r="K428" s="1772"/>
      <c r="L428" s="1772"/>
      <c r="M428" s="1772"/>
      <c r="N428" s="1772"/>
      <c r="O428" s="1772"/>
      <c r="P428" s="1772"/>
      <c r="Q428" s="1772"/>
      <c r="R428" s="1772"/>
      <c r="S428" s="1772"/>
      <c r="T428" s="1772"/>
      <c r="U428" s="1772"/>
      <c r="V428" s="1772"/>
      <c r="W428" s="1772"/>
      <c r="X428" s="1772"/>
      <c r="Y428" s="1772"/>
      <c r="Z428" s="1772"/>
      <c r="AA428" s="1772"/>
      <c r="AB428" s="1772"/>
      <c r="AC428" s="1772"/>
      <c r="AD428" s="1772"/>
      <c r="AE428" s="1772"/>
      <c r="AF428" s="1772"/>
      <c r="AG428" s="1772"/>
      <c r="AH428" s="1772"/>
    </row>
    <row r="429" spans="1:39" ht="13.15" customHeight="1">
      <c r="E429" t="s">
        <v>608</v>
      </c>
      <c r="P429" s="1"/>
      <c r="Q429" s="1332" t="s">
        <v>545</v>
      </c>
      <c r="R429" s="1332"/>
    </row>
    <row r="430" spans="1:39" ht="13.15" customHeight="1">
      <c r="F430" t="s">
        <v>609</v>
      </c>
      <c r="P430" s="1"/>
      <c r="Q430" s="1"/>
      <c r="AF430" s="1332" t="s">
        <v>591</v>
      </c>
      <c r="AG430" s="1823"/>
    </row>
    <row r="431" spans="1:39" ht="13.15" customHeight="1"/>
    <row r="432" spans="1:39" ht="13.15" customHeight="1">
      <c r="A432" s="2"/>
      <c r="B432" s="2"/>
      <c r="C432" s="2"/>
      <c r="E432" s="4" t="s">
        <v>308</v>
      </c>
      <c r="Z432" s="1332" t="s">
        <v>669</v>
      </c>
      <c r="AA432" s="1332"/>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3.15" customHeight="1"/>
    <row r="436" spans="1:55" ht="13.15" customHeight="1">
      <c r="A436" s="2" t="s">
        <v>467</v>
      </c>
      <c r="B436" s="2"/>
      <c r="C436" s="2"/>
      <c r="D436" s="2" t="s">
        <v>764</v>
      </c>
      <c r="AF436" s="48"/>
    </row>
    <row r="437" spans="1:55" ht="13.1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0"/>
      <c r="AG437" s="1820">
        <v>145</v>
      </c>
      <c r="AH437" s="1820"/>
      <c r="AI437" s="1820"/>
      <c r="AJ437" s="1820"/>
    </row>
    <row r="438" spans="1:55" ht="13.15" customHeight="1">
      <c r="D438" s="1741" t="s">
        <v>1221</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4">
        <v>0</v>
      </c>
      <c r="AH438" s="1612"/>
      <c r="AI438" s="1612"/>
      <c r="AJ438" s="1612"/>
    </row>
    <row r="439" spans="1:55" ht="13.15" customHeight="1">
      <c r="D439" s="1741" t="s">
        <v>1030</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20">
        <v>143</v>
      </c>
      <c r="AH439" s="1820"/>
      <c r="AI439" s="1820"/>
      <c r="AJ439" s="1820"/>
    </row>
    <row r="440" spans="1:55" ht="13.15" customHeight="1">
      <c r="D440" s="1741" t="s">
        <v>1031</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20">
        <v>143</v>
      </c>
      <c r="AH440" s="1820"/>
      <c r="AI440" s="1820"/>
      <c r="AJ440" s="1820"/>
    </row>
    <row r="441" spans="1:55" ht="13.15" customHeight="1">
      <c r="D441" s="1741" t="s">
        <v>1033</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6">
        <f>IF(ISERROR(AG440/AG439),0,AG440/AG439)</f>
        <v>1</v>
      </c>
      <c r="AH441" s="1806"/>
      <c r="AI441" s="1806"/>
      <c r="AJ441" s="1806"/>
    </row>
    <row r="442" spans="1:55" ht="13.15" customHeight="1">
      <c r="D442" s="1741" t="s">
        <v>1032</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f>186151-1048-1245</f>
        <v>183858</v>
      </c>
      <c r="AH442" s="1694"/>
      <c r="AI442" s="1694"/>
      <c r="AJ442" s="1694"/>
    </row>
    <row r="443" spans="1:55" ht="13.15" customHeight="1">
      <c r="D443" s="1741" t="s">
        <v>1034</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183858</v>
      </c>
      <c r="AH443" s="1694"/>
      <c r="AI443" s="1694"/>
      <c r="AJ443" s="1694"/>
    </row>
    <row r="444" spans="1:55" ht="13.15" customHeight="1">
      <c r="D444" s="1741" t="s">
        <v>1035</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6">
        <f>IF(ISERROR(AG443/AG442),0,AG443/AG442)</f>
        <v>1</v>
      </c>
      <c r="AH444" s="1806"/>
      <c r="AI444" s="1806"/>
      <c r="AJ444" s="1806"/>
    </row>
    <row r="445" spans="1:55" ht="13.15" customHeight="1">
      <c r="D445" s="1741" t="s">
        <v>1036</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6">
        <f>MIN(IF(AG441&gt;AG444,AG444,AG441),1)</f>
        <v>1</v>
      </c>
      <c r="AH445" s="1806"/>
      <c r="AI445" s="1806"/>
      <c r="AJ445" s="1806"/>
    </row>
    <row r="446" spans="1:55" ht="13.15" customHeight="1">
      <c r="D446" s="1741" t="s">
        <v>2086</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0"/>
      <c r="AG446" s="1694">
        <f>1984+163+48+102</f>
        <v>2297</v>
      </c>
      <c r="AH446" s="1694"/>
      <c r="AI446" s="1694"/>
      <c r="AJ446" s="1694"/>
      <c r="AZ446" s="34"/>
      <c r="BA446" s="34"/>
      <c r="BB446" s="34"/>
      <c r="BC446" s="34"/>
    </row>
    <row r="447" spans="1:55" ht="13.1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0"/>
      <c r="AG447" s="1694">
        <v>0</v>
      </c>
      <c r="AH447" s="1694"/>
      <c r="AI447" s="1694"/>
      <c r="AJ447" s="1694"/>
      <c r="AZ447" s="3"/>
      <c r="BA447" s="3"/>
      <c r="BB447" s="3"/>
      <c r="BC447" s="3"/>
    </row>
    <row r="448" spans="1:55" ht="13.15" customHeight="1">
      <c r="D448" s="1741" t="s">
        <v>1204</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0"/>
      <c r="AG448" s="1694">
        <f>392+269+109+659+114+133+296+12+1048+1245+1984</f>
        <v>6261</v>
      </c>
      <c r="AH448" s="1694"/>
      <c r="AI448" s="1694"/>
      <c r="AJ448" s="1694"/>
      <c r="AZ448" s="3"/>
      <c r="BA448" s="3"/>
      <c r="BB448" s="3"/>
      <c r="BC448" s="3"/>
    </row>
    <row r="449" spans="1:55" ht="13.15" customHeight="1">
      <c r="D449" s="1741" t="s">
        <v>1037</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0"/>
      <c r="AG449" s="1694">
        <v>0</v>
      </c>
      <c r="AH449" s="1694"/>
      <c r="AI449" s="1694"/>
      <c r="AJ449" s="1694"/>
      <c r="BB449" s="3"/>
      <c r="BC449" s="3"/>
    </row>
    <row r="450" spans="1:55" ht="13.15" customHeight="1">
      <c r="D450" s="1765" t="s">
        <v>1038</v>
      </c>
      <c r="E450" s="1766"/>
      <c r="F450" s="1766"/>
      <c r="G450" s="1766"/>
      <c r="H450" s="1766"/>
      <c r="I450" s="1766"/>
      <c r="J450" s="1766"/>
      <c r="K450" s="1766"/>
      <c r="L450" s="1766"/>
      <c r="M450" s="1766"/>
      <c r="N450" s="1766"/>
      <c r="O450" s="1766"/>
      <c r="P450" s="1766"/>
      <c r="Q450" s="1766"/>
      <c r="R450" s="1766"/>
      <c r="S450" s="1766"/>
      <c r="T450" s="1766"/>
      <c r="U450" s="1766"/>
      <c r="V450" s="1766"/>
      <c r="W450" s="1766"/>
      <c r="X450" s="1766"/>
      <c r="Y450" s="1766"/>
      <c r="Z450" s="1766"/>
      <c r="AA450" s="1766"/>
      <c r="AB450" s="1766"/>
      <c r="AC450" s="1766"/>
      <c r="AD450" s="1766"/>
      <c r="AE450" s="1766"/>
      <c r="AF450" s="1767"/>
      <c r="AG450" s="1844">
        <f>AG442+AG446+AG448+AG449</f>
        <v>192416</v>
      </c>
      <c r="AH450" s="1844"/>
      <c r="AI450" s="1844"/>
      <c r="AJ450" s="1844"/>
      <c r="AZ450" s="3"/>
      <c r="BA450" s="3"/>
      <c r="BB450" s="3"/>
      <c r="BC450" s="3"/>
    </row>
    <row r="451" spans="1:55" ht="13.15" customHeight="1">
      <c r="D451" s="1744" t="s">
        <v>1205</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15" customHeight="1">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527167.40689655172</v>
      </c>
      <c r="AD454" s="1812"/>
      <c r="AE454" s="1812"/>
      <c r="AF454" s="1812"/>
      <c r="AG454" s="177"/>
      <c r="AH454" s="177"/>
      <c r="AI454" s="177"/>
      <c r="AJ454" s="183"/>
      <c r="AZ454" s="3"/>
      <c r="BA454" s="3" t="str">
        <f>AG575</f>
        <v>Yes</v>
      </c>
      <c r="BB454" s="3"/>
      <c r="BC454" s="3"/>
    </row>
    <row r="455" spans="1:55" ht="13.1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527167.40689655172</v>
      </c>
      <c r="AD455" s="1812"/>
      <c r="AE455" s="1812"/>
      <c r="AF455" s="1812"/>
      <c r="AG455" s="177"/>
      <c r="AH455" s="177"/>
      <c r="AI455" s="177"/>
      <c r="AJ455" s="183"/>
      <c r="AZ455" s="3"/>
      <c r="BA455" s="3"/>
      <c r="BB455" s="3"/>
      <c r="BC455" s="3"/>
    </row>
    <row r="456" spans="1:55" ht="13.1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445815.77241379308</v>
      </c>
      <c r="AD456" s="1812"/>
      <c r="AE456" s="1812"/>
      <c r="AF456" s="1812"/>
      <c r="AG456" s="177"/>
      <c r="AH456" s="177"/>
      <c r="AI456" s="177"/>
      <c r="AJ456" s="183"/>
      <c r="AZ456" s="3"/>
      <c r="BA456" s="3"/>
      <c r="BB456" s="3"/>
      <c r="BC456" s="3"/>
    </row>
    <row r="457" spans="1:55" ht="13.15" customHeight="1">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5"/>
      <c r="AD457" s="177"/>
      <c r="AE457" s="177"/>
      <c r="AF457" s="177"/>
      <c r="AG457" s="177"/>
      <c r="AH457" s="177"/>
      <c r="AI457" s="177"/>
      <c r="AJ457" s="183"/>
      <c r="AZ457" s="3"/>
      <c r="BA457" s="3"/>
      <c r="BB457" s="3"/>
      <c r="BC457" s="3"/>
    </row>
    <row r="458" spans="1:55" ht="13.15" customHeight="1">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3.1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761" t="s">
        <v>2098</v>
      </c>
      <c r="E465" s="1752"/>
      <c r="F465" s="1752"/>
      <c r="G465" s="1752"/>
      <c r="H465" s="1752"/>
      <c r="I465" s="1752"/>
      <c r="J465" s="1752"/>
      <c r="K465" s="1752"/>
      <c r="L465" s="1752"/>
      <c r="M465" s="1752"/>
      <c r="N465" s="1752"/>
      <c r="O465" s="1752"/>
      <c r="P465" s="1752"/>
      <c r="Q465" s="1752"/>
      <c r="R465" s="1752"/>
      <c r="S465" s="1752"/>
      <c r="T465" s="1752"/>
      <c r="U465" s="1752"/>
      <c r="V465" s="1753"/>
      <c r="W465" s="1664">
        <v>0</v>
      </c>
      <c r="X465" s="1665"/>
      <c r="Y465" s="1666"/>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751" t="s">
        <v>693</v>
      </c>
      <c r="E466" s="1752"/>
      <c r="F466" s="1752"/>
      <c r="G466" s="1752"/>
      <c r="H466" s="1752"/>
      <c r="I466" s="1752"/>
      <c r="J466" s="1752"/>
      <c r="K466" s="1752"/>
      <c r="L466" s="1752"/>
      <c r="M466" s="1752"/>
      <c r="N466" s="1752"/>
      <c r="O466" s="1752"/>
      <c r="P466" s="1752"/>
      <c r="Q466" s="1752"/>
      <c r="R466" s="1752"/>
      <c r="S466" s="1752"/>
      <c r="T466" s="1752"/>
      <c r="U466" s="1752"/>
      <c r="V466" s="1753"/>
      <c r="W466" s="1664">
        <v>0</v>
      </c>
      <c r="X466" s="1665"/>
      <c r="Y466" s="1666"/>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751" t="s">
        <v>694</v>
      </c>
      <c r="E467" s="1752"/>
      <c r="F467" s="1752"/>
      <c r="G467" s="1752"/>
      <c r="H467" s="1752"/>
      <c r="I467" s="1752"/>
      <c r="J467" s="1752"/>
      <c r="K467" s="1752"/>
      <c r="L467" s="1752"/>
      <c r="M467" s="1752"/>
      <c r="N467" s="1752"/>
      <c r="O467" s="1752"/>
      <c r="P467" s="1752"/>
      <c r="Q467" s="1752"/>
      <c r="R467" s="1752"/>
      <c r="S467" s="1752"/>
      <c r="T467" s="1752"/>
      <c r="U467" s="1752"/>
      <c r="V467" s="1753"/>
      <c r="W467" s="1664">
        <v>0</v>
      </c>
      <c r="X467" s="1665"/>
      <c r="Y467" s="1666"/>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751" t="s">
        <v>695</v>
      </c>
      <c r="E468" s="1752"/>
      <c r="F468" s="1752"/>
      <c r="G468" s="1752"/>
      <c r="H468" s="1752"/>
      <c r="I468" s="1752"/>
      <c r="J468" s="1752"/>
      <c r="K468" s="1752"/>
      <c r="L468" s="1752"/>
      <c r="M468" s="1752"/>
      <c r="N468" s="1752"/>
      <c r="O468" s="1752"/>
      <c r="P468" s="1752"/>
      <c r="Q468" s="1752"/>
      <c r="R468" s="1752"/>
      <c r="S468" s="1752"/>
      <c r="T468" s="1752"/>
      <c r="U468" s="1752"/>
      <c r="V468" s="1753"/>
      <c r="W468" s="1664">
        <v>0</v>
      </c>
      <c r="X468" s="1665"/>
      <c r="Y468" s="1666"/>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751" t="s">
        <v>881</v>
      </c>
      <c r="E469" s="1752"/>
      <c r="F469" s="1752"/>
      <c r="G469" s="1752"/>
      <c r="H469" s="1752"/>
      <c r="I469" s="1752"/>
      <c r="J469" s="1752"/>
      <c r="K469" s="1752"/>
      <c r="L469" s="1752"/>
      <c r="M469" s="1752"/>
      <c r="N469" s="1752"/>
      <c r="O469" s="1752"/>
      <c r="P469" s="1752"/>
      <c r="Q469" s="1752"/>
      <c r="R469" s="1752"/>
      <c r="S469" s="1752"/>
      <c r="T469" s="1752"/>
      <c r="U469" s="1752"/>
      <c r="V469" s="1753"/>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3.15" customHeight="1">
      <c r="A470" s="3"/>
      <c r="B470" s="3"/>
      <c r="C470" s="3"/>
      <c r="D470" s="1751" t="s">
        <v>696</v>
      </c>
      <c r="E470" s="1752"/>
      <c r="F470" s="1752"/>
      <c r="G470" s="1752"/>
      <c r="H470" s="1752"/>
      <c r="I470" s="1752"/>
      <c r="J470" s="1752"/>
      <c r="K470" s="1752"/>
      <c r="L470" s="1752"/>
      <c r="M470" s="1752"/>
      <c r="N470" s="1752"/>
      <c r="O470" s="1752"/>
      <c r="P470" s="1752"/>
      <c r="Q470" s="1752"/>
      <c r="R470" s="1752"/>
      <c r="S470" s="1752"/>
      <c r="T470" s="1752"/>
      <c r="U470" s="1752"/>
      <c r="V470" s="1753"/>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3.15" customHeight="1">
      <c r="A471" s="3"/>
      <c r="B471" s="3"/>
      <c r="C471" s="3"/>
      <c r="D471" s="1751" t="s">
        <v>1011</v>
      </c>
      <c r="E471" s="1752"/>
      <c r="F471" s="1752"/>
      <c r="G471" s="1752"/>
      <c r="H471" s="1752"/>
      <c r="I471" s="1752"/>
      <c r="J471" s="1752"/>
      <c r="K471" s="1752"/>
      <c r="L471" s="1752"/>
      <c r="M471" s="1752"/>
      <c r="N471" s="1752"/>
      <c r="O471" s="1752"/>
      <c r="P471" s="1752"/>
      <c r="Q471" s="1752"/>
      <c r="R471" s="1752"/>
      <c r="S471" s="1752"/>
      <c r="T471" s="1752"/>
      <c r="U471" s="1752"/>
      <c r="V471" s="1753"/>
      <c r="W471" s="1664">
        <v>0</v>
      </c>
      <c r="X471" s="1665"/>
      <c r="Y471" s="1666"/>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761" t="s">
        <v>2189</v>
      </c>
      <c r="E472" s="1848"/>
      <c r="F472" s="1848"/>
      <c r="G472" s="1848"/>
      <c r="H472" s="1848"/>
      <c r="I472" s="1848"/>
      <c r="J472" s="1848"/>
      <c r="K472" s="1848"/>
      <c r="L472" s="1848"/>
      <c r="M472" s="1848"/>
      <c r="N472" s="1848"/>
      <c r="O472" s="1848"/>
      <c r="P472" s="1848"/>
      <c r="Q472" s="1848"/>
      <c r="R472" s="1848"/>
      <c r="S472" s="1848"/>
      <c r="T472" s="1848"/>
      <c r="U472" s="1848"/>
      <c r="V472" s="1849"/>
      <c r="W472" s="1664">
        <v>0</v>
      </c>
      <c r="X472" s="1665"/>
      <c r="Y472" s="1666"/>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761" t="s">
        <v>1653</v>
      </c>
      <c r="E473" s="1752"/>
      <c r="F473" s="1752"/>
      <c r="G473" s="1752"/>
      <c r="H473" s="1752"/>
      <c r="I473" s="1752"/>
      <c r="J473" s="1752"/>
      <c r="K473" s="1752"/>
      <c r="L473" s="1752"/>
      <c r="M473" s="1752"/>
      <c r="N473" s="1752"/>
      <c r="O473" s="1752"/>
      <c r="P473" s="1752"/>
      <c r="Q473" s="1752"/>
      <c r="R473" s="1752"/>
      <c r="S473" s="1752"/>
      <c r="T473" s="1752"/>
      <c r="U473" s="1752"/>
      <c r="V473" s="1753"/>
      <c r="W473" s="1664">
        <v>0</v>
      </c>
      <c r="X473" s="1665"/>
      <c r="Y473" s="1666"/>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170</v>
      </c>
      <c r="E474" s="244"/>
      <c r="F474" s="245"/>
      <c r="G474" s="1696"/>
      <c r="H474" s="1697"/>
      <c r="I474" s="1697"/>
      <c r="J474" s="1697"/>
      <c r="K474" s="1697"/>
      <c r="L474" s="1697"/>
      <c r="M474" s="1697"/>
      <c r="N474" s="1697"/>
      <c r="O474" s="1697"/>
      <c r="P474" s="1697"/>
      <c r="Q474" s="1697"/>
      <c r="R474" s="1697"/>
      <c r="S474" s="1697"/>
      <c r="T474" s="1697"/>
      <c r="U474" s="1697"/>
      <c r="V474" s="1698"/>
      <c r="W474" s="1664">
        <v>0</v>
      </c>
      <c r="X474" s="1665"/>
      <c r="Y474" s="1666"/>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3.15" customHeight="1">
      <c r="AU479" s="95"/>
      <c r="AV479" s="95"/>
      <c r="AW479" s="95"/>
      <c r="AX479" s="95"/>
      <c r="AY479" s="95"/>
      <c r="AZ479" s="3"/>
      <c r="BA479" s="3" t="str">
        <f>AG599</f>
        <v>No</v>
      </c>
      <c r="BB479" s="3"/>
      <c r="BC479" s="3"/>
    </row>
    <row r="480" spans="1:55" ht="13.1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1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15" customHeight="1">
      <c r="AZ482" s="3"/>
      <c r="BB482" s="3"/>
      <c r="BC482" s="3"/>
    </row>
    <row r="483" spans="1:55" ht="13.15" customHeight="1">
      <c r="A483" s="2" t="s">
        <v>319</v>
      </c>
      <c r="C483" s="2" t="s">
        <v>808</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762" t="s">
        <v>393</v>
      </c>
      <c r="R485" s="1763"/>
      <c r="S485" s="1763"/>
      <c r="T485" s="1763"/>
      <c r="U485" s="1763"/>
      <c r="V485" s="1763"/>
      <c r="W485" s="1763"/>
      <c r="X485" s="1763"/>
      <c r="Y485" s="1763"/>
      <c r="Z485" s="1763"/>
      <c r="AA485" s="1763"/>
      <c r="AB485" s="1763"/>
      <c r="AC485" s="1763"/>
      <c r="AD485" s="1763"/>
      <c r="AE485" s="1763"/>
      <c r="AF485" s="1763"/>
      <c r="AG485" s="1763"/>
      <c r="AH485" s="1763"/>
      <c r="AI485" s="1763"/>
      <c r="AJ485" s="1763"/>
      <c r="AK485" s="1764"/>
      <c r="AZ485" s="3"/>
      <c r="BB485" s="3"/>
      <c r="BC485" s="3"/>
    </row>
    <row r="486" spans="1:55" ht="13.15" customHeight="1">
      <c r="B486" s="45" t="s">
        <v>394</v>
      </c>
      <c r="C486" s="5"/>
      <c r="D486" s="5"/>
      <c r="E486" s="5"/>
      <c r="F486" s="5"/>
      <c r="G486" s="5"/>
      <c r="H486" s="5"/>
      <c r="I486" s="5"/>
      <c r="J486" s="5"/>
      <c r="K486" s="5"/>
      <c r="L486" s="5"/>
      <c r="M486" s="5"/>
      <c r="N486" s="5"/>
      <c r="O486" s="5"/>
      <c r="P486" s="5"/>
      <c r="Q486" s="1576" t="s">
        <v>2706</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3.15" customHeight="1">
      <c r="B487" s="45" t="s">
        <v>395</v>
      </c>
      <c r="C487" s="5"/>
      <c r="D487" s="5"/>
      <c r="E487" s="5"/>
      <c r="F487" s="5"/>
      <c r="G487" s="5"/>
      <c r="H487" s="5"/>
      <c r="I487" s="5"/>
      <c r="J487" s="5"/>
      <c r="K487" s="5"/>
      <c r="L487" s="5"/>
      <c r="M487" s="5"/>
      <c r="N487" s="5"/>
      <c r="O487" s="5"/>
      <c r="P487" s="5"/>
      <c r="Q487" s="1576" t="s">
        <v>2707</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3.15" customHeight="1">
      <c r="B488" s="45" t="s">
        <v>396</v>
      </c>
      <c r="C488" s="5"/>
      <c r="D488" s="5"/>
      <c r="E488" s="5"/>
      <c r="F488" s="5"/>
      <c r="G488" s="5"/>
      <c r="H488" s="5"/>
      <c r="I488" s="5"/>
      <c r="J488" s="5"/>
      <c r="K488" s="5"/>
      <c r="L488" s="5"/>
      <c r="M488" s="5"/>
      <c r="N488" s="5"/>
      <c r="O488" s="5"/>
      <c r="P488" s="5"/>
      <c r="Q488" s="1576" t="s">
        <v>2707</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3.15" customHeight="1">
      <c r="B489" s="1832" t="s">
        <v>397</v>
      </c>
      <c r="C489" s="1833"/>
      <c r="D489" s="1833"/>
      <c r="E489" s="1833"/>
      <c r="F489" s="1833"/>
      <c r="G489" s="1833"/>
      <c r="H489" s="1833"/>
      <c r="I489" s="1833"/>
      <c r="J489" s="1833"/>
      <c r="K489" s="1833"/>
      <c r="L489" s="1833"/>
      <c r="M489" s="1833"/>
      <c r="N489" s="1833"/>
      <c r="O489" s="1833"/>
      <c r="P489" s="1834"/>
      <c r="Q489" s="1838" t="s">
        <v>669</v>
      </c>
      <c r="R489" s="1839"/>
      <c r="S489" s="1768" t="s">
        <v>166</v>
      </c>
      <c r="T489" s="1769"/>
      <c r="U489" s="1769"/>
      <c r="V489" s="1769"/>
      <c r="W489" s="1769"/>
      <c r="X489" s="1769"/>
      <c r="Y489" s="1769"/>
      <c r="Z489" s="1769"/>
      <c r="AA489" s="1769"/>
      <c r="AB489" s="1769"/>
      <c r="AC489" s="1769"/>
      <c r="AD489" s="1769"/>
      <c r="AE489" s="1769"/>
      <c r="AF489" s="1769"/>
      <c r="AG489" s="1769"/>
      <c r="AH489" s="1769"/>
      <c r="AI489" s="1769"/>
      <c r="AJ489" s="1769"/>
      <c r="AK489" s="1770"/>
      <c r="AZ489" s="3"/>
      <c r="BA489" s="3"/>
      <c r="BB489" s="3"/>
      <c r="BC489" s="3"/>
    </row>
    <row r="490" spans="1:55" ht="13.15" customHeight="1">
      <c r="B490" s="1835"/>
      <c r="C490" s="1836"/>
      <c r="D490" s="1836"/>
      <c r="E490" s="1836"/>
      <c r="F490" s="1836"/>
      <c r="G490" s="1836"/>
      <c r="H490" s="1836"/>
      <c r="I490" s="1836"/>
      <c r="J490" s="1836"/>
      <c r="K490" s="1836"/>
      <c r="L490" s="1836"/>
      <c r="M490" s="1836"/>
      <c r="N490" s="1836"/>
      <c r="O490" s="1836"/>
      <c r="P490" s="1837"/>
      <c r="Q490" s="1840"/>
      <c r="R490" s="1841"/>
      <c r="S490" s="1771"/>
      <c r="T490" s="1772"/>
      <c r="U490" s="1772"/>
      <c r="V490" s="1772"/>
      <c r="W490" s="1772"/>
      <c r="X490" s="1772"/>
      <c r="Y490" s="1772"/>
      <c r="Z490" s="1772"/>
      <c r="AA490" s="1772"/>
      <c r="AB490" s="1772"/>
      <c r="AC490" s="1772"/>
      <c r="AD490" s="1772"/>
      <c r="AE490" s="1772"/>
      <c r="AF490" s="1772"/>
      <c r="AG490" s="1772"/>
      <c r="AH490" s="1772"/>
      <c r="AI490" s="1772"/>
      <c r="AJ490" s="1772"/>
      <c r="AK490" s="1773"/>
      <c r="AZ490" s="3"/>
      <c r="BA490" s="3"/>
      <c r="BB490" s="3"/>
      <c r="BC490" s="3"/>
    </row>
    <row r="491" spans="1:55" ht="13.15" customHeight="1">
      <c r="B491" s="895" t="s">
        <v>1670</v>
      </c>
      <c r="C491" s="873"/>
      <c r="D491" s="873"/>
      <c r="E491" s="873"/>
      <c r="F491" s="873"/>
      <c r="G491" s="873"/>
      <c r="H491" s="873"/>
      <c r="I491" s="873"/>
      <c r="J491" s="873"/>
      <c r="K491" s="873"/>
      <c r="L491" s="873"/>
      <c r="M491" s="873"/>
      <c r="N491" s="873"/>
      <c r="O491" s="873"/>
      <c r="P491" s="873"/>
      <c r="Q491" s="1845" t="s">
        <v>669</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3.15" customHeight="1">
      <c r="B492" s="45" t="s">
        <v>398</v>
      </c>
      <c r="C492" s="5"/>
      <c r="D492" s="5"/>
      <c r="E492" s="5"/>
      <c r="F492" s="5"/>
      <c r="G492" s="5"/>
      <c r="H492" s="5"/>
      <c r="I492" s="5"/>
      <c r="J492" s="5"/>
      <c r="K492" s="5"/>
      <c r="L492" s="5"/>
      <c r="M492" s="5"/>
      <c r="N492" s="5"/>
      <c r="O492" s="5"/>
      <c r="P492" s="5"/>
      <c r="Q492" s="1576">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3.15" customHeight="1">
      <c r="B493" s="45" t="s">
        <v>399</v>
      </c>
      <c r="C493" s="5"/>
      <c r="D493" s="5"/>
      <c r="E493" s="5"/>
      <c r="F493" s="5"/>
      <c r="G493" s="5"/>
      <c r="H493" s="5"/>
      <c r="I493" s="5"/>
      <c r="J493" s="5"/>
      <c r="K493" s="5"/>
      <c r="L493" s="5"/>
      <c r="M493" s="5"/>
      <c r="N493" s="5"/>
      <c r="O493" s="5"/>
      <c r="P493" s="5"/>
      <c r="Q493" s="1576">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3.15" customHeight="1">
      <c r="B494" s="121" t="s">
        <v>1667</v>
      </c>
      <c r="C494" s="5"/>
      <c r="D494" s="5"/>
      <c r="E494" s="5"/>
      <c r="F494" s="5"/>
      <c r="G494" s="5"/>
      <c r="H494" s="5"/>
      <c r="I494" s="5"/>
      <c r="J494" s="5"/>
      <c r="K494" s="5"/>
      <c r="L494" s="5"/>
      <c r="M494" s="5"/>
      <c r="N494" s="5"/>
      <c r="O494" s="5"/>
      <c r="P494" s="5"/>
      <c r="Q494" s="1576">
        <v>277</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3.15" customHeight="1">
      <c r="B495" s="121" t="s">
        <v>1668</v>
      </c>
      <c r="C495" s="5"/>
      <c r="D495" s="5"/>
      <c r="E495" s="5"/>
      <c r="F495" s="5"/>
      <c r="G495" s="5"/>
      <c r="H495" s="5"/>
      <c r="I495" s="5"/>
      <c r="J495" s="5"/>
      <c r="K495" s="5"/>
      <c r="L495" s="5"/>
      <c r="M495" s="1445">
        <v>12</v>
      </c>
      <c r="N495" s="1446"/>
      <c r="O495" s="1446"/>
      <c r="P495" s="1447"/>
      <c r="Q495" s="121" t="s">
        <v>1669</v>
      </c>
      <c r="R495" s="5"/>
      <c r="S495" s="5"/>
      <c r="T495" s="5"/>
      <c r="U495" s="5"/>
      <c r="V495" s="5"/>
      <c r="W495" s="5"/>
      <c r="X495" s="5"/>
      <c r="Y495" s="5"/>
      <c r="Z495" s="5"/>
      <c r="AA495" s="5"/>
      <c r="AB495" s="5"/>
      <c r="AC495" s="5"/>
      <c r="AD495" s="5"/>
      <c r="AE495" s="5"/>
      <c r="AF495" s="5"/>
      <c r="AG495" s="5"/>
      <c r="AH495" s="1445">
        <v>255</v>
      </c>
      <c r="AI495" s="1446"/>
      <c r="AJ495" s="1446"/>
      <c r="AK495" s="1447"/>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2" t="s">
        <v>401</v>
      </c>
      <c r="AD499" s="1763"/>
      <c r="AE499" s="1763"/>
      <c r="AF499" s="1763"/>
      <c r="AG499" s="1763"/>
      <c r="AH499" s="1763"/>
      <c r="AI499" s="1763"/>
      <c r="AJ499" s="1763"/>
      <c r="AK499" s="1764"/>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2" t="s">
        <v>402</v>
      </c>
      <c r="AD500" s="1763"/>
      <c r="AE500" s="1763"/>
      <c r="AF500" s="1763"/>
      <c r="AG500" s="50" t="s">
        <v>403</v>
      </c>
      <c r="AH500" s="1763" t="s">
        <v>404</v>
      </c>
      <c r="AI500" s="1763"/>
      <c r="AJ500" s="1763"/>
      <c r="AK500" s="1764"/>
      <c r="AZ500" s="3"/>
      <c r="BA500" s="3"/>
      <c r="BB500" s="3"/>
      <c r="BC500" s="3"/>
      <c r="BD500" s="3"/>
      <c r="BE500" s="3"/>
      <c r="BF500" s="3"/>
      <c r="BG500" s="3"/>
      <c r="BH500" s="3"/>
      <c r="BI500" s="3"/>
      <c r="BJ500" s="3"/>
      <c r="BK500" s="3"/>
      <c r="BL500" s="3"/>
      <c r="BM500" s="3"/>
      <c r="BN500" s="3"/>
    </row>
    <row r="501" spans="1:66" ht="13.15" customHeight="1">
      <c r="B501" s="1671" t="s">
        <v>405</v>
      </c>
      <c r="C501" s="1430"/>
      <c r="D501" s="1430"/>
      <c r="E501" s="1430"/>
      <c r="F501" s="1430"/>
      <c r="G501" s="1430"/>
      <c r="H501" s="1431"/>
      <c r="I501" s="42" t="s">
        <v>406</v>
      </c>
      <c r="J501" s="42"/>
      <c r="K501" s="42"/>
      <c r="L501" s="42"/>
      <c r="M501" s="42"/>
      <c r="N501" s="42"/>
      <c r="O501" s="42"/>
      <c r="P501" s="42"/>
      <c r="Q501" s="42"/>
      <c r="R501" s="42"/>
      <c r="S501" s="42"/>
      <c r="T501" s="42"/>
      <c r="U501" s="42"/>
      <c r="V501" s="42"/>
      <c r="W501" s="42"/>
      <c r="AC501" s="1661" t="s">
        <v>591</v>
      </c>
      <c r="AD501" s="1662"/>
      <c r="AE501" s="1662"/>
      <c r="AF501" s="1662"/>
      <c r="AG501" s="13" t="s">
        <v>403</v>
      </c>
      <c r="AH501" s="1402">
        <v>0</v>
      </c>
      <c r="AI501" s="1402"/>
      <c r="AJ501" s="1402"/>
      <c r="AK501" s="1403"/>
      <c r="AZ501" s="3"/>
      <c r="BA501" s="3"/>
      <c r="BB501" s="3"/>
      <c r="BC501" s="3"/>
      <c r="BD501" s="3"/>
      <c r="BE501" s="3"/>
      <c r="BF501" s="3"/>
      <c r="BG501" s="3"/>
      <c r="BH501" s="3"/>
      <c r="BI501" s="3"/>
      <c r="BJ501" s="3"/>
      <c r="BK501" s="3"/>
      <c r="BL501" s="3"/>
      <c r="BM501" s="3"/>
      <c r="BN501" s="3"/>
    </row>
    <row r="502" spans="1:66" ht="13.15" customHeight="1">
      <c r="B502" s="1672"/>
      <c r="C502" s="1432"/>
      <c r="D502" s="1432"/>
      <c r="E502" s="1432"/>
      <c r="F502" s="1432"/>
      <c r="G502" s="1432"/>
      <c r="H502" s="1433"/>
      <c r="I502" s="48" t="s">
        <v>407</v>
      </c>
      <c r="J502" s="48"/>
      <c r="K502" s="48"/>
      <c r="L502" s="48"/>
      <c r="M502" s="48"/>
      <c r="N502" s="48"/>
      <c r="O502" s="48"/>
      <c r="P502" s="48"/>
      <c r="Q502" s="48"/>
      <c r="R502" s="48"/>
      <c r="S502" s="48"/>
      <c r="T502" s="48"/>
      <c r="U502" s="48"/>
      <c r="V502" s="48"/>
      <c r="W502" s="48"/>
      <c r="X502" s="48"/>
      <c r="Y502" s="48"/>
      <c r="Z502" s="48"/>
      <c r="AA502" s="48"/>
      <c r="AB502" s="48"/>
      <c r="AC502" s="1661">
        <v>5</v>
      </c>
      <c r="AD502" s="1662"/>
      <c r="AE502" s="1662"/>
      <c r="AF502" s="1662"/>
      <c r="AG502" s="38" t="s">
        <v>403</v>
      </c>
      <c r="AH502" s="1402">
        <v>2026</v>
      </c>
      <c r="AI502" s="1402"/>
      <c r="AJ502" s="1402"/>
      <c r="AK502" s="1403"/>
      <c r="AZ502" s="3"/>
      <c r="BA502" s="3"/>
      <c r="BB502" s="3"/>
      <c r="BC502" s="3"/>
      <c r="BD502" s="3"/>
      <c r="BE502" s="3"/>
      <c r="BF502" s="3"/>
      <c r="BG502" s="3"/>
      <c r="BH502" s="3"/>
      <c r="BI502" s="3"/>
      <c r="BJ502" s="3"/>
      <c r="BK502" s="3"/>
      <c r="BL502" s="3"/>
      <c r="BM502" s="3"/>
      <c r="BN502" s="3"/>
    </row>
    <row r="503" spans="1:66" ht="13.15" customHeight="1">
      <c r="B503" s="1671" t="s">
        <v>408</v>
      </c>
      <c r="C503" s="1430"/>
      <c r="D503" s="1430"/>
      <c r="E503" s="1430"/>
      <c r="F503" s="1430"/>
      <c r="G503" s="1430"/>
      <c r="H503" s="1431"/>
      <c r="I503" s="42" t="s">
        <v>409</v>
      </c>
      <c r="J503" s="42"/>
      <c r="K503" s="42"/>
      <c r="L503" s="42"/>
      <c r="M503" s="42"/>
      <c r="N503" s="42"/>
      <c r="O503" s="42"/>
      <c r="P503" s="42"/>
      <c r="Q503" s="42"/>
      <c r="R503" s="42"/>
      <c r="S503" s="42"/>
      <c r="T503" s="42"/>
      <c r="U503" s="42"/>
      <c r="V503" s="42"/>
      <c r="W503" s="42"/>
      <c r="AC503" s="1661" t="s">
        <v>591</v>
      </c>
      <c r="AD503" s="1662"/>
      <c r="AE503" s="1662"/>
      <c r="AF503" s="1662"/>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15" customHeight="1">
      <c r="B504" s="1672"/>
      <c r="C504" s="1432"/>
      <c r="D504" s="1432"/>
      <c r="E504" s="1432"/>
      <c r="F504" s="1432"/>
      <c r="G504" s="1432"/>
      <c r="H504" s="1433"/>
      <c r="I504" t="s">
        <v>410</v>
      </c>
      <c r="AC504" s="1661" t="s">
        <v>591</v>
      </c>
      <c r="AD504" s="1662"/>
      <c r="AE504" s="1662"/>
      <c r="AF504" s="1662"/>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15" customHeight="1">
      <c r="B505" s="1672"/>
      <c r="C505" s="1432"/>
      <c r="D505" s="1432"/>
      <c r="E505" s="1432"/>
      <c r="F505" s="1432"/>
      <c r="G505" s="1432"/>
      <c r="H505" s="1433"/>
      <c r="I505" t="s">
        <v>411</v>
      </c>
      <c r="AC505" s="1661">
        <v>5</v>
      </c>
      <c r="AD505" s="1662"/>
      <c r="AE505" s="1662"/>
      <c r="AF505" s="1662"/>
      <c r="AG505" s="13" t="s">
        <v>403</v>
      </c>
      <c r="AH505" s="1402">
        <v>2026</v>
      </c>
      <c r="AI505" s="1402"/>
      <c r="AJ505" s="1402"/>
      <c r="AK505" s="1403"/>
      <c r="AZ505" s="3"/>
      <c r="BA505" s="3"/>
      <c r="BB505" s="3"/>
      <c r="BC505" s="3"/>
      <c r="BD505" s="3"/>
      <c r="BE505" s="3"/>
      <c r="BF505" s="3"/>
      <c r="BG505" s="3"/>
      <c r="BH505" s="3"/>
      <c r="BI505" s="3"/>
      <c r="BJ505" s="3"/>
      <c r="BK505" s="3"/>
      <c r="BL505" s="3"/>
      <c r="BM505" s="3"/>
      <c r="BN505" s="3"/>
    </row>
    <row r="506" spans="1:66" ht="13.15" customHeight="1">
      <c r="B506" s="1672"/>
      <c r="C506" s="1432"/>
      <c r="D506" s="1432"/>
      <c r="E506" s="1432"/>
      <c r="F506" s="1432"/>
      <c r="G506" s="1432"/>
      <c r="H506" s="1433"/>
      <c r="I506" t="s">
        <v>412</v>
      </c>
      <c r="AC506" s="1661">
        <v>5</v>
      </c>
      <c r="AD506" s="1662"/>
      <c r="AE506" s="1662"/>
      <c r="AF506" s="1662"/>
      <c r="AG506" s="13" t="s">
        <v>403</v>
      </c>
      <c r="AH506" s="1402">
        <v>2026</v>
      </c>
      <c r="AI506" s="1402"/>
      <c r="AJ506" s="1402"/>
      <c r="AK506" s="1403"/>
      <c r="AZ506" s="3"/>
      <c r="BA506" s="3"/>
      <c r="BB506" s="3"/>
      <c r="BC506" s="3"/>
      <c r="BD506" s="3"/>
      <c r="BE506" s="3"/>
      <c r="BF506" s="3"/>
      <c r="BG506" s="3"/>
      <c r="BH506" s="3"/>
      <c r="BI506" s="3"/>
      <c r="BJ506" s="3"/>
      <c r="BK506" s="3"/>
      <c r="BL506" s="3"/>
      <c r="BM506" s="3"/>
      <c r="BN506" s="3"/>
    </row>
    <row r="507" spans="1:66" ht="13.15" customHeight="1">
      <c r="B507" s="1672"/>
      <c r="C507" s="1432"/>
      <c r="D507" s="1432"/>
      <c r="E507" s="1432"/>
      <c r="F507" s="1432"/>
      <c r="G507" s="1432"/>
      <c r="H507" s="1433"/>
      <c r="I507" s="3" t="s">
        <v>413</v>
      </c>
      <c r="AC507" s="1337">
        <v>5</v>
      </c>
      <c r="AD507" s="1338"/>
      <c r="AE507" s="1338"/>
      <c r="AF507" s="1338"/>
      <c r="AG507" s="13" t="s">
        <v>403</v>
      </c>
      <c r="AH507" s="1402">
        <v>2026</v>
      </c>
      <c r="AI507" s="1402"/>
      <c r="AJ507" s="1402"/>
      <c r="AK507" s="1403"/>
      <c r="AZ507" s="3"/>
      <c r="BA507" s="3"/>
      <c r="BB507" s="3"/>
      <c r="BC507" s="3"/>
      <c r="BD507" s="3"/>
      <c r="BE507" s="3"/>
      <c r="BF507" s="3"/>
      <c r="BG507" s="3"/>
      <c r="BH507" s="3"/>
      <c r="BI507" s="3"/>
      <c r="BJ507" s="3"/>
      <c r="BK507" s="3"/>
      <c r="BL507" s="3"/>
      <c r="BM507" s="3"/>
      <c r="BN507" s="3"/>
    </row>
    <row r="508" spans="1:66" ht="13.15" customHeight="1">
      <c r="B508" s="1672"/>
      <c r="C508" s="1432"/>
      <c r="D508" s="1432"/>
      <c r="E508" s="1432"/>
      <c r="F508" s="1432"/>
      <c r="G508" s="1432"/>
      <c r="H508" s="1433"/>
      <c r="I508" s="896"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3"/>
      <c r="AC508" s="1661" t="s">
        <v>591</v>
      </c>
      <c r="AD508" s="1662"/>
      <c r="AE508" s="1662"/>
      <c r="AF508" s="1662"/>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1674</v>
      </c>
      <c r="AC509" s="1820" t="s">
        <v>669</v>
      </c>
      <c r="AD509" s="1820"/>
      <c r="AE509" s="1820"/>
      <c r="AF509" s="1820"/>
      <c r="AG509" s="13"/>
      <c r="AH509" s="1335"/>
      <c r="AI509" s="1335"/>
      <c r="AJ509" s="1335"/>
      <c r="AK509" s="1670"/>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1671</v>
      </c>
      <c r="AC510" s="1337"/>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9">
        <v>0.1</v>
      </c>
      <c r="AD512" s="1830"/>
      <c r="AE512" s="1830"/>
      <c r="AF512" s="1831"/>
      <c r="AG512" s="38"/>
      <c r="AH512" s="1746"/>
      <c r="AI512" s="1746"/>
      <c r="AJ512" s="1746"/>
      <c r="AK512" s="1747"/>
      <c r="AZ512" s="3"/>
      <c r="BA512" s="3"/>
      <c r="BB512" s="3"/>
      <c r="BC512" s="3"/>
      <c r="BD512" s="3"/>
      <c r="BE512" s="3"/>
      <c r="BF512" s="3"/>
      <c r="BG512" s="3"/>
      <c r="BH512" s="3"/>
      <c r="BI512" s="3"/>
      <c r="BJ512" s="3"/>
      <c r="BK512" s="3"/>
      <c r="BL512" s="3"/>
      <c r="BM512" s="3"/>
      <c r="BN512" s="3" t="s">
        <v>1183</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3" t="s">
        <v>402</v>
      </c>
      <c r="AD513" s="1636"/>
      <c r="AE513" s="1636"/>
      <c r="AF513" s="1636"/>
      <c r="AG513" s="38" t="s">
        <v>403</v>
      </c>
      <c r="AH513" s="1636" t="s">
        <v>404</v>
      </c>
      <c r="AI513" s="1636"/>
      <c r="AJ513" s="1636"/>
      <c r="AK513" s="1842"/>
      <c r="AZ513" s="3"/>
      <c r="BA513" s="3"/>
      <c r="BB513" s="3"/>
      <c r="BC513" s="3"/>
      <c r="BD513" s="3"/>
      <c r="BE513" s="3"/>
      <c r="BF513" s="3"/>
      <c r="BG513" s="3"/>
      <c r="BH513" s="3"/>
      <c r="BI513" s="3"/>
      <c r="BJ513" s="3"/>
      <c r="BK513" s="3"/>
      <c r="BL513" s="3"/>
      <c r="BM513" s="3"/>
      <c r="BN513" s="3" t="s">
        <v>2103</v>
      </c>
    </row>
    <row r="514" spans="2:66" ht="13.15" customHeight="1">
      <c r="B514" s="1671" t="s">
        <v>414</v>
      </c>
      <c r="C514" s="1430"/>
      <c r="D514" s="1430"/>
      <c r="E514" s="1430"/>
      <c r="F514" s="1430"/>
      <c r="G514" s="1430"/>
      <c r="H514" s="1431"/>
      <c r="I514" s="42" t="s">
        <v>415</v>
      </c>
      <c r="J514" s="42"/>
      <c r="K514" s="42"/>
      <c r="L514" s="42"/>
      <c r="M514" s="42"/>
      <c r="N514" s="42"/>
      <c r="O514" s="42"/>
      <c r="P514" s="42"/>
      <c r="Q514" s="42"/>
      <c r="R514" s="42"/>
      <c r="S514" s="42"/>
      <c r="T514" s="42"/>
      <c r="U514" s="42"/>
      <c r="V514" s="42"/>
      <c r="W514" s="42"/>
      <c r="AC514" s="1661">
        <v>9</v>
      </c>
      <c r="AD514" s="1662"/>
      <c r="AE514" s="1662"/>
      <c r="AF514" s="1662"/>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2104</v>
      </c>
    </row>
    <row r="515" spans="2:66" ht="13.15" customHeight="1">
      <c r="B515" s="1672"/>
      <c r="C515" s="1432"/>
      <c r="D515" s="1432"/>
      <c r="E515" s="1432"/>
      <c r="F515" s="1432"/>
      <c r="G515" s="1432"/>
      <c r="H515" s="1433"/>
      <c r="I515" t="s">
        <v>416</v>
      </c>
      <c r="AC515" s="1661">
        <v>9</v>
      </c>
      <c r="AD515" s="1662"/>
      <c r="AE515" s="1662"/>
      <c r="AF515" s="1662"/>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2105</v>
      </c>
    </row>
    <row r="516" spans="2:66" ht="13.15" customHeight="1">
      <c r="B516" s="1672"/>
      <c r="C516" s="1432"/>
      <c r="D516" s="1432"/>
      <c r="E516" s="1432"/>
      <c r="F516" s="1432"/>
      <c r="G516" s="1432"/>
      <c r="H516" s="1433"/>
      <c r="I516" s="48" t="s">
        <v>417</v>
      </c>
      <c r="J516" s="48"/>
      <c r="K516" s="48"/>
      <c r="L516" s="48"/>
      <c r="M516" s="48"/>
      <c r="N516" s="48"/>
      <c r="O516" s="48"/>
      <c r="P516" s="48"/>
      <c r="Q516" s="48"/>
      <c r="R516" s="48"/>
      <c r="S516" s="48"/>
      <c r="T516" s="48"/>
      <c r="U516" s="48"/>
      <c r="V516" s="48"/>
      <c r="W516" s="48"/>
      <c r="X516" s="48"/>
      <c r="Y516" s="48"/>
      <c r="Z516" s="48"/>
      <c r="AA516" s="48"/>
      <c r="AB516" s="48"/>
      <c r="AC516" s="1661">
        <v>5</v>
      </c>
      <c r="AD516" s="1662"/>
      <c r="AE516" s="1662"/>
      <c r="AF516" s="1662"/>
      <c r="AG516" s="38" t="s">
        <v>403</v>
      </c>
      <c r="AH516" s="1402">
        <v>2026</v>
      </c>
      <c r="AI516" s="1402"/>
      <c r="AJ516" s="1402"/>
      <c r="AK516" s="1403"/>
      <c r="AZ516" s="3"/>
      <c r="BA516" s="3"/>
      <c r="BB516" s="3"/>
      <c r="BC516" s="3"/>
      <c r="BD516" s="3"/>
      <c r="BE516" s="3"/>
      <c r="BF516" s="3"/>
      <c r="BG516" s="3"/>
      <c r="BH516" s="3"/>
      <c r="BI516" s="3"/>
      <c r="BJ516" s="3"/>
      <c r="BK516" s="3"/>
      <c r="BL516" s="3"/>
      <c r="BM516" s="3"/>
      <c r="BN516" s="3" t="s">
        <v>2106</v>
      </c>
    </row>
    <row r="517" spans="2:66" ht="13.15" customHeight="1">
      <c r="B517" s="1671" t="s">
        <v>418</v>
      </c>
      <c r="C517" s="1430"/>
      <c r="D517" s="1430"/>
      <c r="E517" s="1430"/>
      <c r="F517" s="1430"/>
      <c r="G517" s="1430"/>
      <c r="H517" s="1431"/>
      <c r="I517" s="42" t="s">
        <v>415</v>
      </c>
      <c r="J517" s="42"/>
      <c r="K517" s="42"/>
      <c r="L517" s="42"/>
      <c r="M517" s="42"/>
      <c r="N517" s="42"/>
      <c r="O517" s="42"/>
      <c r="P517" s="42"/>
      <c r="Q517" s="42"/>
      <c r="R517" s="42"/>
      <c r="S517" s="42"/>
      <c r="T517" s="42"/>
      <c r="U517" s="42"/>
      <c r="V517" s="42"/>
      <c r="W517" s="42"/>
      <c r="X517" s="42"/>
      <c r="Y517" s="42"/>
      <c r="Z517" s="42"/>
      <c r="AA517" s="42"/>
      <c r="AB517" s="42"/>
      <c r="AC517" s="1337">
        <v>9</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2107</v>
      </c>
    </row>
    <row r="518" spans="2:66" ht="13.15" customHeight="1">
      <c r="B518" s="1672"/>
      <c r="C518" s="1432"/>
      <c r="D518" s="1432"/>
      <c r="E518" s="1432"/>
      <c r="F518" s="1432"/>
      <c r="G518" s="1432"/>
      <c r="H518" s="1433"/>
      <c r="I518" t="s">
        <v>416</v>
      </c>
      <c r="AC518" s="1661">
        <v>9</v>
      </c>
      <c r="AD518" s="1662"/>
      <c r="AE518" s="1662"/>
      <c r="AF518" s="1662"/>
      <c r="AG518" s="13" t="s">
        <v>403</v>
      </c>
      <c r="AH518" s="1402">
        <v>2025</v>
      </c>
      <c r="AI518" s="1402"/>
      <c r="AJ518" s="1402"/>
      <c r="AK518" s="1403"/>
      <c r="BB518" s="3"/>
      <c r="BC518" s="3"/>
      <c r="BD518" s="3"/>
      <c r="BE518" s="3"/>
      <c r="BF518" s="3"/>
      <c r="BG518" s="3"/>
      <c r="BH518" s="3"/>
      <c r="BI518" s="3"/>
      <c r="BJ518" s="3"/>
      <c r="BK518" s="3"/>
      <c r="BL518" s="3"/>
      <c r="BM518" s="3"/>
      <c r="BN518" s="3" t="s">
        <v>2108</v>
      </c>
    </row>
    <row r="519" spans="2:66" ht="13.15" customHeight="1">
      <c r="B519" s="1673"/>
      <c r="C519" s="1434"/>
      <c r="D519" s="1434"/>
      <c r="E519" s="1434"/>
      <c r="F519" s="1434"/>
      <c r="G519" s="1434"/>
      <c r="H519" s="1435"/>
      <c r="I519" s="48" t="s">
        <v>417</v>
      </c>
      <c r="J519" s="48"/>
      <c r="K519" s="48"/>
      <c r="L519" s="48"/>
      <c r="M519" s="48"/>
      <c r="N519" s="48"/>
      <c r="O519" s="48"/>
      <c r="P519" s="48"/>
      <c r="Q519" s="48"/>
      <c r="R519" s="48"/>
      <c r="S519" s="48"/>
      <c r="T519" s="48"/>
      <c r="U519" s="48"/>
      <c r="V519" s="48"/>
      <c r="W519" s="48"/>
      <c r="X519" s="48"/>
      <c r="Y519" s="48"/>
      <c r="Z519" s="48"/>
      <c r="AA519" s="48"/>
      <c r="AB519" s="48"/>
      <c r="AC519" s="1661">
        <v>5</v>
      </c>
      <c r="AD519" s="1662"/>
      <c r="AE519" s="1662"/>
      <c r="AF519" s="1662"/>
      <c r="AG519" s="38" t="s">
        <v>403</v>
      </c>
      <c r="AH519" s="1402">
        <v>2026</v>
      </c>
      <c r="AI519" s="1402"/>
      <c r="AJ519" s="1402"/>
      <c r="AK519" s="1403"/>
      <c r="BB519" s="3"/>
      <c r="BC519" s="3"/>
      <c r="BD519" s="3"/>
      <c r="BE519" s="3"/>
      <c r="BF519" s="3"/>
      <c r="BG519" s="3"/>
      <c r="BH519" s="3"/>
      <c r="BI519" s="3"/>
      <c r="BJ519" s="3"/>
      <c r="BK519" s="3"/>
      <c r="BL519" s="3"/>
      <c r="BM519" s="3"/>
      <c r="BN519" s="3" t="s">
        <v>2109</v>
      </c>
    </row>
    <row r="520" spans="2:66" ht="13.15" customHeight="1">
      <c r="B520" s="1671" t="s">
        <v>419</v>
      </c>
      <c r="C520" s="1430"/>
      <c r="D520" s="1430"/>
      <c r="E520" s="1430"/>
      <c r="F520" s="1430"/>
      <c r="G520" s="1430"/>
      <c r="H520" s="1431"/>
      <c r="I520" s="41" t="s">
        <v>420</v>
      </c>
      <c r="J520" s="42"/>
      <c r="K520" s="42"/>
      <c r="L520" s="42"/>
      <c r="M520" s="42"/>
      <c r="N520" s="42"/>
      <c r="O520" s="1748" t="s">
        <v>2708</v>
      </c>
      <c r="P520" s="1749"/>
      <c r="Q520" s="1749"/>
      <c r="R520" s="1749"/>
      <c r="S520" s="1749"/>
      <c r="T520" s="1749"/>
      <c r="U520" s="1749"/>
      <c r="V520" s="1749"/>
      <c r="W520" s="1749"/>
      <c r="X520" s="1749"/>
      <c r="Y520" s="1749"/>
      <c r="Z520" s="1749"/>
      <c r="AA520" s="1749"/>
      <c r="AB520" s="58"/>
      <c r="AC520" s="1337" t="s">
        <v>591</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2110</v>
      </c>
    </row>
    <row r="521" spans="2:66" ht="13.15" customHeight="1">
      <c r="B521" s="1672"/>
      <c r="C521" s="1432"/>
      <c r="D521" s="1432"/>
      <c r="E521" s="1432"/>
      <c r="F521" s="1432"/>
      <c r="G521" s="1432"/>
      <c r="H521" s="1433"/>
      <c r="I521" s="114" t="s">
        <v>421</v>
      </c>
      <c r="AB521" s="65"/>
      <c r="AC521" s="1661" t="s">
        <v>591</v>
      </c>
      <c r="AD521" s="1662"/>
      <c r="AE521" s="1662"/>
      <c r="AF521" s="1662"/>
      <c r="AG521" s="13" t="s">
        <v>403</v>
      </c>
      <c r="AH521" s="1402"/>
      <c r="AI521" s="1402"/>
      <c r="AJ521" s="1402"/>
      <c r="AK521" s="1403"/>
      <c r="AZ521" s="3"/>
      <c r="BB521" s="3"/>
      <c r="BC521" s="3"/>
      <c r="BD521" s="3"/>
      <c r="BE521" s="3"/>
      <c r="BF521" s="3"/>
      <c r="BG521" s="3"/>
      <c r="BH521" s="3"/>
      <c r="BI521" s="3"/>
      <c r="BJ521" s="3"/>
      <c r="BK521" s="3"/>
      <c r="BL521" s="3"/>
      <c r="BM521" s="3"/>
      <c r="BN521" s="3" t="s">
        <v>2111</v>
      </c>
    </row>
    <row r="522" spans="2:66" ht="13.15" customHeight="1">
      <c r="B522" s="1672"/>
      <c r="C522" s="1432"/>
      <c r="D522" s="1432"/>
      <c r="E522" s="1432"/>
      <c r="F522" s="1432"/>
      <c r="G522" s="1432"/>
      <c r="H522" s="1433"/>
      <c r="I522" s="47" t="s">
        <v>422</v>
      </c>
      <c r="J522" s="48"/>
      <c r="K522" s="48"/>
      <c r="L522" s="48"/>
      <c r="M522" s="48"/>
      <c r="N522" s="48"/>
      <c r="O522" s="48"/>
      <c r="P522" s="48"/>
      <c r="Q522" s="48"/>
      <c r="R522" s="48"/>
      <c r="S522" s="48"/>
      <c r="T522" s="48"/>
      <c r="U522" s="48"/>
      <c r="V522" s="48"/>
      <c r="W522" s="48"/>
      <c r="X522" s="48"/>
      <c r="Y522" s="48"/>
      <c r="Z522" s="48"/>
      <c r="AA522" s="48"/>
      <c r="AB522" s="49"/>
      <c r="AC522" s="1661">
        <v>5</v>
      </c>
      <c r="AD522" s="1662"/>
      <c r="AE522" s="1662"/>
      <c r="AF522" s="1662"/>
      <c r="AG522" s="38" t="s">
        <v>403</v>
      </c>
      <c r="AH522" s="1402">
        <v>2026</v>
      </c>
      <c r="AI522" s="1402"/>
      <c r="AJ522" s="1402"/>
      <c r="AK522" s="1403"/>
      <c r="AZ522" s="3"/>
      <c r="BA522" s="3"/>
      <c r="BB522" s="3"/>
      <c r="BC522" s="3"/>
      <c r="BD522" s="3"/>
      <c r="BE522" s="3"/>
      <c r="BF522" s="3"/>
      <c r="BG522" s="3"/>
      <c r="BH522" s="3"/>
      <c r="BI522" s="3"/>
      <c r="BJ522" s="3"/>
      <c r="BK522" s="3"/>
      <c r="BL522" s="3"/>
      <c r="BM522" s="3"/>
      <c r="BN522" s="3" t="s">
        <v>2112</v>
      </c>
    </row>
    <row r="523" spans="2:66" ht="13.15" customHeight="1">
      <c r="B523" s="1672"/>
      <c r="C523" s="1432"/>
      <c r="D523" s="1432"/>
      <c r="E523" s="1432"/>
      <c r="F523" s="1432"/>
      <c r="G523" s="1432"/>
      <c r="H523" s="1433"/>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1" t="s">
        <v>591</v>
      </c>
      <c r="AD523" s="1662"/>
      <c r="AE523" s="1662"/>
      <c r="AF523" s="1662"/>
      <c r="AG523" s="13" t="s">
        <v>403</v>
      </c>
      <c r="AH523" s="1402"/>
      <c r="AI523" s="1402"/>
      <c r="AJ523" s="1402"/>
      <c r="AK523" s="1403"/>
      <c r="AZ523" s="3"/>
      <c r="BA523" s="3"/>
      <c r="BB523" s="3"/>
      <c r="BC523" s="3"/>
      <c r="BD523" s="3"/>
      <c r="BE523" s="3"/>
      <c r="BF523" s="3"/>
      <c r="BG523" s="3"/>
      <c r="BH523" s="3"/>
      <c r="BI523" s="3"/>
      <c r="BJ523" s="3"/>
      <c r="BK523" s="3"/>
      <c r="BL523" s="3"/>
      <c r="BM523" s="3"/>
      <c r="BN523" s="3" t="s">
        <v>2113</v>
      </c>
    </row>
    <row r="524" spans="2:66" ht="13.15" customHeight="1">
      <c r="B524" s="1672"/>
      <c r="C524" s="1432"/>
      <c r="D524" s="1432"/>
      <c r="E524" s="1432"/>
      <c r="F524" s="1432"/>
      <c r="G524" s="1432"/>
      <c r="H524" s="1433"/>
      <c r="I524" t="s">
        <v>421</v>
      </c>
      <c r="AC524" s="1661" t="s">
        <v>591</v>
      </c>
      <c r="AD524" s="1662"/>
      <c r="AE524" s="1662"/>
      <c r="AF524" s="1662"/>
      <c r="AG524" s="13" t="s">
        <v>403</v>
      </c>
      <c r="AH524" s="1402"/>
      <c r="AI524" s="1402"/>
      <c r="AJ524" s="1402"/>
      <c r="AK524" s="1403"/>
      <c r="AZ524" s="3"/>
      <c r="BA524" s="3"/>
      <c r="BB524" s="3"/>
      <c r="BC524" s="3"/>
      <c r="BD524" s="3"/>
      <c r="BE524" s="3"/>
      <c r="BF524" s="3"/>
      <c r="BG524" s="3"/>
      <c r="BH524" s="3"/>
      <c r="BI524" s="3"/>
      <c r="BJ524" s="3"/>
      <c r="BK524" s="3"/>
      <c r="BL524" s="3"/>
      <c r="BM524" s="3"/>
      <c r="BN524" s="3" t="s">
        <v>2114</v>
      </c>
    </row>
    <row r="525" spans="2:66" ht="13.15" customHeight="1">
      <c r="B525" s="1672"/>
      <c r="C525" s="1432"/>
      <c r="D525" s="1432"/>
      <c r="E525" s="1432"/>
      <c r="F525" s="1432"/>
      <c r="G525" s="1432"/>
      <c r="H525" s="1433"/>
      <c r="I525" s="48" t="s">
        <v>422</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403</v>
      </c>
      <c r="AH525" s="1402"/>
      <c r="AI525" s="1402"/>
      <c r="AJ525" s="1402"/>
      <c r="AK525" s="1403"/>
      <c r="AZ525" s="3"/>
      <c r="BA525" s="3"/>
      <c r="BB525" s="3"/>
      <c r="BC525" s="3"/>
      <c r="BD525" s="3"/>
      <c r="BE525" s="3"/>
      <c r="BF525" s="3"/>
      <c r="BG525" s="3"/>
      <c r="BH525" s="3"/>
      <c r="BI525" s="3"/>
      <c r="BJ525" s="3"/>
      <c r="BK525" s="3"/>
      <c r="BL525" s="3"/>
      <c r="BM525" s="3"/>
      <c r="BN525" s="3" t="s">
        <v>2115</v>
      </c>
    </row>
    <row r="526" spans="2:66" ht="13.15" customHeight="1">
      <c r="B526" s="1672"/>
      <c r="C526" s="1432"/>
      <c r="D526" s="1432"/>
      <c r="E526" s="1432"/>
      <c r="F526" s="1432"/>
      <c r="G526" s="1432"/>
      <c r="H526" s="1433"/>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1" t="s">
        <v>591</v>
      </c>
      <c r="AD526" s="1662"/>
      <c r="AE526" s="1662"/>
      <c r="AF526" s="1662"/>
      <c r="AG526" s="13" t="s">
        <v>403</v>
      </c>
      <c r="AH526" s="1402"/>
      <c r="AI526" s="1402"/>
      <c r="AJ526" s="1402"/>
      <c r="AK526" s="1403"/>
      <c r="AZ526" s="3"/>
      <c r="BA526" s="3"/>
      <c r="BB526" s="3"/>
      <c r="BC526" s="3"/>
      <c r="BD526" s="3"/>
      <c r="BE526" s="3"/>
      <c r="BF526" s="3"/>
      <c r="BG526" s="3"/>
      <c r="BH526" s="3"/>
      <c r="BI526" s="3"/>
      <c r="BJ526" s="3"/>
      <c r="BK526" s="3"/>
      <c r="BL526" s="3"/>
      <c r="BM526" s="3"/>
      <c r="BN526" s="3" t="s">
        <v>2116</v>
      </c>
    </row>
    <row r="527" spans="2:66" ht="13.15" customHeight="1">
      <c r="B527" s="1672"/>
      <c r="C527" s="1432"/>
      <c r="D527" s="1432"/>
      <c r="E527" s="1432"/>
      <c r="F527" s="1432"/>
      <c r="G527" s="1432"/>
      <c r="H527" s="1433"/>
      <c r="I527" t="s">
        <v>421</v>
      </c>
      <c r="AC527" s="1661" t="s">
        <v>591</v>
      </c>
      <c r="AD527" s="1662"/>
      <c r="AE527" s="1662"/>
      <c r="AF527" s="1662"/>
      <c r="AG527" s="13" t="s">
        <v>403</v>
      </c>
      <c r="AH527" s="1402"/>
      <c r="AI527" s="1402"/>
      <c r="AJ527" s="1402"/>
      <c r="AK527" s="1403"/>
      <c r="AZ527" s="3"/>
      <c r="BA527" s="3"/>
      <c r="BB527" s="3"/>
      <c r="BC527" s="3"/>
      <c r="BD527" s="3"/>
      <c r="BE527" s="3"/>
      <c r="BF527" s="3"/>
      <c r="BG527" s="3"/>
      <c r="BH527" s="3"/>
      <c r="BI527" s="3"/>
      <c r="BJ527" s="3"/>
      <c r="BK527" s="3"/>
      <c r="BL527" s="3"/>
      <c r="BM527" s="3"/>
      <c r="BN527" s="3" t="s">
        <v>2117</v>
      </c>
    </row>
    <row r="528" spans="2:66" ht="13.15" customHeight="1">
      <c r="B528" s="1672"/>
      <c r="C528" s="1432"/>
      <c r="D528" s="1432"/>
      <c r="E528" s="1432"/>
      <c r="F528" s="1432"/>
      <c r="G528" s="1432"/>
      <c r="H528" s="1433"/>
      <c r="I528" s="48" t="s">
        <v>422</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403</v>
      </c>
      <c r="AH528" s="1402"/>
      <c r="AI528" s="1402"/>
      <c r="AJ528" s="1402"/>
      <c r="AK528" s="1403"/>
      <c r="AZ528" s="3"/>
      <c r="BA528" s="3"/>
      <c r="BB528" s="3"/>
      <c r="BC528" s="3"/>
      <c r="BD528" s="3"/>
      <c r="BE528" s="3"/>
      <c r="BF528" s="3"/>
      <c r="BG528" s="3"/>
      <c r="BH528" s="3"/>
      <c r="BI528" s="3"/>
      <c r="BJ528" s="3"/>
      <c r="BK528" s="3"/>
      <c r="BL528" s="3"/>
      <c r="BM528" s="3"/>
      <c r="BN528" s="3" t="s">
        <v>2118</v>
      </c>
    </row>
    <row r="529" spans="1:66" ht="13.15" customHeight="1">
      <c r="B529" s="1672"/>
      <c r="C529" s="1432"/>
      <c r="D529" s="1432"/>
      <c r="E529" s="1432"/>
      <c r="F529" s="1432"/>
      <c r="G529" s="1432"/>
      <c r="H529" s="1433"/>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1" t="s">
        <v>591</v>
      </c>
      <c r="AD529" s="1662"/>
      <c r="AE529" s="1662"/>
      <c r="AF529" s="1662"/>
      <c r="AG529" s="13" t="s">
        <v>403</v>
      </c>
      <c r="AH529" s="1402"/>
      <c r="AI529" s="1402"/>
      <c r="AJ529" s="1402"/>
      <c r="AK529" s="1403"/>
      <c r="AZ529" s="3"/>
      <c r="BA529" s="3"/>
      <c r="BB529" s="3"/>
      <c r="BC529" s="3"/>
      <c r="BD529" s="3"/>
      <c r="BE529" s="3"/>
      <c r="BF529" s="3"/>
      <c r="BG529" s="3"/>
      <c r="BH529" s="3"/>
      <c r="BI529" s="3"/>
      <c r="BJ529" s="3"/>
      <c r="BK529" s="3"/>
      <c r="BL529" s="3"/>
      <c r="BM529" s="3"/>
      <c r="BN529" s="3" t="s">
        <v>2119</v>
      </c>
    </row>
    <row r="530" spans="1:66" ht="13.15" customHeight="1">
      <c r="B530" s="1672"/>
      <c r="C530" s="1432"/>
      <c r="D530" s="1432"/>
      <c r="E530" s="1432"/>
      <c r="F530" s="1432"/>
      <c r="G530" s="1432"/>
      <c r="H530" s="1433"/>
      <c r="I530" t="s">
        <v>421</v>
      </c>
      <c r="AC530" s="1661" t="s">
        <v>591</v>
      </c>
      <c r="AD530" s="1662"/>
      <c r="AE530" s="1662"/>
      <c r="AF530" s="1662"/>
      <c r="AG530" s="13" t="s">
        <v>403</v>
      </c>
      <c r="AH530" s="1402"/>
      <c r="AI530" s="1402"/>
      <c r="AJ530" s="1402"/>
      <c r="AK530" s="1403"/>
      <c r="AZ530" s="3"/>
      <c r="BA530" s="3"/>
      <c r="BB530" s="3"/>
      <c r="BC530" s="3"/>
      <c r="BD530" s="3"/>
      <c r="BE530" s="3"/>
      <c r="BF530" s="3"/>
      <c r="BG530" s="3"/>
      <c r="BH530" s="3"/>
      <c r="BI530" s="3"/>
      <c r="BJ530" s="3"/>
      <c r="BK530" s="3"/>
      <c r="BL530" s="3"/>
      <c r="BM530" s="3"/>
      <c r="BN530" s="3" t="s">
        <v>2120</v>
      </c>
    </row>
    <row r="531" spans="1:66" ht="13.15" customHeight="1">
      <c r="B531" s="1672"/>
      <c r="C531" s="1432"/>
      <c r="D531" s="1432"/>
      <c r="E531" s="1432"/>
      <c r="F531" s="1432"/>
      <c r="G531" s="1432"/>
      <c r="H531" s="1433"/>
      <c r="I531" s="48" t="s">
        <v>422</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403</v>
      </c>
      <c r="AH531" s="1402"/>
      <c r="AI531" s="1402"/>
      <c r="AJ531" s="1402"/>
      <c r="AK531" s="1403"/>
      <c r="AZ531" s="3"/>
      <c r="BA531" s="3"/>
      <c r="BB531" s="3"/>
      <c r="BC531" s="3"/>
      <c r="BD531" s="3"/>
      <c r="BE531" s="3"/>
      <c r="BF531" s="3"/>
      <c r="BG531" s="3"/>
      <c r="BH531" s="3"/>
      <c r="BI531" s="3"/>
      <c r="BJ531" s="3"/>
      <c r="BK531" s="3"/>
      <c r="BL531" s="3"/>
      <c r="BM531" s="3"/>
      <c r="BN531" s="3" t="s">
        <v>2121</v>
      </c>
    </row>
    <row r="532" spans="1:66" ht="13.15" customHeight="1">
      <c r="B532" s="1672"/>
      <c r="C532" s="1432"/>
      <c r="D532" s="1432"/>
      <c r="E532" s="1432"/>
      <c r="F532" s="1432"/>
      <c r="G532" s="1432"/>
      <c r="H532" s="1433"/>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1" t="s">
        <v>591</v>
      </c>
      <c r="AD532" s="1662"/>
      <c r="AE532" s="1662"/>
      <c r="AF532" s="1662"/>
      <c r="AG532" s="13" t="s">
        <v>403</v>
      </c>
      <c r="AH532" s="1402"/>
      <c r="AI532" s="1402"/>
      <c r="AJ532" s="1402"/>
      <c r="AK532" s="1403"/>
      <c r="AZ532" s="3"/>
      <c r="BA532" s="3"/>
      <c r="BB532" s="3"/>
      <c r="BC532" s="3"/>
      <c r="BD532" s="3"/>
      <c r="BE532" s="3"/>
      <c r="BF532" s="3"/>
      <c r="BG532" s="3"/>
      <c r="BH532" s="3"/>
      <c r="BI532" s="3"/>
      <c r="BJ532" s="3"/>
      <c r="BK532" s="3"/>
      <c r="BL532" s="3"/>
      <c r="BM532" s="3"/>
      <c r="BN532" s="3" t="s">
        <v>2122</v>
      </c>
    </row>
    <row r="533" spans="1:66" ht="13.15" customHeight="1">
      <c r="B533" s="1672"/>
      <c r="C533" s="1432"/>
      <c r="D533" s="1432"/>
      <c r="E533" s="1432"/>
      <c r="F533" s="1432"/>
      <c r="G533" s="1432"/>
      <c r="H533" s="1433"/>
      <c r="I533" t="s">
        <v>421</v>
      </c>
      <c r="AC533" s="1661" t="s">
        <v>591</v>
      </c>
      <c r="AD533" s="1662"/>
      <c r="AE533" s="1662"/>
      <c r="AF533" s="1662"/>
      <c r="AG533" s="38" t="s">
        <v>403</v>
      </c>
      <c r="AH533" s="1402"/>
      <c r="AI533" s="1402"/>
      <c r="AJ533" s="1402"/>
      <c r="AK533" s="1403"/>
      <c r="AZ533" s="3"/>
      <c r="BA533" s="3"/>
      <c r="BB533" s="3"/>
      <c r="BC533" s="3"/>
      <c r="BD533" s="3"/>
      <c r="BE533" s="3"/>
      <c r="BF533" s="3"/>
      <c r="BG533" s="3"/>
      <c r="BH533" s="3"/>
      <c r="BI533" s="3"/>
      <c r="BJ533" s="3"/>
      <c r="BK533" s="3"/>
      <c r="BL533" s="3"/>
      <c r="BM533" s="3"/>
      <c r="BN533" s="3" t="s">
        <v>2123</v>
      </c>
    </row>
    <row r="534" spans="1:66" ht="13.15" customHeight="1">
      <c r="B534" s="1672"/>
      <c r="C534" s="1432"/>
      <c r="D534" s="1432"/>
      <c r="E534" s="1432"/>
      <c r="F534" s="1432"/>
      <c r="G534" s="1432"/>
      <c r="H534" s="1433"/>
      <c r="I534" s="48" t="s">
        <v>422</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403</v>
      </c>
      <c r="AH534" s="1402"/>
      <c r="AI534" s="1402"/>
      <c r="AJ534" s="1402"/>
      <c r="AK534" s="1403"/>
      <c r="AZ534" s="3"/>
      <c r="BA534" s="3"/>
      <c r="BB534" s="3"/>
      <c r="BC534" s="3"/>
      <c r="BD534" s="3"/>
      <c r="BE534" s="3"/>
      <c r="BF534" s="3"/>
      <c r="BG534" s="3"/>
      <c r="BH534" s="3"/>
      <c r="BI534" s="3"/>
      <c r="BJ534" s="3"/>
      <c r="BK534" s="3"/>
      <c r="BL534" s="3"/>
      <c r="BM534" s="3"/>
      <c r="BN534" s="3" t="s">
        <v>2124</v>
      </c>
    </row>
    <row r="535" spans="1:66" ht="13.15" customHeight="1">
      <c r="B535" s="1672"/>
      <c r="C535" s="1432"/>
      <c r="D535" s="1432"/>
      <c r="E535" s="1432"/>
      <c r="F535" s="1432"/>
      <c r="G535" s="1432"/>
      <c r="H535" s="1433"/>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1" t="s">
        <v>591</v>
      </c>
      <c r="AD535" s="1662"/>
      <c r="AE535" s="1662"/>
      <c r="AF535" s="1662"/>
      <c r="AG535" s="38" t="s">
        <v>403</v>
      </c>
      <c r="AH535" s="1402"/>
      <c r="AI535" s="1402"/>
      <c r="AJ535" s="1402"/>
      <c r="AK535" s="1403"/>
      <c r="AZ535" s="3"/>
      <c r="BA535" s="3"/>
      <c r="BB535" s="3"/>
      <c r="BC535" s="3"/>
      <c r="BD535" s="3"/>
      <c r="BE535" s="3"/>
      <c r="BF535" s="3"/>
      <c r="BG535" s="3"/>
      <c r="BH535" s="3"/>
      <c r="BI535" s="3"/>
      <c r="BJ535" s="3"/>
      <c r="BK535" s="3"/>
      <c r="BL535" s="3"/>
      <c r="BM535" s="3"/>
      <c r="BN535" s="3" t="s">
        <v>2125</v>
      </c>
    </row>
    <row r="536" spans="1:66" ht="13.15" customHeight="1">
      <c r="B536" s="1672"/>
      <c r="C536" s="1432"/>
      <c r="D536" s="1432"/>
      <c r="E536" s="1432"/>
      <c r="F536" s="1432"/>
      <c r="G536" s="1432"/>
      <c r="H536" s="1433"/>
      <c r="I536" t="s">
        <v>421</v>
      </c>
      <c r="AC536" s="1661" t="s">
        <v>591</v>
      </c>
      <c r="AD536" s="1662"/>
      <c r="AE536" s="1662"/>
      <c r="AF536" s="1662"/>
      <c r="AG536" s="13" t="s">
        <v>403</v>
      </c>
      <c r="AH536" s="1402"/>
      <c r="AI536" s="1402"/>
      <c r="AJ536" s="1402"/>
      <c r="AK536" s="1403"/>
      <c r="AZ536" s="3"/>
      <c r="BA536" s="3"/>
      <c r="BB536" s="3"/>
      <c r="BC536" s="3"/>
      <c r="BD536" s="3"/>
      <c r="BE536" s="3"/>
      <c r="BF536" s="3"/>
      <c r="BG536" s="3"/>
      <c r="BH536" s="3"/>
      <c r="BI536" s="3"/>
      <c r="BJ536" s="3"/>
      <c r="BK536" s="3"/>
      <c r="BL536" s="3"/>
      <c r="BM536" s="3"/>
      <c r="BN536" s="3" t="s">
        <v>2126</v>
      </c>
    </row>
    <row r="537" spans="1:66" ht="13.15" customHeight="1">
      <c r="B537" s="1672"/>
      <c r="C537" s="1432"/>
      <c r="D537" s="1432"/>
      <c r="E537" s="1432"/>
      <c r="F537" s="1432"/>
      <c r="G537" s="1432"/>
      <c r="H537" s="1433"/>
      <c r="I537" s="48" t="s">
        <v>422</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403</v>
      </c>
      <c r="AH537" s="1402"/>
      <c r="AI537" s="1402"/>
      <c r="AJ537" s="1402"/>
      <c r="AK537" s="1403"/>
      <c r="AZ537" s="3"/>
      <c r="BA537" s="3"/>
      <c r="BB537" s="3"/>
      <c r="BC537" s="3"/>
      <c r="BD537" s="3"/>
      <c r="BE537" s="3"/>
      <c r="BF537" s="3"/>
      <c r="BG537" s="3"/>
      <c r="BH537" s="3"/>
      <c r="BI537" s="3"/>
      <c r="BJ537" s="3"/>
      <c r="BK537" s="3"/>
      <c r="BL537" s="3"/>
      <c r="BM537" s="3"/>
      <c r="BN537" s="3" t="s">
        <v>2127</v>
      </c>
    </row>
    <row r="538" spans="1:66" ht="13.15"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v>5</v>
      </c>
      <c r="AD538" s="1662"/>
      <c r="AE538" s="1662"/>
      <c r="AF538" s="1662"/>
      <c r="AG538" s="38" t="s">
        <v>403</v>
      </c>
      <c r="AH538" s="1402">
        <v>2026</v>
      </c>
      <c r="AI538" s="1402"/>
      <c r="AJ538" s="1402"/>
      <c r="AK538" s="1403"/>
      <c r="AZ538" s="3"/>
      <c r="BA538" s="3"/>
      <c r="BB538" s="3"/>
      <c r="BC538" s="3"/>
      <c r="BD538" s="3"/>
      <c r="BE538" s="3"/>
      <c r="BF538" s="3"/>
      <c r="BG538" s="3"/>
      <c r="BH538" s="3"/>
      <c r="BI538" s="3"/>
      <c r="BJ538" s="3"/>
      <c r="BK538" s="3"/>
      <c r="BL538" s="3"/>
      <c r="BM538" s="3"/>
      <c r="BN538" s="3"/>
    </row>
    <row r="539" spans="1:66" ht="13.15" customHeight="1">
      <c r="B539" s="1672"/>
      <c r="C539" s="1432"/>
      <c r="D539" s="1432"/>
      <c r="E539" s="1432"/>
      <c r="F539" s="1432"/>
      <c r="G539" s="1432"/>
      <c r="H539" s="1433"/>
      <c r="I539" t="s">
        <v>563</v>
      </c>
      <c r="AC539" s="1661">
        <v>5</v>
      </c>
      <c r="AD539" s="1662"/>
      <c r="AE539" s="1662"/>
      <c r="AF539" s="1662"/>
      <c r="AG539" s="13" t="s">
        <v>403</v>
      </c>
      <c r="AH539" s="1402">
        <v>2026</v>
      </c>
      <c r="AI539" s="1402"/>
      <c r="AJ539" s="1402"/>
      <c r="AK539" s="1403"/>
      <c r="AZ539" s="3"/>
      <c r="BA539" s="3"/>
      <c r="BB539" s="3"/>
      <c r="BC539" s="3"/>
      <c r="BD539" s="3"/>
      <c r="BE539" s="3"/>
      <c r="BF539" s="3"/>
      <c r="BG539" s="3"/>
      <c r="BH539" s="3"/>
      <c r="BI539" s="3"/>
      <c r="BJ539" s="3"/>
      <c r="BK539" s="3"/>
      <c r="BL539" s="3"/>
      <c r="BM539" s="3"/>
      <c r="BN539" s="3"/>
    </row>
    <row r="540" spans="1:66" ht="13.15" customHeight="1">
      <c r="B540" s="1672"/>
      <c r="C540" s="1432"/>
      <c r="D540" s="1432"/>
      <c r="E540" s="1432"/>
      <c r="F540" s="1432"/>
      <c r="G540" s="1432"/>
      <c r="H540" s="1433"/>
      <c r="I540" t="s">
        <v>564</v>
      </c>
      <c r="AC540" s="1661">
        <v>11</v>
      </c>
      <c r="AD540" s="1662"/>
      <c r="AE540" s="1662"/>
      <c r="AF540" s="1662"/>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3.15" customHeight="1">
      <c r="B541" s="1672"/>
      <c r="C541" s="1432"/>
      <c r="D541" s="1432"/>
      <c r="E541" s="1432"/>
      <c r="F541" s="1432"/>
      <c r="G541" s="1432"/>
      <c r="H541" s="1433"/>
      <c r="I541" t="s">
        <v>565</v>
      </c>
      <c r="AC541" s="1661">
        <v>11</v>
      </c>
      <c r="AD541" s="1662"/>
      <c r="AE541" s="1662"/>
      <c r="AF541" s="1662"/>
      <c r="AG541" s="38" t="s">
        <v>403</v>
      </c>
      <c r="AH541" s="1402">
        <v>2027</v>
      </c>
      <c r="AI541" s="1402"/>
      <c r="AJ541" s="1402"/>
      <c r="AK541" s="1403"/>
      <c r="AZ541" s="3"/>
      <c r="BA541" s="3"/>
      <c r="BB541" s="3"/>
      <c r="BC541" s="3"/>
      <c r="BD541" s="3"/>
      <c r="BE541" s="3"/>
      <c r="BF541" s="3"/>
      <c r="BG541" s="3"/>
      <c r="BH541" s="3"/>
      <c r="BI541" s="3"/>
      <c r="BJ541" s="3"/>
      <c r="BK541" s="3"/>
      <c r="BL541" s="3"/>
      <c r="BM541" s="3"/>
      <c r="BN541" s="3"/>
    </row>
    <row r="542" spans="1:66" ht="13.15"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1</v>
      </c>
      <c r="AD542" s="1662"/>
      <c r="AE542" s="1662"/>
      <c r="AF542" s="1662"/>
      <c r="AG542" s="38" t="s">
        <v>403</v>
      </c>
      <c r="AH542" s="1402">
        <v>2028</v>
      </c>
      <c r="AI542" s="1402"/>
      <c r="AJ542" s="1402"/>
      <c r="AK542" s="1403"/>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319</v>
      </c>
      <c r="B547" s="2"/>
      <c r="C547" s="2" t="s">
        <v>452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2099</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Yes</v>
      </c>
    </row>
    <row r="551" spans="1:61" ht="13.15" customHeight="1">
      <c r="B551" s="1671" t="s">
        <v>2101</v>
      </c>
      <c r="C551" s="1430"/>
      <c r="D551" s="1430"/>
      <c r="E551" s="1430"/>
      <c r="F551" s="1430"/>
      <c r="G551" s="1430"/>
      <c r="H551" s="1430"/>
      <c r="I551" s="1430"/>
      <c r="J551" s="1430"/>
      <c r="K551" s="1430"/>
      <c r="L551" s="1431"/>
      <c r="M551" s="1671" t="s">
        <v>2102</v>
      </c>
      <c r="N551" s="1430"/>
      <c r="O551" s="1430"/>
      <c r="P551" s="1431"/>
      <c r="Q551" s="1671" t="s">
        <v>2128</v>
      </c>
      <c r="R551" s="1430"/>
      <c r="S551" s="1431"/>
      <c r="T551" s="1671" t="s">
        <v>2129</v>
      </c>
      <c r="U551" s="1430"/>
      <c r="V551" s="1431"/>
      <c r="W551" s="1671" t="s">
        <v>453</v>
      </c>
      <c r="X551" s="1430"/>
      <c r="Y551" s="1431"/>
      <c r="Z551" s="1671" t="s">
        <v>1850</v>
      </c>
      <c r="AA551" s="1430"/>
      <c r="AB551" s="1430"/>
      <c r="AC551" s="1430"/>
      <c r="AD551" s="1431"/>
      <c r="AE551" s="1671" t="s">
        <v>1675</v>
      </c>
      <c r="AF551" s="1430"/>
      <c r="AG551" s="1430"/>
      <c r="AH551" s="1431"/>
      <c r="AI551" s="1671" t="s">
        <v>1676</v>
      </c>
      <c r="AJ551" s="1430"/>
      <c r="AK551" s="1430"/>
      <c r="AL551" s="1431"/>
      <c r="AM551" s="1671" t="s">
        <v>454</v>
      </c>
      <c r="AN551" s="1430"/>
      <c r="AO551" s="1430"/>
      <c r="AP551" s="1430"/>
      <c r="AQ551" s="1430"/>
      <c r="AR551" s="1430"/>
      <c r="AS551" s="1431"/>
      <c r="BB551" s="3"/>
      <c r="BC551" s="3"/>
      <c r="BD551" s="3"/>
      <c r="BE551" s="3"/>
      <c r="BF551" s="3"/>
      <c r="BG551" s="3"/>
      <c r="BH551" s="3" t="s">
        <v>581</v>
      </c>
      <c r="BI551" s="3" t="str">
        <f>AG657</f>
        <v>Yes</v>
      </c>
    </row>
    <row r="552" spans="1:61" ht="13.1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7"/>
      <c r="BB552" s="3"/>
      <c r="BC552" s="3"/>
      <c r="BD552" s="3"/>
      <c r="BE552" s="3"/>
      <c r="BF552" s="3"/>
      <c r="BG552" s="3"/>
      <c r="BH552" s="3"/>
      <c r="BI552" s="3"/>
    </row>
    <row r="553" spans="1:61" ht="13.1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7"/>
      <c r="BB553" s="3"/>
      <c r="BC553" s="3"/>
      <c r="BD553" s="3"/>
      <c r="BE553" s="3"/>
      <c r="BF553" s="3"/>
      <c r="BG553" s="3"/>
      <c r="BH553" s="3"/>
      <c r="BI553" s="3"/>
    </row>
    <row r="554" spans="1:61" ht="13.15" customHeight="1">
      <c r="B554" s="51" t="s">
        <v>112</v>
      </c>
      <c r="C554" s="1692" t="s">
        <v>2749</v>
      </c>
      <c r="D554" s="1692"/>
      <c r="E554" s="1692"/>
      <c r="F554" s="1692"/>
      <c r="G554" s="1692"/>
      <c r="H554" s="1692"/>
      <c r="I554" s="1692"/>
      <c r="J554" s="1692"/>
      <c r="K554" s="1692"/>
      <c r="L554" s="1692"/>
      <c r="M554" s="1692" t="s">
        <v>2118</v>
      </c>
      <c r="N554" s="1692"/>
      <c r="O554" s="1692"/>
      <c r="P554" s="1692"/>
      <c r="Q554" s="1452">
        <v>24</v>
      </c>
      <c r="R554" s="1452"/>
      <c r="S554" s="1453"/>
      <c r="T554" s="1451">
        <v>24</v>
      </c>
      <c r="U554" s="1452"/>
      <c r="V554" s="1453"/>
      <c r="W554" s="1454">
        <v>6.7000000000000004E-2</v>
      </c>
      <c r="X554" s="1455"/>
      <c r="Y554" s="1456"/>
      <c r="Z554" s="1693" t="s">
        <v>2710</v>
      </c>
      <c r="AA554" s="1693"/>
      <c r="AB554" s="1693"/>
      <c r="AC554" s="1693"/>
      <c r="AD554" s="1693"/>
      <c r="AE554" s="1674">
        <v>1</v>
      </c>
      <c r="AF554" s="1675"/>
      <c r="AG554" s="1675"/>
      <c r="AH554" s="1676"/>
      <c r="AI554" s="1677"/>
      <c r="AJ554" s="1678"/>
      <c r="AK554" s="1678"/>
      <c r="AL554" s="1679"/>
      <c r="AM554" s="1667">
        <v>21000000</v>
      </c>
      <c r="AN554" s="1668"/>
      <c r="AO554" s="1668"/>
      <c r="AP554" s="1668"/>
      <c r="AQ554" s="1668"/>
      <c r="AR554" s="1668"/>
      <c r="AS554" s="1669"/>
      <c r="AT554" s="1148"/>
      <c r="AU554" s="1147"/>
      <c r="BB554" s="3"/>
      <c r="BC554" s="3"/>
      <c r="BD554" s="3"/>
      <c r="BE554" s="3"/>
      <c r="BF554" s="3"/>
      <c r="BG554" s="3"/>
      <c r="BH554" s="3"/>
      <c r="BI554" s="3"/>
    </row>
    <row r="555" spans="1:61" ht="13.15" customHeight="1">
      <c r="B555" s="52" t="s">
        <v>113</v>
      </c>
      <c r="C555" s="1680" t="s">
        <v>2750</v>
      </c>
      <c r="D555" s="1680"/>
      <c r="E555" s="1680"/>
      <c r="F555" s="1680"/>
      <c r="G555" s="1680"/>
      <c r="H555" s="1680"/>
      <c r="I555" s="1680"/>
      <c r="J555" s="1680"/>
      <c r="K555" s="1680"/>
      <c r="L555" s="1680"/>
      <c r="M555" s="1692" t="s">
        <v>2117</v>
      </c>
      <c r="N555" s="1692"/>
      <c r="O555" s="1692"/>
      <c r="P555" s="1692"/>
      <c r="Q555" s="1451">
        <v>24</v>
      </c>
      <c r="R555" s="1452"/>
      <c r="S555" s="1453"/>
      <c r="T555" s="1451">
        <v>24</v>
      </c>
      <c r="U555" s="1452"/>
      <c r="V555" s="1453"/>
      <c r="W555" s="1454">
        <v>6.7000000000000004E-2</v>
      </c>
      <c r="X555" s="1455"/>
      <c r="Y555" s="1456"/>
      <c r="Z555" s="1693" t="s">
        <v>2710</v>
      </c>
      <c r="AA555" s="1693"/>
      <c r="AB555" s="1693"/>
      <c r="AC555" s="1693"/>
      <c r="AD555" s="1693"/>
      <c r="AE555" s="1674">
        <v>2</v>
      </c>
      <c r="AF555" s="1675"/>
      <c r="AG555" s="1675"/>
      <c r="AH555" s="1676"/>
      <c r="AI555" s="1677"/>
      <c r="AJ555" s="1678"/>
      <c r="AK555" s="1678"/>
      <c r="AL555" s="1679"/>
      <c r="AM555" s="1667">
        <v>9998294</v>
      </c>
      <c r="AN555" s="1668"/>
      <c r="AO555" s="1668"/>
      <c r="AP555" s="1668"/>
      <c r="AQ555" s="1668"/>
      <c r="AR555" s="1668"/>
      <c r="AS555" s="1669"/>
      <c r="AT555" s="1148" t="str">
        <f>IF(AND(NOT(C554=""),C555="",NOT(C556="")),"!","")</f>
        <v/>
      </c>
      <c r="AU555" s="1147"/>
      <c r="BB555" s="3"/>
      <c r="BC555" s="3"/>
      <c r="BD555" s="3"/>
      <c r="BE555" s="3"/>
      <c r="BF555" s="3"/>
      <c r="BG555" s="3"/>
      <c r="BH555" s="3"/>
      <c r="BI555" s="3"/>
    </row>
    <row r="556" spans="1:61" ht="13.15" customHeight="1">
      <c r="B556" s="52" t="s">
        <v>119</v>
      </c>
      <c r="C556" s="1680" t="s">
        <v>2722</v>
      </c>
      <c r="D556" s="1680"/>
      <c r="E556" s="1680"/>
      <c r="F556" s="1680"/>
      <c r="G556" s="1680"/>
      <c r="H556" s="1680"/>
      <c r="I556" s="1680"/>
      <c r="J556" s="1680"/>
      <c r="K556" s="1680"/>
      <c r="L556" s="1680"/>
      <c r="M556" s="1692" t="s">
        <v>2115</v>
      </c>
      <c r="N556" s="1692"/>
      <c r="O556" s="1692"/>
      <c r="P556" s="1692"/>
      <c r="Q556" s="1451">
        <v>24</v>
      </c>
      <c r="R556" s="1452"/>
      <c r="S556" s="1453"/>
      <c r="T556" s="1451">
        <v>24</v>
      </c>
      <c r="U556" s="1452"/>
      <c r="V556" s="1453"/>
      <c r="W556" s="1454">
        <v>4.8599999999999997E-2</v>
      </c>
      <c r="X556" s="1455"/>
      <c r="Y556" s="1456"/>
      <c r="Z556" s="1693" t="s">
        <v>2711</v>
      </c>
      <c r="AA556" s="1693"/>
      <c r="AB556" s="1693"/>
      <c r="AC556" s="1693"/>
      <c r="AD556" s="1693"/>
      <c r="AE556" s="1674">
        <v>4</v>
      </c>
      <c r="AF556" s="1675"/>
      <c r="AG556" s="1675"/>
      <c r="AH556" s="1676"/>
      <c r="AI556" s="1677"/>
      <c r="AJ556" s="1678"/>
      <c r="AK556" s="1678"/>
      <c r="AL556" s="1679"/>
      <c r="AM556" s="1667">
        <v>27455593</v>
      </c>
      <c r="AN556" s="1668"/>
      <c r="AO556" s="1668"/>
      <c r="AP556" s="1668"/>
      <c r="AQ556" s="1668"/>
      <c r="AR556" s="1668"/>
      <c r="AS556" s="1669"/>
      <c r="AT556" s="1148" t="str">
        <f>IF(AND(NOT(C555=""),C556="",NOT(C557="")),"!","")</f>
        <v/>
      </c>
      <c r="AU556" s="1147"/>
      <c r="BB556" s="3"/>
      <c r="BC556" s="3"/>
      <c r="BD556" s="3"/>
      <c r="BE556" s="3"/>
      <c r="BF556" s="3"/>
      <c r="BG556" s="3"/>
      <c r="BH556" s="3"/>
      <c r="BI556" s="3"/>
    </row>
    <row r="557" spans="1:61" ht="13.15" customHeight="1">
      <c r="B557" s="52" t="s">
        <v>581</v>
      </c>
      <c r="C557" s="1680" t="s">
        <v>2751</v>
      </c>
      <c r="D557" s="1680"/>
      <c r="E557" s="1680"/>
      <c r="F557" s="1680"/>
      <c r="G557" s="1680"/>
      <c r="H557" s="1680"/>
      <c r="I557" s="1680"/>
      <c r="J557" s="1680"/>
      <c r="K557" s="1680"/>
      <c r="L557" s="1680"/>
      <c r="M557" s="1692" t="s">
        <v>2119</v>
      </c>
      <c r="N557" s="1692"/>
      <c r="O557" s="1692"/>
      <c r="P557" s="1692"/>
      <c r="Q557" s="1451">
        <v>24</v>
      </c>
      <c r="R557" s="1452"/>
      <c r="S557" s="1453"/>
      <c r="T557" s="1451">
        <v>24</v>
      </c>
      <c r="U557" s="1452"/>
      <c r="V557" s="1453"/>
      <c r="W557" s="1454">
        <v>6.7000000000000004E-2</v>
      </c>
      <c r="X557" s="1455"/>
      <c r="Y557" s="1456"/>
      <c r="Z557" s="1693" t="s">
        <v>2710</v>
      </c>
      <c r="AA557" s="1693"/>
      <c r="AB557" s="1693"/>
      <c r="AC557" s="1693"/>
      <c r="AD557" s="1693"/>
      <c r="AE557" s="1674">
        <v>3</v>
      </c>
      <c r="AF557" s="1675"/>
      <c r="AG557" s="1675"/>
      <c r="AH557" s="1676"/>
      <c r="AI557" s="1677"/>
      <c r="AJ557" s="1678"/>
      <c r="AK557" s="1678"/>
      <c r="AL557" s="1679"/>
      <c r="AM557" s="1667">
        <v>7000000</v>
      </c>
      <c r="AN557" s="1668"/>
      <c r="AO557" s="1668"/>
      <c r="AP557" s="1668"/>
      <c r="AQ557" s="1668"/>
      <c r="AR557" s="1668"/>
      <c r="AS557" s="1669"/>
      <c r="AT557" s="1148" t="str">
        <f>IF(AND(NOT(C556=""),C557="",NOT(C558="")),"!","")</f>
        <v/>
      </c>
      <c r="AU557" s="1147"/>
      <c r="BB557" s="3"/>
      <c r="BC557" s="3"/>
      <c r="BD557" s="3"/>
      <c r="BE557" s="3"/>
      <c r="BF557" s="3"/>
      <c r="BG557" s="3"/>
      <c r="BH557" s="3"/>
      <c r="BI557" s="3"/>
    </row>
    <row r="558" spans="1:61" ht="13.15" customHeight="1">
      <c r="B558" s="52" t="s">
        <v>763</v>
      </c>
      <c r="C558" s="1680" t="s">
        <v>2103</v>
      </c>
      <c r="D558" s="1680"/>
      <c r="E558" s="1680"/>
      <c r="F558" s="1680"/>
      <c r="G558" s="1680"/>
      <c r="H558" s="1680"/>
      <c r="I558" s="1680"/>
      <c r="J558" s="1680"/>
      <c r="K558" s="1680"/>
      <c r="L558" s="1680"/>
      <c r="M558" s="1692" t="s">
        <v>2103</v>
      </c>
      <c r="N558" s="1692"/>
      <c r="O558" s="1692"/>
      <c r="P558" s="1692"/>
      <c r="Q558" s="1451"/>
      <c r="R558" s="1452"/>
      <c r="S558" s="1453"/>
      <c r="T558" s="1451"/>
      <c r="U558" s="1452"/>
      <c r="V558" s="1453"/>
      <c r="W558" s="1454"/>
      <c r="X558" s="1455"/>
      <c r="Y558" s="1456"/>
      <c r="Z558" s="1693"/>
      <c r="AA558" s="1693"/>
      <c r="AB558" s="1693"/>
      <c r="AC558" s="1693"/>
      <c r="AD558" s="1693"/>
      <c r="AE558" s="1674"/>
      <c r="AF558" s="1675"/>
      <c r="AG558" s="1675"/>
      <c r="AH558" s="1676"/>
      <c r="AI558" s="1677"/>
      <c r="AJ558" s="1678"/>
      <c r="AK558" s="1678"/>
      <c r="AL558" s="1679"/>
      <c r="AM558" s="1667">
        <v>2796749</v>
      </c>
      <c r="AN558" s="1668"/>
      <c r="AO558" s="1668"/>
      <c r="AP558" s="1668"/>
      <c r="AQ558" s="1668"/>
      <c r="AR558" s="1668"/>
      <c r="AS558" s="1669"/>
      <c r="AT558" s="1148" t="str">
        <f t="shared" ref="AT558:AT565" si="0">IF(AND(NOT(C557=""),C558="",NOT(C559="")),"!","")</f>
        <v/>
      </c>
      <c r="AU558" s="1147"/>
      <c r="BB558" s="3"/>
      <c r="BC558" s="3"/>
      <c r="BD558" s="3"/>
      <c r="BE558" s="3"/>
      <c r="BF558" s="3"/>
      <c r="BG558" s="3"/>
      <c r="BH558" s="3" t="s">
        <v>763</v>
      </c>
      <c r="BI558" s="3" t="str">
        <f>N665</f>
        <v>Yes</v>
      </c>
    </row>
    <row r="559" spans="1:61" ht="13.15" customHeight="1">
      <c r="B559" s="52" t="s">
        <v>584</v>
      </c>
      <c r="C559" s="1680" t="s">
        <v>2709</v>
      </c>
      <c r="D559" s="1680"/>
      <c r="E559" s="1680"/>
      <c r="F559" s="1680"/>
      <c r="G559" s="1680"/>
      <c r="H559" s="1680"/>
      <c r="I559" s="1680"/>
      <c r="J559" s="1680"/>
      <c r="K559" s="1680"/>
      <c r="L559" s="1680"/>
      <c r="M559" s="1692" t="s">
        <v>2104</v>
      </c>
      <c r="N559" s="1692"/>
      <c r="O559" s="1692"/>
      <c r="P559" s="1692"/>
      <c r="Q559" s="1451"/>
      <c r="R559" s="1452"/>
      <c r="S559" s="1453"/>
      <c r="T559" s="1451"/>
      <c r="U559" s="1452"/>
      <c r="V559" s="1453"/>
      <c r="W559" s="1454"/>
      <c r="X559" s="1455"/>
      <c r="Y559" s="1456"/>
      <c r="Z559" s="1693"/>
      <c r="AA559" s="1693"/>
      <c r="AB559" s="1693"/>
      <c r="AC559" s="1693"/>
      <c r="AD559" s="1693"/>
      <c r="AE559" s="1674"/>
      <c r="AF559" s="1675"/>
      <c r="AG559" s="1675"/>
      <c r="AH559" s="1676"/>
      <c r="AI559" s="1677"/>
      <c r="AJ559" s="1678"/>
      <c r="AK559" s="1678"/>
      <c r="AL559" s="1679"/>
      <c r="AM559" s="1667">
        <v>3494104.28</v>
      </c>
      <c r="AN559" s="1668"/>
      <c r="AO559" s="1668"/>
      <c r="AP559" s="1668"/>
      <c r="AQ559" s="1668"/>
      <c r="AR559" s="1668"/>
      <c r="AS559" s="1669"/>
      <c r="AT559" s="1148" t="str">
        <f t="shared" si="0"/>
        <v/>
      </c>
      <c r="AU559" s="1147"/>
      <c r="BB559" s="3"/>
      <c r="BC559" s="3"/>
      <c r="BD559" s="3"/>
      <c r="BE559" s="3"/>
      <c r="BF559" s="3"/>
      <c r="BG559" s="3"/>
      <c r="BH559" s="3" t="s">
        <v>584</v>
      </c>
      <c r="BI559" s="3">
        <f>AG665</f>
        <v>0</v>
      </c>
    </row>
    <row r="560" spans="1:61" ht="13.15" customHeight="1">
      <c r="B560" s="52" t="s">
        <v>455</v>
      </c>
      <c r="C560" s="1680" t="s">
        <v>2319</v>
      </c>
      <c r="D560" s="1680"/>
      <c r="E560" s="1680"/>
      <c r="F560" s="1680"/>
      <c r="G560" s="1680"/>
      <c r="H560" s="1680"/>
      <c r="I560" s="1680"/>
      <c r="J560" s="1680"/>
      <c r="K560" s="1680"/>
      <c r="L560" s="1680"/>
      <c r="M560" s="1692" t="s">
        <v>2105</v>
      </c>
      <c r="N560" s="1692"/>
      <c r="O560" s="1692"/>
      <c r="P560" s="1692"/>
      <c r="Q560" s="1451"/>
      <c r="R560" s="1452"/>
      <c r="S560" s="1453"/>
      <c r="T560" s="1451"/>
      <c r="U560" s="1452"/>
      <c r="V560" s="1453"/>
      <c r="W560" s="1454"/>
      <c r="X560" s="1455"/>
      <c r="Y560" s="1456"/>
      <c r="Z560" s="1693"/>
      <c r="AA560" s="1693"/>
      <c r="AB560" s="1693"/>
      <c r="AC560" s="1693"/>
      <c r="AD560" s="1693"/>
      <c r="AE560" s="1674"/>
      <c r="AF560" s="1675"/>
      <c r="AG560" s="1675"/>
      <c r="AH560" s="1676"/>
      <c r="AI560" s="1677"/>
      <c r="AJ560" s="1678"/>
      <c r="AK560" s="1678"/>
      <c r="AL560" s="1679"/>
      <c r="AM560" s="1667">
        <v>2437493.6</v>
      </c>
      <c r="AN560" s="1668"/>
      <c r="AO560" s="1668"/>
      <c r="AP560" s="1668"/>
      <c r="AQ560" s="1668"/>
      <c r="AR560" s="1668"/>
      <c r="AS560" s="1669"/>
      <c r="AT560" s="1148" t="str">
        <f t="shared" si="0"/>
        <v/>
      </c>
      <c r="AU560" s="1147"/>
      <c r="BB560" s="3"/>
      <c r="BC560" s="3"/>
      <c r="BD560" s="3"/>
      <c r="BE560" s="3"/>
      <c r="BF560" s="3"/>
      <c r="BG560" s="3"/>
      <c r="BH560" s="3"/>
      <c r="BI560" s="3"/>
    </row>
    <row r="561" spans="1:61" ht="13.15" customHeight="1">
      <c r="B561" s="52" t="s">
        <v>456</v>
      </c>
      <c r="C561" s="1680" t="s">
        <v>2733</v>
      </c>
      <c r="D561" s="1680"/>
      <c r="E561" s="1680"/>
      <c r="F561" s="1680"/>
      <c r="G561" s="1680"/>
      <c r="H561" s="1680"/>
      <c r="I561" s="1680"/>
      <c r="J561" s="1680"/>
      <c r="K561" s="1680"/>
      <c r="L561" s="1680"/>
      <c r="M561" s="1692" t="s">
        <v>2734</v>
      </c>
      <c r="N561" s="1692"/>
      <c r="O561" s="1692"/>
      <c r="P561" s="1692"/>
      <c r="Q561" s="1451"/>
      <c r="R561" s="1452"/>
      <c r="S561" s="1453"/>
      <c r="T561" s="1451"/>
      <c r="U561" s="1452"/>
      <c r="V561" s="1453"/>
      <c r="W561" s="1454"/>
      <c r="X561" s="1455"/>
      <c r="Y561" s="1456"/>
      <c r="Z561" s="1693"/>
      <c r="AA561" s="1693"/>
      <c r="AB561" s="1693"/>
      <c r="AC561" s="1693"/>
      <c r="AD561" s="1693"/>
      <c r="AE561" s="1674"/>
      <c r="AF561" s="1675"/>
      <c r="AG561" s="1675"/>
      <c r="AH561" s="1676"/>
      <c r="AI561" s="1677"/>
      <c r="AJ561" s="1678"/>
      <c r="AK561" s="1678"/>
      <c r="AL561" s="1679"/>
      <c r="AM561" s="1667">
        <v>2257040</v>
      </c>
      <c r="AN561" s="1668"/>
      <c r="AO561" s="1668"/>
      <c r="AP561" s="1668"/>
      <c r="AQ561" s="1668"/>
      <c r="AR561" s="1668"/>
      <c r="AS561" s="1669"/>
      <c r="AT561" s="1148" t="str">
        <f t="shared" si="0"/>
        <v/>
      </c>
      <c r="AU561" s="1147"/>
      <c r="BB561" s="3"/>
      <c r="BC561" s="3"/>
      <c r="BD561" s="3"/>
      <c r="BE561" s="3"/>
      <c r="BF561" s="3"/>
      <c r="BG561" s="3"/>
      <c r="BH561" s="3"/>
      <c r="BI561" s="3"/>
    </row>
    <row r="562" spans="1:61" ht="13.15" customHeight="1">
      <c r="B562" s="52" t="s">
        <v>461</v>
      </c>
      <c r="C562" s="1680"/>
      <c r="D562" s="1680"/>
      <c r="E562" s="1680"/>
      <c r="F562" s="1680"/>
      <c r="G562" s="1680"/>
      <c r="H562" s="1680"/>
      <c r="I562" s="1680"/>
      <c r="J562" s="1680"/>
      <c r="K562" s="1680"/>
      <c r="L562" s="1680"/>
      <c r="M562" s="1692"/>
      <c r="N562" s="1692"/>
      <c r="O562" s="1692"/>
      <c r="P562" s="1692"/>
      <c r="Q562" s="1451"/>
      <c r="R562" s="1452"/>
      <c r="S562" s="1453"/>
      <c r="T562" s="1451"/>
      <c r="U562" s="1452"/>
      <c r="V562" s="1453"/>
      <c r="W562" s="1454"/>
      <c r="X562" s="1455"/>
      <c r="Y562" s="1456"/>
      <c r="Z562" s="1693"/>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8" t="str">
        <f t="shared" si="0"/>
        <v/>
      </c>
      <c r="AU562" s="1147"/>
      <c r="BB562" s="3"/>
      <c r="BC562" s="3"/>
      <c r="BD562" s="3"/>
      <c r="BE562" s="3"/>
      <c r="BF562" s="3"/>
      <c r="BG562" s="3"/>
      <c r="BH562" s="3"/>
      <c r="BI562" s="3"/>
    </row>
    <row r="563" spans="1:61" ht="13.15" customHeight="1">
      <c r="B563" s="52" t="s">
        <v>646</v>
      </c>
      <c r="C563" s="1680"/>
      <c r="D563" s="1680"/>
      <c r="E563" s="1680"/>
      <c r="F563" s="1680"/>
      <c r="G563" s="1680"/>
      <c r="H563" s="1680"/>
      <c r="I563" s="1680"/>
      <c r="J563" s="1680"/>
      <c r="K563" s="1680"/>
      <c r="L563" s="1680"/>
      <c r="M563" s="1692"/>
      <c r="N563" s="1692"/>
      <c r="O563" s="1692"/>
      <c r="P563" s="1692"/>
      <c r="Q563" s="1451"/>
      <c r="R563" s="1452"/>
      <c r="S563" s="1453"/>
      <c r="T563" s="1451"/>
      <c r="U563" s="1452"/>
      <c r="V563" s="1453"/>
      <c r="W563" s="1454"/>
      <c r="X563" s="1455"/>
      <c r="Y563" s="1456"/>
      <c r="Z563" s="1693"/>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8" t="str">
        <f t="shared" si="0"/>
        <v/>
      </c>
      <c r="BB563" s="3"/>
      <c r="BC563" s="3"/>
      <c r="BD563" s="3"/>
      <c r="BE563" s="3"/>
      <c r="BF563" s="3"/>
      <c r="BG563" s="3"/>
      <c r="BH563" s="3"/>
      <c r="BI563" s="3"/>
    </row>
    <row r="564" spans="1:61" ht="13.15" customHeight="1">
      <c r="B564" s="52" t="s">
        <v>362</v>
      </c>
      <c r="C564" s="1680"/>
      <c r="D564" s="1680"/>
      <c r="E564" s="1680"/>
      <c r="F564" s="1680"/>
      <c r="G564" s="1680"/>
      <c r="H564" s="1680"/>
      <c r="I564" s="1680"/>
      <c r="J564" s="1680"/>
      <c r="K564" s="1680"/>
      <c r="L564" s="1680"/>
      <c r="M564" s="1692"/>
      <c r="N564" s="1692"/>
      <c r="O564" s="1692"/>
      <c r="P564" s="1692"/>
      <c r="Q564" s="1451"/>
      <c r="R564" s="1452"/>
      <c r="S564" s="1453"/>
      <c r="T564" s="1451"/>
      <c r="U564" s="1452"/>
      <c r="V564" s="1453"/>
      <c r="W564" s="1454"/>
      <c r="X564" s="1455"/>
      <c r="Y564" s="1456"/>
      <c r="Z564" s="1693"/>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8" t="str">
        <f t="shared" si="0"/>
        <v/>
      </c>
      <c r="BB564" s="3"/>
      <c r="BC564" s="3"/>
      <c r="BD564" s="3"/>
      <c r="BE564" s="3"/>
      <c r="BF564" s="3"/>
      <c r="BG564" s="3"/>
      <c r="BH564" s="3"/>
      <c r="BI564" s="3"/>
    </row>
    <row r="565" spans="1:61" ht="13.15" customHeight="1">
      <c r="B565" s="52" t="s">
        <v>363</v>
      </c>
      <c r="C565" s="1680"/>
      <c r="D565" s="1680"/>
      <c r="E565" s="1680"/>
      <c r="F565" s="1680"/>
      <c r="G565" s="1680"/>
      <c r="H565" s="1680"/>
      <c r="I565" s="1680"/>
      <c r="J565" s="1680"/>
      <c r="K565" s="1680"/>
      <c r="L565" s="1680"/>
      <c r="M565" s="1692"/>
      <c r="N565" s="1692"/>
      <c r="O565" s="1692"/>
      <c r="P565" s="1692"/>
      <c r="Q565" s="1451"/>
      <c r="R565" s="1452"/>
      <c r="S565" s="1453"/>
      <c r="T565" s="1451"/>
      <c r="U565" s="1452"/>
      <c r="V565" s="1453"/>
      <c r="W565" s="1454"/>
      <c r="X565" s="1455"/>
      <c r="Y565" s="1456"/>
      <c r="Z565" s="1693"/>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8" t="str">
        <f t="shared" si="0"/>
        <v/>
      </c>
      <c r="BB565" s="3"/>
      <c r="BC565" s="3"/>
      <c r="BD565" s="3"/>
      <c r="BE565" s="3"/>
      <c r="BF565" s="3"/>
      <c r="BG565" s="3"/>
      <c r="BH565" s="3"/>
      <c r="BI565" s="3"/>
    </row>
    <row r="566" spans="1:61" ht="13.1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76439273.879999995</v>
      </c>
      <c r="AN566" s="1615"/>
      <c r="AO566" s="1615"/>
      <c r="AP566" s="1615"/>
      <c r="AQ566" s="1615"/>
      <c r="AR566" s="1615"/>
      <c r="AS566" s="1616"/>
      <c r="BB566" s="3"/>
      <c r="BC566" s="3"/>
      <c r="BD566" s="3"/>
      <c r="BE566" s="3"/>
      <c r="BF566" s="3"/>
      <c r="BG566" s="3"/>
      <c r="BH566" s="3" t="s">
        <v>455</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15" customHeight="1">
      <c r="A568" s="55" t="s">
        <v>112</v>
      </c>
      <c r="B568" t="s">
        <v>463</v>
      </c>
      <c r="G568" s="1358" t="str">
        <f>C554</f>
        <v>JP Morgan Chase Tax-Exempt Construction Loan</v>
      </c>
      <c r="H568" s="1358"/>
      <c r="I568" s="1358"/>
      <c r="J568" s="1358"/>
      <c r="K568" s="1358"/>
      <c r="L568" s="1358"/>
      <c r="M568" s="1358"/>
      <c r="N568" s="1358"/>
      <c r="O568" s="1358"/>
      <c r="P568" s="1358"/>
      <c r="Q568" s="1358"/>
      <c r="R568" s="1358"/>
      <c r="S568" s="8"/>
      <c r="T568" s="55" t="s">
        <v>113</v>
      </c>
      <c r="U568" t="s">
        <v>463</v>
      </c>
      <c r="Z568" s="1358" t="str">
        <f>C555</f>
        <v>JP Morgan Chase Taxable Tail Loan</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15" customHeight="1">
      <c r="A569" s="22"/>
      <c r="B569" t="s">
        <v>85</v>
      </c>
      <c r="G569" s="1371" t="s">
        <v>2754</v>
      </c>
      <c r="H569" s="1371"/>
      <c r="I569" s="1371"/>
      <c r="J569" s="1371"/>
      <c r="K569" s="1371"/>
      <c r="L569" s="1371"/>
      <c r="M569" s="1371"/>
      <c r="N569" s="1371"/>
      <c r="O569" s="1371"/>
      <c r="P569" s="1371"/>
      <c r="Q569" s="1371"/>
      <c r="R569" s="1371"/>
      <c r="S569" s="8"/>
      <c r="T569" s="22"/>
      <c r="U569" t="s">
        <v>85</v>
      </c>
      <c r="Z569" s="1371" t="s">
        <v>2754</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15" customHeight="1">
      <c r="A570" s="22"/>
      <c r="B570" t="s">
        <v>580</v>
      </c>
      <c r="G570" s="1371" t="s">
        <v>730</v>
      </c>
      <c r="H570" s="1371"/>
      <c r="I570" s="1371"/>
      <c r="J570" s="1371"/>
      <c r="K570" s="1371"/>
      <c r="L570" s="1371"/>
      <c r="M570" s="1371"/>
      <c r="N570" s="1371"/>
      <c r="O570" s="1371"/>
      <c r="P570" s="1371"/>
      <c r="Q570" s="1371"/>
      <c r="R570" s="1371"/>
      <c r="T570" s="22"/>
      <c r="U570" t="s">
        <v>580</v>
      </c>
      <c r="Z570" s="1348" t="s">
        <v>730</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15" customHeight="1">
      <c r="A571" s="22"/>
      <c r="B571" t="s">
        <v>17</v>
      </c>
      <c r="G571" s="1371" t="s">
        <v>2753</v>
      </c>
      <c r="H571" s="1371"/>
      <c r="I571" s="1371"/>
      <c r="J571" s="1371"/>
      <c r="K571" s="1371"/>
      <c r="L571" s="1371"/>
      <c r="M571" s="1371"/>
      <c r="N571" s="1371"/>
      <c r="O571" s="1371"/>
      <c r="P571" s="1371"/>
      <c r="Q571" s="1371"/>
      <c r="R571" s="1371"/>
      <c r="S571" s="8"/>
      <c r="T571" s="22"/>
      <c r="U571" t="s">
        <v>17</v>
      </c>
      <c r="Z571" s="1348" t="s">
        <v>2753</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15" customHeight="1">
      <c r="A572" s="22"/>
      <c r="B572" t="s">
        <v>316</v>
      </c>
      <c r="G572" s="1779" t="s">
        <v>2755</v>
      </c>
      <c r="H572" s="1346"/>
      <c r="I572" s="1346"/>
      <c r="J572" s="1346"/>
      <c r="K572" s="1346"/>
      <c r="L572" s="1346"/>
      <c r="O572" s="33" t="s">
        <v>206</v>
      </c>
      <c r="P572" s="1436"/>
      <c r="Q572" s="1436"/>
      <c r="R572" s="1436"/>
      <c r="S572" s="10"/>
      <c r="T572" s="22"/>
      <c r="U572" t="s">
        <v>316</v>
      </c>
      <c r="Z572" s="1346" t="s">
        <v>2755</v>
      </c>
      <c r="AA572" s="1346"/>
      <c r="AB572" s="1346"/>
      <c r="AC572" s="1346"/>
      <c r="AD572" s="1346"/>
      <c r="AE572" s="1346"/>
      <c r="AH572" s="33" t="s">
        <v>206</v>
      </c>
      <c r="AI572" s="1436"/>
      <c r="AJ572" s="1436"/>
      <c r="AK572" s="1436"/>
      <c r="BB572" s="3"/>
      <c r="BC572" s="3"/>
      <c r="BD572" s="3"/>
      <c r="BE572" s="3"/>
      <c r="BF572" s="3"/>
      <c r="BG572" s="3"/>
      <c r="BH572" s="3"/>
      <c r="BI572" s="3"/>
    </row>
    <row r="573" spans="1:61" ht="13.15" customHeight="1">
      <c r="A573" s="22"/>
      <c r="B573" t="s">
        <v>18</v>
      </c>
      <c r="H573" s="1371" t="s">
        <v>2713</v>
      </c>
      <c r="I573" s="1371"/>
      <c r="J573" s="1371"/>
      <c r="K573" s="1371"/>
      <c r="L573" s="1371"/>
      <c r="M573" s="1371"/>
      <c r="N573" s="1371"/>
      <c r="O573" s="1371"/>
      <c r="P573" s="1371"/>
      <c r="Q573" s="1371"/>
      <c r="R573" s="1371"/>
      <c r="S573" s="8"/>
      <c r="T573" s="22"/>
      <c r="U573" t="s">
        <v>18</v>
      </c>
      <c r="AA573" s="1371" t="s">
        <v>2747</v>
      </c>
      <c r="AB573" s="1371"/>
      <c r="AC573" s="1371"/>
      <c r="AD573" s="1371"/>
      <c r="AE573" s="1371"/>
      <c r="AF573" s="1371"/>
      <c r="AG573" s="1371"/>
      <c r="AH573" s="1371"/>
      <c r="AI573" s="1371"/>
      <c r="AJ573" s="1371"/>
      <c r="AK573" s="1371"/>
      <c r="BB573" s="3"/>
      <c r="BC573" s="3"/>
      <c r="BD573" s="3"/>
      <c r="BE573" s="3"/>
      <c r="BF573" s="3"/>
      <c r="BG573" s="3"/>
      <c r="BH573" s="3"/>
      <c r="BI573" s="3"/>
    </row>
    <row r="574" spans="1:61" ht="13.15" customHeight="1">
      <c r="A574" s="22"/>
      <c r="B574" s="320" t="s">
        <v>1184</v>
      </c>
      <c r="H574" s="8"/>
      <c r="I574" s="8"/>
      <c r="J574" s="8"/>
      <c r="K574" s="8"/>
      <c r="L574" s="8"/>
      <c r="M574" s="1695" t="s">
        <v>2714</v>
      </c>
      <c r="N574" s="1695"/>
      <c r="O574" s="1695"/>
      <c r="P574" s="1695"/>
      <c r="Q574" s="1695"/>
      <c r="R574" s="1695"/>
      <c r="S574" s="8"/>
      <c r="T574" s="22"/>
      <c r="U574" s="320" t="s">
        <v>1184</v>
      </c>
      <c r="AA574" s="8"/>
      <c r="AB574" s="8"/>
      <c r="AC574" s="8"/>
      <c r="AD574" s="8"/>
      <c r="AE574" s="8"/>
      <c r="AF574" s="1695" t="str">
        <f>+M574</f>
        <v>1-month Term SOFR</v>
      </c>
      <c r="AG574" s="1695"/>
      <c r="AH574" s="1695"/>
      <c r="AI574" s="1695"/>
      <c r="AJ574" s="1695"/>
      <c r="AK574" s="1695"/>
      <c r="BB574" s="3"/>
      <c r="BC574" s="3"/>
      <c r="BD574" s="3"/>
      <c r="BE574" s="3"/>
      <c r="BF574" s="3"/>
      <c r="BG574" s="3"/>
      <c r="BH574" s="3"/>
      <c r="BI574" s="3"/>
    </row>
    <row r="575" spans="1:61" ht="13.15" customHeight="1">
      <c r="A575" s="22"/>
      <c r="B575" t="s">
        <v>20</v>
      </c>
      <c r="N575" s="1332" t="s">
        <v>545</v>
      </c>
      <c r="O575" s="1332"/>
      <c r="T575" s="22"/>
      <c r="U575" t="s">
        <v>20</v>
      </c>
      <c r="AG575" s="1332" t="s">
        <v>545</v>
      </c>
      <c r="AH575" s="1332"/>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463</v>
      </c>
      <c r="G577" s="1358" t="str">
        <f>C556</f>
        <v>Seller Carryback Loan</v>
      </c>
      <c r="H577" s="1358"/>
      <c r="I577" s="1358"/>
      <c r="J577" s="1358"/>
      <c r="K577" s="1358"/>
      <c r="L577" s="1358"/>
      <c r="M577" s="1358"/>
      <c r="N577" s="1358"/>
      <c r="O577" s="1358"/>
      <c r="P577" s="1358"/>
      <c r="Q577" s="1358"/>
      <c r="R577" s="1358"/>
      <c r="T577" s="55" t="s">
        <v>581</v>
      </c>
      <c r="U577" t="s">
        <v>463</v>
      </c>
      <c r="Z577" s="1358" t="str">
        <f>C557</f>
        <v>JP Morgan Chase Recycled Bonds</v>
      </c>
      <c r="AA577" s="1358"/>
      <c r="AB577" s="1358"/>
      <c r="AC577" s="1358"/>
      <c r="AD577" s="1358"/>
      <c r="AE577" s="1358"/>
      <c r="AF577" s="1358"/>
      <c r="AG577" s="1358"/>
      <c r="AH577" s="1358"/>
      <c r="AI577" s="1358"/>
      <c r="AJ577" s="1358"/>
      <c r="AK577" s="1358"/>
      <c r="BB577" s="3"/>
      <c r="BC577" s="3"/>
    </row>
    <row r="578" spans="1:55" ht="13.15" customHeight="1">
      <c r="A578" s="22"/>
      <c r="B578" t="s">
        <v>85</v>
      </c>
      <c r="G578" s="1371" t="s">
        <v>2716</v>
      </c>
      <c r="H578" s="1371"/>
      <c r="I578" s="1371"/>
      <c r="J578" s="1371"/>
      <c r="K578" s="1371"/>
      <c r="L578" s="1371"/>
      <c r="M578" s="1371"/>
      <c r="N578" s="1371"/>
      <c r="O578" s="1371"/>
      <c r="P578" s="1371"/>
      <c r="Q578" s="1371"/>
      <c r="R578" s="1371"/>
      <c r="T578" s="22"/>
      <c r="U578" t="s">
        <v>85</v>
      </c>
      <c r="Z578" s="1371" t="s">
        <v>2754</v>
      </c>
      <c r="AA578" s="1371"/>
      <c r="AB578" s="1371"/>
      <c r="AC578" s="1371"/>
      <c r="AD578" s="1371"/>
      <c r="AE578" s="1371"/>
      <c r="AF578" s="1371"/>
      <c r="AG578" s="1371"/>
      <c r="AH578" s="1371"/>
      <c r="AI578" s="1371"/>
      <c r="AJ578" s="1371"/>
      <c r="AK578" s="1371"/>
      <c r="BB578" s="3"/>
      <c r="BC578" s="3"/>
    </row>
    <row r="579" spans="1:55" ht="13.15" customHeight="1">
      <c r="A579" s="22"/>
      <c r="B579" t="s">
        <v>580</v>
      </c>
      <c r="G579" s="1348" t="s">
        <v>2624</v>
      </c>
      <c r="H579" s="1348"/>
      <c r="I579" s="1348"/>
      <c r="J579" s="1348"/>
      <c r="K579" s="1348"/>
      <c r="L579" s="1348"/>
      <c r="M579" s="1348"/>
      <c r="N579" s="1348"/>
      <c r="O579" s="1348"/>
      <c r="P579" s="1348"/>
      <c r="Q579" s="1348"/>
      <c r="R579" s="1348"/>
      <c r="T579" s="22"/>
      <c r="U579" t="s">
        <v>580</v>
      </c>
      <c r="Z579" s="1348" t="s">
        <v>730</v>
      </c>
      <c r="AA579" s="1348"/>
      <c r="AB579" s="1348"/>
      <c r="AC579" s="1348"/>
      <c r="AD579" s="1348"/>
      <c r="AE579" s="1348"/>
      <c r="AF579" s="1348"/>
      <c r="AG579" s="1348"/>
      <c r="AH579" s="1348"/>
      <c r="AI579" s="1348"/>
      <c r="AJ579" s="1348"/>
      <c r="AK579" s="1348"/>
      <c r="BB579" s="3"/>
      <c r="BC579" s="3"/>
    </row>
    <row r="580" spans="1:55" ht="13.15" customHeight="1">
      <c r="A580" s="22"/>
      <c r="B580" t="s">
        <v>17</v>
      </c>
      <c r="G580" s="1348" t="s">
        <v>2626</v>
      </c>
      <c r="H580" s="1348"/>
      <c r="I580" s="1348"/>
      <c r="J580" s="1348"/>
      <c r="K580" s="1348"/>
      <c r="L580" s="1348"/>
      <c r="M580" s="1348"/>
      <c r="N580" s="1348"/>
      <c r="O580" s="1348"/>
      <c r="P580" s="1348"/>
      <c r="Q580" s="1348"/>
      <c r="R580" s="1348"/>
      <c r="T580" s="22"/>
      <c r="U580" t="s">
        <v>17</v>
      </c>
      <c r="Z580" s="1348" t="s">
        <v>2753</v>
      </c>
      <c r="AA580" s="1348"/>
      <c r="AB580" s="1348"/>
      <c r="AC580" s="1348"/>
      <c r="AD580" s="1348"/>
      <c r="AE580" s="1348"/>
      <c r="AF580" s="1348"/>
      <c r="AG580" s="1348"/>
      <c r="AH580" s="1348"/>
      <c r="AI580" s="1348"/>
      <c r="AJ580" s="1348"/>
      <c r="AK580" s="1348"/>
      <c r="BB580" s="3"/>
      <c r="BC580" s="3"/>
    </row>
    <row r="581" spans="1:55" ht="13.15" customHeight="1">
      <c r="A581" s="22"/>
      <c r="B581" t="s">
        <v>316</v>
      </c>
      <c r="G581" s="1346" t="s">
        <v>2717</v>
      </c>
      <c r="H581" s="1346"/>
      <c r="I581" s="1346"/>
      <c r="J581" s="1346"/>
      <c r="K581" s="1346"/>
      <c r="L581" s="1346"/>
      <c r="O581" s="33" t="s">
        <v>206</v>
      </c>
      <c r="P581" s="1436"/>
      <c r="Q581" s="1436"/>
      <c r="R581" s="1436"/>
      <c r="T581" s="22"/>
      <c r="U581" t="s">
        <v>316</v>
      </c>
      <c r="Z581" s="1779" t="s">
        <v>2755</v>
      </c>
      <c r="AA581" s="1346"/>
      <c r="AB581" s="1346"/>
      <c r="AC581" s="1346"/>
      <c r="AD581" s="1346"/>
      <c r="AE581" s="1346"/>
      <c r="AH581" s="33" t="s">
        <v>206</v>
      </c>
      <c r="AI581" s="1436"/>
      <c r="AJ581" s="1436"/>
      <c r="AK581" s="1436"/>
      <c r="BB581" s="3"/>
      <c r="BC581" s="3"/>
    </row>
    <row r="582" spans="1:55" ht="13.15" customHeight="1">
      <c r="A582" s="22"/>
      <c r="B582" t="s">
        <v>18</v>
      </c>
      <c r="H582" s="1371" t="s">
        <v>2718</v>
      </c>
      <c r="I582" s="1371"/>
      <c r="J582" s="1371"/>
      <c r="K582" s="1371"/>
      <c r="L582" s="1371"/>
      <c r="M582" s="1371"/>
      <c r="N582" s="1371"/>
      <c r="O582" s="1371"/>
      <c r="P582" s="1371"/>
      <c r="Q582" s="1371"/>
      <c r="R582" s="1371"/>
      <c r="T582" s="22"/>
      <c r="U582" t="s">
        <v>18</v>
      </c>
      <c r="AA582" s="1371" t="s">
        <v>2715</v>
      </c>
      <c r="AB582" s="1371"/>
      <c r="AC582" s="1371"/>
      <c r="AD582" s="1371"/>
      <c r="AE582" s="1371"/>
      <c r="AF582" s="1371"/>
      <c r="AG582" s="1371"/>
      <c r="AH582" s="1371"/>
      <c r="AI582" s="1371"/>
      <c r="AJ582" s="1371"/>
      <c r="AK582" s="1371"/>
      <c r="BB582" s="3"/>
      <c r="BC582" s="3"/>
    </row>
    <row r="583" spans="1:55" ht="13.15" customHeight="1">
      <c r="A583" s="22"/>
      <c r="B583" t="s">
        <v>20</v>
      </c>
      <c r="N583" s="1332" t="s">
        <v>545</v>
      </c>
      <c r="O583" s="1332"/>
      <c r="T583" s="22"/>
      <c r="U583" t="s">
        <v>20</v>
      </c>
      <c r="AG583" s="1332" t="s">
        <v>545</v>
      </c>
      <c r="AH583" s="1332"/>
      <c r="BB583" s="3"/>
      <c r="BC583" s="3"/>
    </row>
    <row r="584" spans="1:55" ht="13.15" customHeight="1">
      <c r="A584" s="22"/>
      <c r="T584" s="22"/>
      <c r="BB584" s="3"/>
      <c r="BC584" s="3"/>
    </row>
    <row r="585" spans="1:55" ht="13.15" customHeight="1">
      <c r="A585" s="55" t="s">
        <v>763</v>
      </c>
      <c r="B585" t="s">
        <v>463</v>
      </c>
      <c r="G585" s="1358" t="str">
        <f>C558</f>
        <v>Accrued Interest</v>
      </c>
      <c r="H585" s="1358"/>
      <c r="I585" s="1358"/>
      <c r="J585" s="1358"/>
      <c r="K585" s="1358"/>
      <c r="L585" s="1358"/>
      <c r="M585" s="1358"/>
      <c r="N585" s="1358"/>
      <c r="O585" s="1358"/>
      <c r="P585" s="1358"/>
      <c r="Q585" s="1358"/>
      <c r="R585" s="1358"/>
      <c r="T585" s="55" t="s">
        <v>584</v>
      </c>
      <c r="U585" t="s">
        <v>463</v>
      </c>
      <c r="Z585" s="1358" t="str">
        <f>C559</f>
        <v>Costs Deferred Until Conversion</v>
      </c>
      <c r="AA585" s="1358"/>
      <c r="AB585" s="1358"/>
      <c r="AC585" s="1358"/>
      <c r="AD585" s="1358"/>
      <c r="AE585" s="1358"/>
      <c r="AF585" s="1358"/>
      <c r="AG585" s="1358"/>
      <c r="AH585" s="1358"/>
      <c r="AI585" s="1358"/>
      <c r="AJ585" s="1358"/>
      <c r="AK585" s="1358"/>
      <c r="BB585" s="3"/>
      <c r="BC585" s="3"/>
    </row>
    <row r="586" spans="1:55" ht="13.15" customHeight="1">
      <c r="A586" s="22"/>
      <c r="B586" t="s">
        <v>85</v>
      </c>
      <c r="G586" s="1371" t="s">
        <v>2716</v>
      </c>
      <c r="H586" s="1371"/>
      <c r="I586" s="1371"/>
      <c r="J586" s="1371"/>
      <c r="K586" s="1371"/>
      <c r="L586" s="1371"/>
      <c r="M586" s="1371"/>
      <c r="N586" s="1371"/>
      <c r="O586" s="1371"/>
      <c r="P586" s="1371"/>
      <c r="Q586" s="1371"/>
      <c r="R586" s="1371"/>
      <c r="T586" s="22"/>
      <c r="U586" t="s">
        <v>85</v>
      </c>
      <c r="Z586" s="1371" t="s">
        <v>2716</v>
      </c>
      <c r="AA586" s="1371"/>
      <c r="AB586" s="1371"/>
      <c r="AC586" s="1371"/>
      <c r="AD586" s="1371"/>
      <c r="AE586" s="1371"/>
      <c r="AF586" s="1371"/>
      <c r="AG586" s="1371"/>
      <c r="AH586" s="1371"/>
      <c r="AI586" s="1371"/>
      <c r="AJ586" s="1371"/>
      <c r="AK586" s="1371"/>
      <c r="BB586" s="3"/>
      <c r="BC586" s="3"/>
    </row>
    <row r="587" spans="1:55" ht="13.15" customHeight="1">
      <c r="A587" s="22"/>
      <c r="B587" t="s">
        <v>580</v>
      </c>
      <c r="G587" s="1371" t="s">
        <v>2624</v>
      </c>
      <c r="H587" s="1371"/>
      <c r="I587" s="1371"/>
      <c r="J587" s="1371"/>
      <c r="K587" s="1371"/>
      <c r="L587" s="1371"/>
      <c r="M587" s="1371"/>
      <c r="N587" s="1371"/>
      <c r="O587" s="1371"/>
      <c r="P587" s="1371"/>
      <c r="Q587" s="1371"/>
      <c r="R587" s="1371"/>
      <c r="T587" s="22"/>
      <c r="U587" t="s">
        <v>580</v>
      </c>
      <c r="Z587" s="1348" t="s">
        <v>2624</v>
      </c>
      <c r="AA587" s="1348"/>
      <c r="AB587" s="1348"/>
      <c r="AC587" s="1348"/>
      <c r="AD587" s="1348"/>
      <c r="AE587" s="1348"/>
      <c r="AF587" s="1348"/>
      <c r="AG587" s="1348"/>
      <c r="AH587" s="1348"/>
      <c r="AI587" s="1348"/>
      <c r="AJ587" s="1348"/>
      <c r="AK587" s="1348"/>
      <c r="BB587" s="3"/>
      <c r="BC587" s="3"/>
    </row>
    <row r="588" spans="1:55" ht="13.15" customHeight="1">
      <c r="A588" s="22"/>
      <c r="B588" t="s">
        <v>17</v>
      </c>
      <c r="G588" s="1371" t="s">
        <v>2626</v>
      </c>
      <c r="H588" s="1371"/>
      <c r="I588" s="1371"/>
      <c r="J588" s="1371"/>
      <c r="K588" s="1371"/>
      <c r="L588" s="1371"/>
      <c r="M588" s="1371"/>
      <c r="N588" s="1371"/>
      <c r="O588" s="1371"/>
      <c r="P588" s="1371"/>
      <c r="Q588" s="1371"/>
      <c r="R588" s="1371"/>
      <c r="T588" s="22"/>
      <c r="U588" t="s">
        <v>17</v>
      </c>
      <c r="Z588" s="1348" t="s">
        <v>2626</v>
      </c>
      <c r="AA588" s="1348"/>
      <c r="AB588" s="1348"/>
      <c r="AC588" s="1348"/>
      <c r="AD588" s="1348"/>
      <c r="AE588" s="1348"/>
      <c r="AF588" s="1348"/>
      <c r="AG588" s="1348"/>
      <c r="AH588" s="1348"/>
      <c r="AI588" s="1348"/>
      <c r="AJ588" s="1348"/>
      <c r="AK588" s="1348"/>
    </row>
    <row r="589" spans="1:55" ht="13.15" customHeight="1">
      <c r="A589" s="22"/>
      <c r="B589" t="s">
        <v>316</v>
      </c>
      <c r="G589" s="1346" t="s">
        <v>2717</v>
      </c>
      <c r="H589" s="1346"/>
      <c r="I589" s="1346"/>
      <c r="J589" s="1346"/>
      <c r="K589" s="1346"/>
      <c r="L589" s="1346"/>
      <c r="O589" s="33" t="s">
        <v>206</v>
      </c>
      <c r="P589" s="1436"/>
      <c r="Q589" s="1436"/>
      <c r="R589" s="1436"/>
      <c r="T589" s="22"/>
      <c r="U589" t="s">
        <v>316</v>
      </c>
      <c r="Z589" s="1346" t="s">
        <v>2717</v>
      </c>
      <c r="AA589" s="1346"/>
      <c r="AB589" s="1346"/>
      <c r="AC589" s="1346"/>
      <c r="AD589" s="1346"/>
      <c r="AE589" s="1346"/>
      <c r="AH589" s="33" t="s">
        <v>206</v>
      </c>
      <c r="AI589" s="1436"/>
      <c r="AJ589" s="1436"/>
      <c r="AK589" s="1436"/>
      <c r="AZ589" s="3"/>
      <c r="BA589" s="3"/>
      <c r="BB589" s="3"/>
      <c r="BC589" s="3"/>
    </row>
    <row r="590" spans="1:55" ht="13.15" customHeight="1">
      <c r="A590" s="22"/>
      <c r="B590" t="s">
        <v>18</v>
      </c>
      <c r="H590" s="1371" t="s">
        <v>2746</v>
      </c>
      <c r="I590" s="1371"/>
      <c r="J590" s="1371"/>
      <c r="K590" s="1371"/>
      <c r="L590" s="1371"/>
      <c r="M590" s="1371"/>
      <c r="N590" s="1371"/>
      <c r="O590" s="1371"/>
      <c r="P590" s="1371"/>
      <c r="Q590" s="1371"/>
      <c r="R590" s="1371"/>
      <c r="T590" s="22"/>
      <c r="U590" t="s">
        <v>18</v>
      </c>
      <c r="AA590" s="1371" t="s">
        <v>2104</v>
      </c>
      <c r="AB590" s="1371"/>
      <c r="AC590" s="1371"/>
      <c r="AD590" s="1371"/>
      <c r="AE590" s="1371"/>
      <c r="AF590" s="1371"/>
      <c r="AG590" s="1371"/>
      <c r="AH590" s="1371"/>
      <c r="AI590" s="1371"/>
      <c r="AJ590" s="1371"/>
      <c r="AK590" s="1371"/>
      <c r="AZ590" s="3"/>
      <c r="BA590" s="3"/>
      <c r="BB590" s="3"/>
      <c r="BC590" s="3"/>
    </row>
    <row r="591" spans="1:55" ht="13.15" customHeight="1">
      <c r="A591" s="22"/>
      <c r="B591" t="s">
        <v>20</v>
      </c>
      <c r="N591" s="1332" t="s">
        <v>545</v>
      </c>
      <c r="O591" s="1332"/>
      <c r="T591" s="22"/>
      <c r="U591" t="s">
        <v>20</v>
      </c>
      <c r="AG591" s="1332" t="s">
        <v>545</v>
      </c>
      <c r="AH591" s="1332"/>
      <c r="AZ591" s="3"/>
      <c r="BA591" s="3"/>
      <c r="BB591" s="3"/>
      <c r="BC591" s="3"/>
    </row>
    <row r="592" spans="1:55" ht="13.15" customHeight="1">
      <c r="A592" s="22"/>
      <c r="T592" s="22"/>
      <c r="AZ592" s="3"/>
      <c r="BA592" s="3"/>
      <c r="BB592" s="3"/>
      <c r="BC592" s="3"/>
    </row>
    <row r="593" spans="1:55" ht="13.15" customHeight="1">
      <c r="A593" s="55" t="s">
        <v>455</v>
      </c>
      <c r="B593" t="s">
        <v>463</v>
      </c>
      <c r="G593" s="1358" t="str">
        <f>C560</f>
        <v>Deferred Developer Fee</v>
      </c>
      <c r="H593" s="1358"/>
      <c r="I593" s="1358"/>
      <c r="J593" s="1358"/>
      <c r="K593" s="1358"/>
      <c r="L593" s="1358"/>
      <c r="M593" s="1358"/>
      <c r="N593" s="1358"/>
      <c r="O593" s="1358"/>
      <c r="P593" s="1358"/>
      <c r="Q593" s="1358"/>
      <c r="R593" s="1358"/>
      <c r="T593" s="55" t="s">
        <v>456</v>
      </c>
      <c r="U593" t="s">
        <v>463</v>
      </c>
      <c r="Z593" s="1358" t="str">
        <f>C561</f>
        <v>LP Equity</v>
      </c>
      <c r="AA593" s="1358"/>
      <c r="AB593" s="1358"/>
      <c r="AC593" s="1358"/>
      <c r="AD593" s="1358"/>
      <c r="AE593" s="1358"/>
      <c r="AF593" s="1358"/>
      <c r="AG593" s="1358"/>
      <c r="AH593" s="1358"/>
      <c r="AI593" s="1358"/>
      <c r="AJ593" s="1358"/>
      <c r="AK593" s="1358"/>
      <c r="AZ593" s="3"/>
      <c r="BA593" s="3"/>
      <c r="BB593" s="3"/>
      <c r="BC593" s="3"/>
    </row>
    <row r="594" spans="1:55" s="4" customFormat="1" ht="13.15" customHeight="1">
      <c r="A594" s="22"/>
      <c r="B594" t="s">
        <v>85</v>
      </c>
      <c r="C594"/>
      <c r="D594"/>
      <c r="E594"/>
      <c r="F594"/>
      <c r="G594" s="1371" t="s">
        <v>2716</v>
      </c>
      <c r="H594" s="1371"/>
      <c r="I594" s="1371"/>
      <c r="J594" s="1371"/>
      <c r="K594" s="1371"/>
      <c r="L594" s="1371"/>
      <c r="M594" s="1371"/>
      <c r="N594" s="1371"/>
      <c r="O594" s="1371"/>
      <c r="P594" s="1371"/>
      <c r="Q594" s="1371"/>
      <c r="R594" s="1371"/>
      <c r="S594"/>
      <c r="T594" s="22"/>
      <c r="U594" t="s">
        <v>85</v>
      </c>
      <c r="V594"/>
      <c r="W594"/>
      <c r="X594"/>
      <c r="Y594"/>
      <c r="Z594" s="1371" t="s">
        <v>2648</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15" customHeight="1">
      <c r="A595" s="22"/>
      <c r="B595" t="s">
        <v>580</v>
      </c>
      <c r="C595"/>
      <c r="D595"/>
      <c r="E595"/>
      <c r="F595"/>
      <c r="G595" s="1371" t="s">
        <v>2624</v>
      </c>
      <c r="H595" s="1371"/>
      <c r="I595" s="1371"/>
      <c r="J595" s="1371"/>
      <c r="K595" s="1371"/>
      <c r="L595" s="1371"/>
      <c r="M595" s="1371"/>
      <c r="N595" s="1371"/>
      <c r="O595" s="1371"/>
      <c r="P595" s="1371"/>
      <c r="Q595" s="1371"/>
      <c r="R595" s="1371"/>
      <c r="S595"/>
      <c r="T595" s="22"/>
      <c r="U595" t="s">
        <v>580</v>
      </c>
      <c r="V595"/>
      <c r="W595"/>
      <c r="X595"/>
      <c r="Y595"/>
      <c r="Z595" s="1348" t="s">
        <v>2648</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371" t="s">
        <v>2626</v>
      </c>
      <c r="H596" s="1371"/>
      <c r="I596" s="1371"/>
      <c r="J596" s="1371"/>
      <c r="K596" s="1371"/>
      <c r="L596" s="1371"/>
      <c r="M596" s="1371"/>
      <c r="N596" s="1371"/>
      <c r="O596" s="1371"/>
      <c r="P596" s="1371"/>
      <c r="Q596" s="1371"/>
      <c r="R596" s="1371"/>
      <c r="S596"/>
      <c r="T596" s="22"/>
      <c r="U596" t="s">
        <v>17</v>
      </c>
      <c r="V596"/>
      <c r="W596"/>
      <c r="X596"/>
      <c r="Y596"/>
      <c r="Z596" s="1348" t="s">
        <v>2648</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15" customHeight="1">
      <c r="A597" s="22"/>
      <c r="B597" t="s">
        <v>316</v>
      </c>
      <c r="C597"/>
      <c r="D597"/>
      <c r="E597"/>
      <c r="F597"/>
      <c r="G597" s="1346" t="s">
        <v>2712</v>
      </c>
      <c r="H597" s="1346"/>
      <c r="I597" s="1346"/>
      <c r="J597" s="1346"/>
      <c r="K597" s="1346"/>
      <c r="L597" s="1346"/>
      <c r="M597"/>
      <c r="N597"/>
      <c r="O597" s="33" t="s">
        <v>206</v>
      </c>
      <c r="P597" s="1436"/>
      <c r="Q597" s="1436"/>
      <c r="R597" s="1436"/>
      <c r="S597"/>
      <c r="T597" s="22"/>
      <c r="U597" t="s">
        <v>316</v>
      </c>
      <c r="V597"/>
      <c r="W597"/>
      <c r="X597"/>
      <c r="Y597"/>
      <c r="Z597" s="1779" t="s">
        <v>2648</v>
      </c>
      <c r="AA597" s="1346"/>
      <c r="AB597" s="1346"/>
      <c r="AC597" s="1346"/>
      <c r="AD597" s="1346"/>
      <c r="AE597" s="1346"/>
      <c r="AF597"/>
      <c r="AG597"/>
      <c r="AH597" s="33" t="s">
        <v>206</v>
      </c>
      <c r="AI597" s="1436"/>
      <c r="AJ597" s="1436"/>
      <c r="AK597" s="1436"/>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371" t="s">
        <v>2319</v>
      </c>
      <c r="I598" s="1371"/>
      <c r="J598" s="1371"/>
      <c r="K598" s="1371"/>
      <c r="L598" s="1371"/>
      <c r="M598" s="1371"/>
      <c r="N598" s="1371"/>
      <c r="O598" s="1371"/>
      <c r="P598" s="1371"/>
      <c r="Q598" s="1371"/>
      <c r="R598" s="1371"/>
      <c r="S598"/>
      <c r="T598" s="22"/>
      <c r="U598" t="s">
        <v>18</v>
      </c>
      <c r="V598"/>
      <c r="W598"/>
      <c r="X598"/>
      <c r="Y598"/>
      <c r="Z598"/>
      <c r="AA598" s="1371" t="s">
        <v>2719</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15" customHeight="1">
      <c r="A599" s="22"/>
      <c r="B599" t="s">
        <v>20</v>
      </c>
      <c r="N599" s="1332" t="s">
        <v>545</v>
      </c>
      <c r="O599" s="1332"/>
      <c r="T599" s="22"/>
      <c r="U599" t="s">
        <v>20</v>
      </c>
      <c r="AG599" s="1332" t="s">
        <v>669</v>
      </c>
      <c r="AH599" s="1332"/>
      <c r="BB599" s="3"/>
      <c r="BC599" s="3"/>
    </row>
    <row r="600" spans="1:55" ht="13.15" customHeight="1">
      <c r="A600" s="22"/>
      <c r="T600" s="22"/>
      <c r="BB600" s="3"/>
      <c r="BC600" s="3"/>
    </row>
    <row r="601" spans="1:55" ht="13.1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3.1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1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3.1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15" customHeight="1">
      <c r="A605" s="22"/>
      <c r="B605" t="s">
        <v>316</v>
      </c>
      <c r="C605"/>
      <c r="D605"/>
      <c r="E605"/>
      <c r="F605"/>
      <c r="G605" s="1346"/>
      <c r="H605" s="1346"/>
      <c r="I605" s="1346"/>
      <c r="J605" s="1346"/>
      <c r="K605" s="1346"/>
      <c r="L605" s="1346"/>
      <c r="M605"/>
      <c r="N605"/>
      <c r="O605" s="33" t="s">
        <v>206</v>
      </c>
      <c r="P605" s="1436"/>
      <c r="Q605" s="1436"/>
      <c r="R605" s="1436"/>
      <c r="S605"/>
      <c r="T605" s="22"/>
      <c r="U605" t="s">
        <v>316</v>
      </c>
      <c r="V605"/>
      <c r="W605"/>
      <c r="X605"/>
      <c r="Y605"/>
      <c r="Z605" s="1346"/>
      <c r="AA605" s="1346"/>
      <c r="AB605" s="1346"/>
      <c r="AC605" s="1346"/>
      <c r="AD605" s="1346"/>
      <c r="AE605" s="1346"/>
      <c r="AF605"/>
      <c r="AG605"/>
      <c r="AH605" s="33" t="s">
        <v>206</v>
      </c>
      <c r="AI605" s="1436"/>
      <c r="AJ605" s="1436"/>
      <c r="AK605" s="1436"/>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362</v>
      </c>
      <c r="B609" t="s">
        <v>463</v>
      </c>
      <c r="G609" s="1358">
        <f>C564</f>
        <v>0</v>
      </c>
      <c r="H609" s="1358"/>
      <c r="I609" s="1358"/>
      <c r="J609" s="1358"/>
      <c r="K609" s="1358"/>
      <c r="L609" s="1358"/>
      <c r="M609" s="1358"/>
      <c r="N609" s="1358"/>
      <c r="O609" s="1358"/>
      <c r="P609" s="1358"/>
      <c r="Q609" s="1358"/>
      <c r="R609" s="1358"/>
      <c r="T609" s="55" t="s">
        <v>363</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3.1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1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3.1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15" customHeight="1">
      <c r="B613" t="s">
        <v>316</v>
      </c>
      <c r="G613" s="1346"/>
      <c r="H613" s="1346"/>
      <c r="I613" s="1346"/>
      <c r="J613" s="1346"/>
      <c r="K613" s="1346"/>
      <c r="L613" s="1346"/>
      <c r="O613" s="33" t="s">
        <v>206</v>
      </c>
      <c r="P613" s="1436"/>
      <c r="Q613" s="1436"/>
      <c r="R613" s="1436"/>
      <c r="U613" t="s">
        <v>316</v>
      </c>
      <c r="Z613" s="1346"/>
      <c r="AA613" s="1346"/>
      <c r="AB613" s="1346"/>
      <c r="AC613" s="1346"/>
      <c r="AD613" s="1346"/>
      <c r="AE613" s="1346"/>
      <c r="AH613" s="33" t="s">
        <v>206</v>
      </c>
      <c r="AI613" s="1436"/>
      <c r="AJ613" s="1436"/>
      <c r="AK613" s="1436"/>
      <c r="AZ613" s="3"/>
      <c r="BA613" s="3"/>
      <c r="BB613" s="3"/>
      <c r="BC613" s="3"/>
    </row>
    <row r="614" spans="1:55" ht="13.1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9"/>
      <c r="AV614" s="899"/>
      <c r="AW614" s="899"/>
      <c r="AX614" s="899"/>
      <c r="AY614" s="899"/>
      <c r="AZ614" s="3"/>
      <c r="BA614" s="3"/>
      <c r="BB614" s="3"/>
      <c r="BC614" s="3"/>
    </row>
    <row r="615" spans="1:55" ht="13.15" customHeight="1">
      <c r="B615" t="s">
        <v>20</v>
      </c>
      <c r="N615" s="1332" t="s">
        <v>669</v>
      </c>
      <c r="O615" s="1332"/>
      <c r="U615" t="s">
        <v>20</v>
      </c>
      <c r="AG615" s="1332" t="s">
        <v>669</v>
      </c>
      <c r="AH615" s="1332"/>
      <c r="AU615" s="899"/>
      <c r="AV615" s="899"/>
      <c r="AW615" s="899"/>
      <c r="AX615" s="899"/>
      <c r="AY615" s="899"/>
      <c r="AZ615" s="3"/>
      <c r="BA615" s="3"/>
      <c r="BB615" s="3"/>
      <c r="BC615" s="3"/>
    </row>
    <row r="616" spans="1:55" ht="13.15" customHeight="1">
      <c r="AZ616" s="3"/>
      <c r="BA616" s="3"/>
      <c r="BB616" s="3"/>
      <c r="BC616" s="3"/>
    </row>
    <row r="617" spans="1:55" ht="13.1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1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15" customHeight="1">
      <c r="AZ619" s="3"/>
      <c r="BA619" s="3"/>
      <c r="BB619" s="3"/>
      <c r="BC619" s="3"/>
    </row>
    <row r="620" spans="1:55" ht="13.15" customHeight="1">
      <c r="A620" s="2" t="s">
        <v>319</v>
      </c>
      <c r="B620" s="2"/>
      <c r="C620" s="2" t="s">
        <v>21</v>
      </c>
      <c r="AZ620" s="3"/>
      <c r="BA620" s="3"/>
      <c r="BB620" s="3"/>
      <c r="BC620" s="3"/>
    </row>
    <row r="621" spans="1:55" ht="13.15" customHeight="1">
      <c r="A621" s="2"/>
      <c r="B621" s="2"/>
      <c r="C621" s="2"/>
      <c r="AZ621" s="3"/>
      <c r="BA621" s="3"/>
      <c r="BB621" s="3"/>
      <c r="BC621" s="3"/>
    </row>
    <row r="622" spans="1:55" ht="13.15" customHeight="1">
      <c r="C622" s="2" t="s">
        <v>2099</v>
      </c>
      <c r="AZ622" s="3"/>
      <c r="BA622" s="3"/>
      <c r="BB622" s="3"/>
      <c r="BC622" s="3"/>
    </row>
    <row r="623" spans="1:55" ht="13.15" customHeight="1">
      <c r="B623" s="512"/>
      <c r="C623" s="2"/>
      <c r="AU623" s="3"/>
      <c r="AZ623" s="3"/>
      <c r="BA623" s="3"/>
      <c r="BB623" s="3"/>
      <c r="BC623" s="3"/>
    </row>
    <row r="624" spans="1:55" ht="13.15" customHeight="1">
      <c r="B624" s="1699" t="s">
        <v>2101</v>
      </c>
      <c r="C624" s="1699"/>
      <c r="D624" s="1699"/>
      <c r="E624" s="1699"/>
      <c r="F624" s="1699"/>
      <c r="G624" s="1699"/>
      <c r="H624" s="1699"/>
      <c r="I624" s="1699"/>
      <c r="J624" s="1699"/>
      <c r="K624" s="1699"/>
      <c r="L624" s="1699"/>
      <c r="M624" s="1441" t="s">
        <v>2102</v>
      </c>
      <c r="N624" s="1441"/>
      <c r="O624" s="1441"/>
      <c r="P624" s="1441"/>
      <c r="Q624" s="1441" t="s">
        <v>1851</v>
      </c>
      <c r="R624" s="1441"/>
      <c r="S624" s="1441"/>
      <c r="T624" s="1441" t="s">
        <v>1849</v>
      </c>
      <c r="U624" s="1441"/>
      <c r="V624" s="1441"/>
      <c r="W624" s="1700" t="s">
        <v>453</v>
      </c>
      <c r="X624" s="1700"/>
      <c r="Y624" s="1700"/>
      <c r="Z624" s="1430" t="s">
        <v>2131</v>
      </c>
      <c r="AA624" s="1430"/>
      <c r="AB624" s="1431"/>
      <c r="AC624" s="1681" t="s">
        <v>1675</v>
      </c>
      <c r="AD624" s="1682"/>
      <c r="AE624" s="1683"/>
      <c r="AF624" s="1671" t="s">
        <v>1929</v>
      </c>
      <c r="AG624" s="1430"/>
      <c r="AH624" s="1430"/>
      <c r="AI624" s="1430"/>
      <c r="AJ624" s="1431"/>
      <c r="AK624" s="1732" t="s">
        <v>1930</v>
      </c>
      <c r="AL624" s="1733"/>
      <c r="AM624" s="1733"/>
      <c r="AN624" s="1734"/>
      <c r="AO624" s="1441" t="s">
        <v>454</v>
      </c>
      <c r="AP624" s="1441"/>
      <c r="AQ624" s="1441"/>
      <c r="AR624" s="1441"/>
      <c r="AS624" s="1441"/>
      <c r="AU624" s="3"/>
      <c r="AZ624" s="3"/>
      <c r="BA624" s="3"/>
      <c r="BB624" s="3"/>
      <c r="BC624" s="3"/>
    </row>
    <row r="625" spans="2:157" ht="13.15" customHeight="1">
      <c r="B625" s="1699"/>
      <c r="C625" s="1699"/>
      <c r="D625" s="1699"/>
      <c r="E625" s="1699"/>
      <c r="F625" s="1699"/>
      <c r="G625" s="1699"/>
      <c r="H625" s="1699"/>
      <c r="I625" s="1699"/>
      <c r="J625" s="1699"/>
      <c r="K625" s="1699"/>
      <c r="L625" s="1699"/>
      <c r="M625" s="1441"/>
      <c r="N625" s="1441"/>
      <c r="O625" s="1441"/>
      <c r="P625" s="1441"/>
      <c r="Q625" s="1441"/>
      <c r="R625" s="1441"/>
      <c r="S625" s="1441"/>
      <c r="T625" s="1441"/>
      <c r="U625" s="1441"/>
      <c r="V625" s="1441"/>
      <c r="W625" s="1700"/>
      <c r="X625" s="1700"/>
      <c r="Y625" s="1700"/>
      <c r="Z625" s="1432"/>
      <c r="AA625" s="1432"/>
      <c r="AB625" s="1433"/>
      <c r="AC625" s="1684"/>
      <c r="AD625" s="1685"/>
      <c r="AE625" s="1686"/>
      <c r="AF625" s="1672"/>
      <c r="AG625" s="1432"/>
      <c r="AH625" s="1432"/>
      <c r="AI625" s="1432"/>
      <c r="AJ625" s="1433"/>
      <c r="AK625" s="1735"/>
      <c r="AL625" s="1736"/>
      <c r="AM625" s="1736"/>
      <c r="AN625" s="1737"/>
      <c r="AO625" s="1441"/>
      <c r="AP625" s="1441"/>
      <c r="AQ625" s="1441"/>
      <c r="AR625" s="1441"/>
      <c r="AS625" s="1441"/>
      <c r="AU625" s="3"/>
      <c r="AZ625" s="3"/>
      <c r="BA625" s="3"/>
      <c r="BB625" s="3"/>
      <c r="BC625" s="3"/>
      <c r="BD625" s="3"/>
    </row>
    <row r="626" spans="2:157" ht="13.15" customHeight="1">
      <c r="B626" s="1699"/>
      <c r="C626" s="1699"/>
      <c r="D626" s="1699"/>
      <c r="E626" s="1699"/>
      <c r="F626" s="1699"/>
      <c r="G626" s="1699"/>
      <c r="H626" s="1699"/>
      <c r="I626" s="1699"/>
      <c r="J626" s="1699"/>
      <c r="K626" s="1699"/>
      <c r="L626" s="1699"/>
      <c r="M626" s="1441"/>
      <c r="N626" s="1441"/>
      <c r="O626" s="1441"/>
      <c r="P626" s="1441"/>
      <c r="Q626" s="1441"/>
      <c r="R626" s="1441"/>
      <c r="S626" s="1441"/>
      <c r="T626" s="1441"/>
      <c r="U626" s="1441"/>
      <c r="V626" s="1441"/>
      <c r="W626" s="1700"/>
      <c r="X626" s="1700"/>
      <c r="Y626" s="1700"/>
      <c r="Z626" s="1434"/>
      <c r="AA626" s="1434"/>
      <c r="AB626" s="1435"/>
      <c r="AC626" s="1687"/>
      <c r="AD626" s="1688"/>
      <c r="AE626" s="1689"/>
      <c r="AF626" s="1673"/>
      <c r="AG626" s="1434"/>
      <c r="AH626" s="1434"/>
      <c r="AI626" s="1434"/>
      <c r="AJ626" s="1435"/>
      <c r="AK626" s="1738"/>
      <c r="AL626" s="1739"/>
      <c r="AM626" s="1739"/>
      <c r="AN626" s="1740"/>
      <c r="AO626" s="1441"/>
      <c r="AP626" s="1441"/>
      <c r="AQ626" s="1441"/>
      <c r="AR626" s="1441"/>
      <c r="AS626" s="1441"/>
      <c r="AT626" s="3"/>
      <c r="AU626" s="3"/>
      <c r="AZ626" s="3"/>
      <c r="BA626" s="3"/>
      <c r="BB626" s="3"/>
      <c r="BC626" s="3"/>
      <c r="BD626" s="3"/>
    </row>
    <row r="627" spans="2:157" ht="13.15" customHeight="1">
      <c r="B627" s="51" t="s">
        <v>112</v>
      </c>
      <c r="C627" s="1691" t="s">
        <v>2752</v>
      </c>
      <c r="D627" s="1691"/>
      <c r="E627" s="1691"/>
      <c r="F627" s="1691"/>
      <c r="G627" s="1691"/>
      <c r="H627" s="1691"/>
      <c r="I627" s="1691"/>
      <c r="J627" s="1691"/>
      <c r="K627" s="1691"/>
      <c r="L627" s="1691"/>
      <c r="M627" s="1617" t="s">
        <v>2118</v>
      </c>
      <c r="N627" s="1617"/>
      <c r="O627" s="1617"/>
      <c r="P627" s="1617"/>
      <c r="Q627" s="1425">
        <v>204</v>
      </c>
      <c r="R627" s="1425"/>
      <c r="S627" s="1426"/>
      <c r="T627" s="1424">
        <v>420</v>
      </c>
      <c r="U627" s="1425"/>
      <c r="V627" s="1426"/>
      <c r="W627" s="1437">
        <v>6.6000000000000003E-2</v>
      </c>
      <c r="X627" s="1438"/>
      <c r="Y627" s="1439"/>
      <c r="Z627" s="1477" t="s">
        <v>2130</v>
      </c>
      <c r="AA627" s="1478"/>
      <c r="AB627" s="1479"/>
      <c r="AC627" s="1445">
        <v>1</v>
      </c>
      <c r="AD627" s="1446"/>
      <c r="AE627" s="1447"/>
      <c r="AF627" s="1474">
        <f>-PMT(W627/12,T627,AO627)*12</f>
        <v>1338758.6030127513</v>
      </c>
      <c r="AG627" s="1475"/>
      <c r="AH627" s="1475"/>
      <c r="AI627" s="1475"/>
      <c r="AJ627" s="1476"/>
      <c r="AK627" s="1427"/>
      <c r="AL627" s="1428"/>
      <c r="AM627" s="1428"/>
      <c r="AN627" s="1429"/>
      <c r="AO627" s="1480">
        <v>18258000</v>
      </c>
      <c r="AP627" s="1480"/>
      <c r="AQ627" s="1480"/>
      <c r="AR627" s="1480"/>
      <c r="AS627" s="1480"/>
      <c r="AT627" s="3"/>
      <c r="AU627" s="3"/>
      <c r="AZ627" s="3"/>
      <c r="BA627" s="3"/>
      <c r="BB627" s="3"/>
      <c r="BC627" s="3"/>
      <c r="BD627" s="3"/>
    </row>
    <row r="628" spans="2:157" ht="13.15" customHeight="1">
      <c r="B628" s="52" t="s">
        <v>113</v>
      </c>
      <c r="C628" s="1691" t="s">
        <v>2722</v>
      </c>
      <c r="D628" s="1691"/>
      <c r="E628" s="1691"/>
      <c r="F628" s="1691"/>
      <c r="G628" s="1691"/>
      <c r="H628" s="1691"/>
      <c r="I628" s="1691"/>
      <c r="J628" s="1691"/>
      <c r="K628" s="1691"/>
      <c r="L628" s="1691"/>
      <c r="M628" s="1617" t="s">
        <v>2115</v>
      </c>
      <c r="N628" s="1617"/>
      <c r="O628" s="1617"/>
      <c r="P628" s="1617"/>
      <c r="Q628" s="1424">
        <v>660</v>
      </c>
      <c r="R628" s="1425"/>
      <c r="S628" s="1426"/>
      <c r="T628" s="1424">
        <v>660</v>
      </c>
      <c r="U628" s="1425"/>
      <c r="V628" s="1426"/>
      <c r="W628" s="1437">
        <v>4.8599999999999997E-2</v>
      </c>
      <c r="X628" s="1438"/>
      <c r="Y628" s="1439"/>
      <c r="Z628" s="1477" t="s">
        <v>457</v>
      </c>
      <c r="AA628" s="1478"/>
      <c r="AB628" s="1479"/>
      <c r="AC628" s="1445">
        <v>2</v>
      </c>
      <c r="AD628" s="1446"/>
      <c r="AE628" s="1447"/>
      <c r="AF628" s="1474"/>
      <c r="AG628" s="1475"/>
      <c r="AH628" s="1475"/>
      <c r="AI628" s="1475"/>
      <c r="AJ628" s="1476"/>
      <c r="AK628" s="1427"/>
      <c r="AL628" s="1428"/>
      <c r="AM628" s="1428"/>
      <c r="AN628" s="1429"/>
      <c r="AO628" s="1465">
        <v>27455593</v>
      </c>
      <c r="AP628" s="1466"/>
      <c r="AQ628" s="1466"/>
      <c r="AR628" s="1466"/>
      <c r="AS628" s="1467"/>
      <c r="AT628" s="1148" t="str">
        <f>IF(AND(NOT(C627=""),C628="",NOT(C629="")),"!","")</f>
        <v/>
      </c>
      <c r="AU628" s="3"/>
      <c r="AZ628" s="3"/>
      <c r="BA628" s="3"/>
      <c r="BB628" s="3"/>
      <c r="BC628" s="3"/>
      <c r="BD628" s="3"/>
    </row>
    <row r="629" spans="2:157" ht="13.15" customHeight="1">
      <c r="B629" s="52" t="s">
        <v>119</v>
      </c>
      <c r="C629" s="1691" t="s">
        <v>2103</v>
      </c>
      <c r="D629" s="1691"/>
      <c r="E629" s="1691"/>
      <c r="F629" s="1691"/>
      <c r="G629" s="1691"/>
      <c r="H629" s="1691"/>
      <c r="I629" s="1691"/>
      <c r="J629" s="1691"/>
      <c r="K629" s="1691"/>
      <c r="L629" s="1691"/>
      <c r="M629" s="1617" t="s">
        <v>2103</v>
      </c>
      <c r="N629" s="1617"/>
      <c r="O629" s="1617"/>
      <c r="P629" s="1617"/>
      <c r="Q629" s="1424"/>
      <c r="R629" s="1425"/>
      <c r="S629" s="1426"/>
      <c r="T629" s="1424"/>
      <c r="U629" s="1425"/>
      <c r="V629" s="1426"/>
      <c r="W629" s="1437"/>
      <c r="X629" s="1438"/>
      <c r="Y629" s="1439"/>
      <c r="Z629" s="1477"/>
      <c r="AA629" s="1478"/>
      <c r="AB629" s="1479"/>
      <c r="AC629" s="1445"/>
      <c r="AD629" s="1446"/>
      <c r="AE629" s="1447"/>
      <c r="AF629" s="1474"/>
      <c r="AG629" s="1475"/>
      <c r="AH629" s="1475"/>
      <c r="AI629" s="1475"/>
      <c r="AJ629" s="1476"/>
      <c r="AK629" s="1427"/>
      <c r="AL629" s="1428"/>
      <c r="AM629" s="1428"/>
      <c r="AN629" s="1429"/>
      <c r="AO629" s="1465">
        <v>2796749</v>
      </c>
      <c r="AP629" s="1466"/>
      <c r="AQ629" s="1466"/>
      <c r="AR629" s="1466"/>
      <c r="AS629" s="1467"/>
      <c r="AT629" s="1148" t="str">
        <f t="shared" ref="AT629:AT638" si="1">IF(AND(NOT(C628=""),C629="",NOT(C630="")),"!","")</f>
        <v/>
      </c>
      <c r="AU629" s="3"/>
      <c r="AZ629" s="3"/>
      <c r="BA629" s="3"/>
      <c r="BB629" s="3"/>
      <c r="BC629" s="3"/>
      <c r="BD629" s="3"/>
    </row>
    <row r="630" spans="2:157" ht="13.15" customHeight="1">
      <c r="B630" s="52" t="s">
        <v>581</v>
      </c>
      <c r="C630" s="1347" t="s">
        <v>2735</v>
      </c>
      <c r="D630" s="1347"/>
      <c r="E630" s="1347"/>
      <c r="F630" s="1347"/>
      <c r="G630" s="1347"/>
      <c r="H630" s="1347"/>
      <c r="I630" s="1347"/>
      <c r="J630" s="1347"/>
      <c r="K630" s="1347"/>
      <c r="L630" s="1347"/>
      <c r="M630" s="1617" t="s">
        <v>2120</v>
      </c>
      <c r="N630" s="1617"/>
      <c r="O630" s="1617"/>
      <c r="P630" s="1617"/>
      <c r="Q630" s="1424"/>
      <c r="R630" s="1425"/>
      <c r="S630" s="1426"/>
      <c r="T630" s="1424"/>
      <c r="U630" s="1425"/>
      <c r="V630" s="1426"/>
      <c r="W630" s="1437"/>
      <c r="X630" s="1438"/>
      <c r="Y630" s="1439"/>
      <c r="Z630" s="1477"/>
      <c r="AA630" s="1478"/>
      <c r="AB630" s="1479"/>
      <c r="AC630" s="1445"/>
      <c r="AD630" s="1446"/>
      <c r="AE630" s="1447"/>
      <c r="AF630" s="1474"/>
      <c r="AG630" s="1475"/>
      <c r="AH630" s="1475"/>
      <c r="AI630" s="1475"/>
      <c r="AJ630" s="1476"/>
      <c r="AK630" s="1427"/>
      <c r="AL630" s="1428"/>
      <c r="AM630" s="1428"/>
      <c r="AN630" s="1429"/>
      <c r="AO630" s="1465">
        <v>943285</v>
      </c>
      <c r="AP630" s="1466"/>
      <c r="AQ630" s="1466"/>
      <c r="AR630" s="1466"/>
      <c r="AS630" s="1467"/>
      <c r="AT630" s="1148" t="str">
        <f t="shared" si="1"/>
        <v/>
      </c>
      <c r="AU630" s="3"/>
      <c r="AZ630" s="3"/>
      <c r="BA630" s="3"/>
      <c r="BB630" s="3"/>
      <c r="BC630" s="3"/>
      <c r="BD630" s="3"/>
    </row>
    <row r="631" spans="2:157" ht="13.15" customHeight="1">
      <c r="B631" s="52" t="s">
        <v>763</v>
      </c>
      <c r="C631" s="1347" t="s">
        <v>2319</v>
      </c>
      <c r="D631" s="1347"/>
      <c r="E631" s="1347"/>
      <c r="F631" s="1347"/>
      <c r="G631" s="1347"/>
      <c r="H631" s="1347"/>
      <c r="I631" s="1347"/>
      <c r="J631" s="1347"/>
      <c r="K631" s="1347"/>
      <c r="L631" s="1347"/>
      <c r="M631" s="1617" t="s">
        <v>2105</v>
      </c>
      <c r="N631" s="1617"/>
      <c r="O631" s="1617"/>
      <c r="P631" s="1617"/>
      <c r="Q631" s="1424"/>
      <c r="R631" s="1425"/>
      <c r="S631" s="1426"/>
      <c r="T631" s="1424"/>
      <c r="U631" s="1425"/>
      <c r="V631" s="1426"/>
      <c r="W631" s="1437"/>
      <c r="X631" s="1438"/>
      <c r="Y631" s="1439"/>
      <c r="Z631" s="1477"/>
      <c r="AA631" s="1478"/>
      <c r="AB631" s="1479"/>
      <c r="AC631" s="1445"/>
      <c r="AD631" s="1446"/>
      <c r="AE631" s="1447"/>
      <c r="AF631" s="1474"/>
      <c r="AG631" s="1475"/>
      <c r="AH631" s="1475"/>
      <c r="AI631" s="1475"/>
      <c r="AJ631" s="1476"/>
      <c r="AK631" s="1427"/>
      <c r="AL631" s="1428"/>
      <c r="AM631" s="1428"/>
      <c r="AN631" s="1429"/>
      <c r="AO631" s="1465">
        <v>2437494</v>
      </c>
      <c r="AP631" s="1466"/>
      <c r="AQ631" s="1466"/>
      <c r="AR631" s="1466"/>
      <c r="AS631" s="1467"/>
      <c r="AT631" s="1148" t="str">
        <f t="shared" si="1"/>
        <v/>
      </c>
      <c r="AU631" s="3"/>
      <c r="AZ631" s="3"/>
      <c r="BA631" s="3"/>
      <c r="BB631" s="3"/>
      <c r="BC631" s="3"/>
      <c r="BD631" s="3"/>
    </row>
    <row r="632" spans="2:157" ht="13.15" customHeight="1">
      <c r="B632" s="52" t="s">
        <v>584</v>
      </c>
      <c r="C632" s="1347"/>
      <c r="D632" s="1347"/>
      <c r="E632" s="1347"/>
      <c r="F632" s="1347"/>
      <c r="G632" s="1347"/>
      <c r="H632" s="1347"/>
      <c r="I632" s="1347"/>
      <c r="J632" s="1347"/>
      <c r="K632" s="1347"/>
      <c r="L632" s="1347"/>
      <c r="M632" s="1617"/>
      <c r="N632" s="1617"/>
      <c r="O632" s="1617"/>
      <c r="P632" s="1617"/>
      <c r="Q632" s="1424"/>
      <c r="R632" s="1425"/>
      <c r="S632" s="1426"/>
      <c r="T632" s="1424"/>
      <c r="U632" s="1425"/>
      <c r="V632" s="1426"/>
      <c r="W632" s="1437"/>
      <c r="X632" s="1438"/>
      <c r="Y632" s="1439"/>
      <c r="Z632" s="1477"/>
      <c r="AA632" s="1478"/>
      <c r="AB632" s="1479"/>
      <c r="AC632" s="1445"/>
      <c r="AD632" s="1446"/>
      <c r="AE632" s="1447"/>
      <c r="AF632" s="1474"/>
      <c r="AG632" s="1475"/>
      <c r="AH632" s="1475"/>
      <c r="AI632" s="1475"/>
      <c r="AJ632" s="1476"/>
      <c r="AK632" s="1427"/>
      <c r="AL632" s="1428"/>
      <c r="AM632" s="1428"/>
      <c r="AN632" s="1429"/>
      <c r="AO632" s="1465"/>
      <c r="AP632" s="1466"/>
      <c r="AQ632" s="1466"/>
      <c r="AR632" s="1466"/>
      <c r="AS632" s="1467"/>
      <c r="AT632" s="1148" t="str">
        <f t="shared" si="1"/>
        <v/>
      </c>
      <c r="AU632" s="3"/>
      <c r="AZ632" s="3"/>
      <c r="BA632" s="3"/>
      <c r="BB632" s="3"/>
      <c r="BC632" s="3"/>
      <c r="BD632" s="3"/>
    </row>
    <row r="633" spans="2:157" ht="13.15" customHeight="1">
      <c r="B633" s="52" t="s">
        <v>455</v>
      </c>
      <c r="C633" s="1347"/>
      <c r="D633" s="1347"/>
      <c r="E633" s="1347"/>
      <c r="F633" s="1347"/>
      <c r="G633" s="1347"/>
      <c r="H633" s="1347"/>
      <c r="I633" s="1347"/>
      <c r="J633" s="1347"/>
      <c r="K633" s="1347"/>
      <c r="L633" s="1347"/>
      <c r="M633" s="1617"/>
      <c r="N633" s="1617"/>
      <c r="O633" s="1617"/>
      <c r="P633" s="1617"/>
      <c r="Q633" s="1424"/>
      <c r="R633" s="1425"/>
      <c r="S633" s="1426"/>
      <c r="T633" s="1424"/>
      <c r="U633" s="1425"/>
      <c r="V633" s="1426"/>
      <c r="W633" s="1437"/>
      <c r="X633" s="1438"/>
      <c r="Y633" s="1439"/>
      <c r="Z633" s="1477"/>
      <c r="AA633" s="1478"/>
      <c r="AB633" s="1479"/>
      <c r="AC633" s="1445"/>
      <c r="AD633" s="1446"/>
      <c r="AE633" s="1447"/>
      <c r="AF633" s="1474"/>
      <c r="AG633" s="1475"/>
      <c r="AH633" s="1475"/>
      <c r="AI633" s="1475"/>
      <c r="AJ633" s="1476"/>
      <c r="AK633" s="1427"/>
      <c r="AL633" s="1428"/>
      <c r="AM633" s="1428"/>
      <c r="AN633" s="1429"/>
      <c r="AO633" s="1465"/>
      <c r="AP633" s="1466"/>
      <c r="AQ633" s="1466"/>
      <c r="AR633" s="1466"/>
      <c r="AS633" s="1467"/>
      <c r="AT633" s="1148" t="str">
        <f t="shared" si="1"/>
        <v/>
      </c>
      <c r="AU633" s="3"/>
      <c r="AV633" s="3"/>
      <c r="AW633" s="3"/>
      <c r="AX633" s="3"/>
      <c r="AY633" s="3"/>
      <c r="AZ633" s="3"/>
      <c r="BA633" s="3"/>
      <c r="BB633" s="3"/>
      <c r="BC633" s="3"/>
      <c r="BD633" s="3"/>
    </row>
    <row r="634" spans="2:157" ht="13.15" customHeight="1">
      <c r="B634" s="52" t="s">
        <v>456</v>
      </c>
      <c r="C634" s="1347"/>
      <c r="D634" s="1347"/>
      <c r="E634" s="1347"/>
      <c r="F634" s="1347"/>
      <c r="G634" s="1347"/>
      <c r="H634" s="1347"/>
      <c r="I634" s="1347"/>
      <c r="J634" s="1347"/>
      <c r="K634" s="1347"/>
      <c r="L634" s="1347"/>
      <c r="M634" s="1617"/>
      <c r="N634" s="1617"/>
      <c r="O634" s="1617"/>
      <c r="P634" s="1617"/>
      <c r="Q634" s="1424"/>
      <c r="R634" s="1425"/>
      <c r="S634" s="1426"/>
      <c r="T634" s="1424"/>
      <c r="U634" s="1425"/>
      <c r="V634" s="1426"/>
      <c r="W634" s="1437"/>
      <c r="X634" s="1438"/>
      <c r="Y634" s="1439"/>
      <c r="Z634" s="1477"/>
      <c r="AA634" s="1478"/>
      <c r="AB634" s="1479"/>
      <c r="AC634" s="1445"/>
      <c r="AD634" s="1446"/>
      <c r="AE634" s="1447"/>
      <c r="AF634" s="1474"/>
      <c r="AG634" s="1475"/>
      <c r="AH634" s="1475"/>
      <c r="AI634" s="1475"/>
      <c r="AJ634" s="1476"/>
      <c r="AK634" s="1427"/>
      <c r="AL634" s="1428"/>
      <c r="AM634" s="1428"/>
      <c r="AN634" s="1429"/>
      <c r="AO634" s="1465"/>
      <c r="AP634" s="1466"/>
      <c r="AQ634" s="1466"/>
      <c r="AR634" s="1466"/>
      <c r="AS634" s="1467"/>
      <c r="AT634" s="1148" t="str">
        <f t="shared" si="1"/>
        <v/>
      </c>
      <c r="AU634" s="3"/>
      <c r="AV634" s="3"/>
      <c r="AW634" s="3"/>
      <c r="AX634" s="3"/>
      <c r="AY634" s="3"/>
      <c r="AZ634" s="3"/>
      <c r="BA634" s="3" t="s">
        <v>1183</v>
      </c>
      <c r="BB634" s="3"/>
      <c r="BC634" s="3"/>
      <c r="BD634" s="3"/>
    </row>
    <row r="635" spans="2:157" ht="13.15" customHeight="1">
      <c r="B635" s="52" t="s">
        <v>461</v>
      </c>
      <c r="C635" s="1347"/>
      <c r="D635" s="1347"/>
      <c r="E635" s="1347"/>
      <c r="F635" s="1347"/>
      <c r="G635" s="1347"/>
      <c r="H635" s="1347"/>
      <c r="I635" s="1347"/>
      <c r="J635" s="1347"/>
      <c r="K635" s="1347"/>
      <c r="L635" s="1347"/>
      <c r="M635" s="1617"/>
      <c r="N635" s="1617"/>
      <c r="O635" s="1617"/>
      <c r="P635" s="1617"/>
      <c r="Q635" s="1424"/>
      <c r="R635" s="1425"/>
      <c r="S635" s="1426"/>
      <c r="T635" s="1424"/>
      <c r="U635" s="1425"/>
      <c r="V635" s="1426"/>
      <c r="W635" s="1437"/>
      <c r="X635" s="1438"/>
      <c r="Y635" s="1439"/>
      <c r="Z635" s="1477"/>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t="e">
        <f t="shared" ref="EC635:EC669" si="3">FE718*(CU718/$CU$753)</f>
        <v>#VALUE!</v>
      </c>
      <c r="ED635" s="1444"/>
      <c r="EE635" s="1444"/>
      <c r="EF635" s="1444"/>
      <c r="EG635" s="1444"/>
      <c r="EH635" s="1444">
        <f t="shared" ref="EH635:EH669" si="4">FJ718*(CZ718/$CZ$753)</f>
        <v>162.4</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3.15" customHeight="1">
      <c r="B636" s="52" t="s">
        <v>646</v>
      </c>
      <c r="C636" s="1347"/>
      <c r="D636" s="1347"/>
      <c r="E636" s="1347"/>
      <c r="F636" s="1347"/>
      <c r="G636" s="1347"/>
      <c r="H636" s="1347"/>
      <c r="I636" s="1347"/>
      <c r="J636" s="1347"/>
      <c r="K636" s="1347"/>
      <c r="L636" s="1347"/>
      <c r="M636" s="1617"/>
      <c r="N636" s="1617"/>
      <c r="O636" s="1617"/>
      <c r="P636" s="1617"/>
      <c r="Q636" s="1424"/>
      <c r="R636" s="1425"/>
      <c r="S636" s="1426"/>
      <c r="T636" s="1424"/>
      <c r="U636" s="1425"/>
      <c r="V636" s="1426"/>
      <c r="W636" s="1437"/>
      <c r="X636" s="1438"/>
      <c r="Y636" s="1439"/>
      <c r="Z636" s="1477"/>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t="e">
        <f t="shared" si="3"/>
        <v>#VALUE!</v>
      </c>
      <c r="ED636" s="1444"/>
      <c r="EE636" s="1444"/>
      <c r="EF636" s="1444"/>
      <c r="EG636" s="1444"/>
      <c r="EH636" s="1444" t="e">
        <f t="shared" si="4"/>
        <v>#VALUE!</v>
      </c>
      <c r="EI636" s="1444"/>
      <c r="EJ636" s="1444"/>
      <c r="EK636" s="1444"/>
      <c r="EL636" s="1444"/>
      <c r="EM636" s="1444">
        <f t="shared" si="5"/>
        <v>70.581818181818178</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3.15" customHeight="1">
      <c r="B637" s="52" t="s">
        <v>362</v>
      </c>
      <c r="C637" s="1347"/>
      <c r="D637" s="1347"/>
      <c r="E637" s="1347"/>
      <c r="F637" s="1347"/>
      <c r="G637" s="1347"/>
      <c r="H637" s="1347"/>
      <c r="I637" s="1347"/>
      <c r="J637" s="1347"/>
      <c r="K637" s="1347"/>
      <c r="L637" s="1347"/>
      <c r="M637" s="1617"/>
      <c r="N637" s="1617"/>
      <c r="O637" s="1617"/>
      <c r="P637" s="1617"/>
      <c r="Q637" s="1424"/>
      <c r="R637" s="1425"/>
      <c r="S637" s="1426"/>
      <c r="T637" s="1424"/>
      <c r="U637" s="1425"/>
      <c r="V637" s="1426"/>
      <c r="W637" s="1437"/>
      <c r="X637" s="1438"/>
      <c r="Y637" s="1439"/>
      <c r="Z637" s="1477"/>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f t="shared" si="6"/>
        <v>149.02325581395348</v>
      </c>
      <c r="ES637" s="1444"/>
      <c r="ET637" s="1444"/>
      <c r="EU637" s="1444"/>
      <c r="EV637" s="1444"/>
      <c r="EW637" s="1444" t="e">
        <f t="shared" si="7"/>
        <v>#VALUE!</v>
      </c>
      <c r="EX637" s="1444"/>
      <c r="EY637" s="1444"/>
      <c r="EZ637" s="1444"/>
      <c r="FA637" s="1444"/>
    </row>
    <row r="638" spans="2:157" ht="13.15" customHeight="1">
      <c r="B638" s="52" t="s">
        <v>363</v>
      </c>
      <c r="C638" s="1347"/>
      <c r="D638" s="1347"/>
      <c r="E638" s="1347"/>
      <c r="F638" s="1347"/>
      <c r="G638" s="1347"/>
      <c r="H638" s="1347"/>
      <c r="I638" s="1347"/>
      <c r="J638" s="1347"/>
      <c r="K638" s="1347"/>
      <c r="L638" s="1347"/>
      <c r="M638" s="1617"/>
      <c r="N638" s="1617"/>
      <c r="O638" s="1617"/>
      <c r="P638" s="1617"/>
      <c r="Q638" s="1424"/>
      <c r="R638" s="1425"/>
      <c r="S638" s="1426"/>
      <c r="T638" s="1424"/>
      <c r="U638" s="1425"/>
      <c r="V638" s="1426"/>
      <c r="W638" s="1437"/>
      <c r="X638" s="1438"/>
      <c r="Y638" s="1439"/>
      <c r="Z638" s="1477"/>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f t="shared" si="4"/>
        <v>125.33333333333333</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3.1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51891121</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f t="shared" si="6"/>
        <v>33.302325581395351</v>
      </c>
      <c r="ES639" s="1444"/>
      <c r="ET639" s="1444"/>
      <c r="EU639" s="1444"/>
      <c r="EV639" s="1444"/>
      <c r="EW639" s="1444" t="e">
        <f t="shared" si="7"/>
        <v>#VALUE!</v>
      </c>
      <c r="EX639" s="1444"/>
      <c r="EY639" s="1444"/>
      <c r="EZ639" s="1444"/>
      <c r="FA639" s="1444"/>
    </row>
    <row r="640" spans="2:157" ht="13.15" customHeight="1">
      <c r="B640" s="1448" t="s">
        <v>267</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f>'Sources and Uses Budget'!E105</f>
        <v>24548153</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f t="shared" si="4"/>
        <v>1009.9555555555554</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3.15" customHeight="1">
      <c r="B641" s="1481" t="s">
        <v>268</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76439274</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f t="shared" si="5"/>
        <v>1222.0363636363636</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f t="shared" si="6"/>
        <v>1279.6744186046512</v>
      </c>
      <c r="ES642" s="1444"/>
      <c r="ET642" s="1444"/>
      <c r="EU642" s="1444"/>
      <c r="EV642" s="1444"/>
      <c r="EW642" s="1444" t="e">
        <f t="shared" si="7"/>
        <v>#VALUE!</v>
      </c>
      <c r="EX642" s="1444"/>
      <c r="EY642" s="1444"/>
      <c r="EZ642" s="1444"/>
      <c r="FA642" s="1444"/>
    </row>
    <row r="643" spans="1:157" ht="13.15" customHeight="1">
      <c r="A643" s="55" t="s">
        <v>112</v>
      </c>
      <c r="B643" t="s">
        <v>463</v>
      </c>
      <c r="G643" s="1358" t="str">
        <f>C627</f>
        <v xml:space="preserve">JP Morgan Chase Permanent Loan </v>
      </c>
      <c r="H643" s="1358"/>
      <c r="I643" s="1358"/>
      <c r="J643" s="1358"/>
      <c r="K643" s="1358"/>
      <c r="L643" s="1358"/>
      <c r="M643" s="1358"/>
      <c r="N643" s="1358"/>
      <c r="O643" s="1358"/>
      <c r="P643" s="1358"/>
      <c r="Q643" s="1358"/>
      <c r="R643" s="1358"/>
      <c r="S643" s="8"/>
      <c r="T643" s="55" t="s">
        <v>113</v>
      </c>
      <c r="U643" t="s">
        <v>463</v>
      </c>
      <c r="Z643" s="1358" t="str">
        <f>C628</f>
        <v>Seller Carryback Loan</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f t="shared" si="4"/>
        <v>333.33333333333337</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3.15" customHeight="1">
      <c r="A644" s="22"/>
      <c r="B644" t="s">
        <v>85</v>
      </c>
      <c r="G644" s="1371" t="s">
        <v>2754</v>
      </c>
      <c r="H644" s="1371"/>
      <c r="I644" s="1371"/>
      <c r="J644" s="1371"/>
      <c r="K644" s="1371"/>
      <c r="L644" s="1371"/>
      <c r="M644" s="1371"/>
      <c r="N644" s="1371"/>
      <c r="O644" s="1371"/>
      <c r="P644" s="1371"/>
      <c r="Q644" s="1371"/>
      <c r="R644" s="1371"/>
      <c r="S644" s="8"/>
      <c r="T644" s="22"/>
      <c r="U644" t="s">
        <v>85</v>
      </c>
      <c r="Z644" s="1371" t="s">
        <v>2716</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f t="shared" si="5"/>
        <v>667.0545454545454</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3.15" customHeight="1">
      <c r="A645" s="22"/>
      <c r="B645" t="s">
        <v>580</v>
      </c>
      <c r="G645" s="1371" t="s">
        <v>730</v>
      </c>
      <c r="H645" s="1371"/>
      <c r="I645" s="1371"/>
      <c r="J645" s="1371"/>
      <c r="K645" s="1371"/>
      <c r="L645" s="1371"/>
      <c r="M645" s="1371"/>
      <c r="N645" s="1371"/>
      <c r="O645" s="1371"/>
      <c r="P645" s="1371"/>
      <c r="Q645" s="1371"/>
      <c r="R645" s="1371"/>
      <c r="T645" s="22"/>
      <c r="U645" t="s">
        <v>580</v>
      </c>
      <c r="Z645" s="1348" t="s">
        <v>2624</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f t="shared" si="6"/>
        <v>726.76744186046517</v>
      </c>
      <c r="ES645" s="1444"/>
      <c r="ET645" s="1444"/>
      <c r="EU645" s="1444"/>
      <c r="EV645" s="1444"/>
      <c r="EW645" s="1444" t="e">
        <f t="shared" si="7"/>
        <v>#VALUE!</v>
      </c>
      <c r="EX645" s="1444"/>
      <c r="EY645" s="1444"/>
      <c r="EZ645" s="1444"/>
      <c r="FA645" s="1444"/>
    </row>
    <row r="646" spans="1:157" ht="13.15" customHeight="1">
      <c r="A646" s="22"/>
      <c r="B646" t="s">
        <v>17</v>
      </c>
      <c r="G646" s="1371" t="s">
        <v>2753</v>
      </c>
      <c r="H646" s="1371"/>
      <c r="I646" s="1371"/>
      <c r="J646" s="1371"/>
      <c r="K646" s="1371"/>
      <c r="L646" s="1371"/>
      <c r="M646" s="1371"/>
      <c r="N646" s="1371"/>
      <c r="O646" s="1371"/>
      <c r="P646" s="1371"/>
      <c r="Q646" s="1371"/>
      <c r="R646" s="1371"/>
      <c r="S646" s="8"/>
      <c r="T646" s="22"/>
      <c r="U646" t="s">
        <v>17</v>
      </c>
      <c r="Z646" s="1348" t="s">
        <v>2626</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3.15" customHeight="1">
      <c r="A647" s="22"/>
      <c r="B647" t="s">
        <v>316</v>
      </c>
      <c r="G647" s="1779" t="s">
        <v>2755</v>
      </c>
      <c r="H647" s="1346"/>
      <c r="I647" s="1346"/>
      <c r="J647" s="1346"/>
      <c r="K647" s="1346"/>
      <c r="L647" s="1346"/>
      <c r="O647" s="33" t="s">
        <v>206</v>
      </c>
      <c r="P647" s="1436"/>
      <c r="Q647" s="1436"/>
      <c r="R647" s="1436"/>
      <c r="S647" s="10"/>
      <c r="T647" s="22"/>
      <c r="U647" t="s">
        <v>316</v>
      </c>
      <c r="Z647" s="1346" t="s">
        <v>2717</v>
      </c>
      <c r="AA647" s="1346"/>
      <c r="AB647" s="1346"/>
      <c r="AC647" s="1346"/>
      <c r="AD647" s="1346"/>
      <c r="AE647" s="1346"/>
      <c r="AH647" s="33" t="s">
        <v>206</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3.15" customHeight="1">
      <c r="A648" s="22"/>
      <c r="B648" t="s">
        <v>18</v>
      </c>
      <c r="H648" s="1371" t="s">
        <v>2720</v>
      </c>
      <c r="I648" s="1371"/>
      <c r="J648" s="1371"/>
      <c r="K648" s="1371"/>
      <c r="L648" s="1371"/>
      <c r="M648" s="1371"/>
      <c r="N648" s="1371"/>
      <c r="O648" s="1371"/>
      <c r="P648" s="1371"/>
      <c r="Q648" s="1371"/>
      <c r="R648" s="1371"/>
      <c r="S648" s="8"/>
      <c r="T648" s="22"/>
      <c r="U648" t="s">
        <v>18</v>
      </c>
      <c r="AA648" s="1371" t="s">
        <v>2718</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3.1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3.1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3.15" customHeight="1">
      <c r="A651" s="55" t="s">
        <v>119</v>
      </c>
      <c r="B651" t="s">
        <v>463</v>
      </c>
      <c r="G651" s="1358" t="str">
        <f>C629</f>
        <v>Accrued Interest</v>
      </c>
      <c r="H651" s="1358"/>
      <c r="I651" s="1358"/>
      <c r="J651" s="1358"/>
      <c r="K651" s="1358"/>
      <c r="L651" s="1358"/>
      <c r="M651" s="1358"/>
      <c r="N651" s="1358"/>
      <c r="O651" s="1358"/>
      <c r="P651" s="1358"/>
      <c r="Q651" s="1358"/>
      <c r="R651" s="1358"/>
      <c r="T651" s="55" t="s">
        <v>581</v>
      </c>
      <c r="U651" t="s">
        <v>463</v>
      </c>
      <c r="Z651" s="1358" t="str">
        <f>C630</f>
        <v>Income from Operations</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3.15" customHeight="1">
      <c r="A652" s="22"/>
      <c r="B652" t="s">
        <v>85</v>
      </c>
      <c r="G652" s="1371" t="s">
        <v>2716</v>
      </c>
      <c r="H652" s="1371"/>
      <c r="I652" s="1371"/>
      <c r="J652" s="1371"/>
      <c r="K652" s="1371"/>
      <c r="L652" s="1371"/>
      <c r="M652" s="1371"/>
      <c r="N652" s="1371"/>
      <c r="O652" s="1371"/>
      <c r="P652" s="1371"/>
      <c r="Q652" s="1371"/>
      <c r="R652" s="1371"/>
      <c r="T652" s="22"/>
      <c r="U652" t="s">
        <v>85</v>
      </c>
      <c r="Z652" s="1371" t="s">
        <v>2716</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3.15" customHeight="1">
      <c r="A653" s="22"/>
      <c r="B653" t="s">
        <v>580</v>
      </c>
      <c r="G653" s="1348" t="s">
        <v>2624</v>
      </c>
      <c r="H653" s="1348"/>
      <c r="I653" s="1348"/>
      <c r="J653" s="1348"/>
      <c r="K653" s="1348"/>
      <c r="L653" s="1348"/>
      <c r="M653" s="1348"/>
      <c r="N653" s="1348"/>
      <c r="O653" s="1348"/>
      <c r="P653" s="1348"/>
      <c r="Q653" s="1348"/>
      <c r="R653" s="1348"/>
      <c r="T653" s="22"/>
      <c r="U653" t="s">
        <v>580</v>
      </c>
      <c r="Z653" s="1348" t="s">
        <v>2624</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3.15" customHeight="1">
      <c r="A654" s="22"/>
      <c r="B654" t="s">
        <v>17</v>
      </c>
      <c r="G654" s="1348" t="s">
        <v>2626</v>
      </c>
      <c r="H654" s="1348"/>
      <c r="I654" s="1348"/>
      <c r="J654" s="1348"/>
      <c r="K654" s="1348"/>
      <c r="L654" s="1348"/>
      <c r="M654" s="1348"/>
      <c r="N654" s="1348"/>
      <c r="O654" s="1348"/>
      <c r="P654" s="1348"/>
      <c r="Q654" s="1348"/>
      <c r="R654" s="1348"/>
      <c r="T654" s="22"/>
      <c r="U654" t="s">
        <v>17</v>
      </c>
      <c r="Z654" s="1348" t="s">
        <v>2626</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3.15" customHeight="1">
      <c r="A655" s="22"/>
      <c r="B655" t="s">
        <v>316</v>
      </c>
      <c r="G655" s="1346" t="s">
        <v>2717</v>
      </c>
      <c r="H655" s="1346"/>
      <c r="I655" s="1346"/>
      <c r="J655" s="1346"/>
      <c r="K655" s="1346"/>
      <c r="L655" s="1346"/>
      <c r="O655" s="33" t="s">
        <v>206</v>
      </c>
      <c r="P655" s="1436"/>
      <c r="Q655" s="1436"/>
      <c r="R655" s="1436"/>
      <c r="T655" s="22"/>
      <c r="U655" t="s">
        <v>316</v>
      </c>
      <c r="Z655" s="1346" t="s">
        <v>2717</v>
      </c>
      <c r="AA655" s="1346"/>
      <c r="AB655" s="1346"/>
      <c r="AC655" s="1346"/>
      <c r="AD655" s="1346"/>
      <c r="AE655" s="1346"/>
      <c r="AH655" s="33" t="s">
        <v>206</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3.15" customHeight="1">
      <c r="A656" s="22"/>
      <c r="B656" t="s">
        <v>18</v>
      </c>
      <c r="H656" s="1371" t="s">
        <v>2103</v>
      </c>
      <c r="I656" s="1371"/>
      <c r="J656" s="1371"/>
      <c r="K656" s="1371"/>
      <c r="L656" s="1371"/>
      <c r="M656" s="1371"/>
      <c r="N656" s="1371"/>
      <c r="O656" s="1371"/>
      <c r="P656" s="1371"/>
      <c r="Q656" s="1371"/>
      <c r="R656" s="1371"/>
      <c r="T656" s="22"/>
      <c r="U656" t="s">
        <v>18</v>
      </c>
      <c r="AA656" s="1371" t="s">
        <v>2748</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3.1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3.1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3.15" customHeight="1">
      <c r="A659" s="55" t="s">
        <v>763</v>
      </c>
      <c r="B659" t="s">
        <v>463</v>
      </c>
      <c r="G659" s="1358" t="str">
        <f>C631</f>
        <v>Deferred Developer Fee</v>
      </c>
      <c r="H659" s="1358"/>
      <c r="I659" s="1358"/>
      <c r="J659" s="1358"/>
      <c r="K659" s="1358"/>
      <c r="L659" s="1358"/>
      <c r="M659" s="1358"/>
      <c r="N659" s="1358"/>
      <c r="O659" s="1358"/>
      <c r="P659" s="1358"/>
      <c r="Q659" s="1358"/>
      <c r="R659" s="1358"/>
      <c r="T659" s="55" t="s">
        <v>584</v>
      </c>
      <c r="U659" t="s">
        <v>463</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3.15" customHeight="1">
      <c r="A660" s="22"/>
      <c r="B660" t="s">
        <v>85</v>
      </c>
      <c r="G660" s="1371" t="s">
        <v>2716</v>
      </c>
      <c r="H660" s="1371"/>
      <c r="I660" s="1371"/>
      <c r="J660" s="1371"/>
      <c r="K660" s="1371"/>
      <c r="L660" s="1371"/>
      <c r="M660" s="1371"/>
      <c r="N660" s="1371"/>
      <c r="O660" s="1371"/>
      <c r="P660" s="1371"/>
      <c r="Q660" s="1371"/>
      <c r="R660" s="1371"/>
      <c r="T660" s="22"/>
      <c r="U660" t="s">
        <v>85</v>
      </c>
      <c r="Z660" s="1371"/>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3.15" customHeight="1">
      <c r="A661" s="22"/>
      <c r="B661" t="s">
        <v>580</v>
      </c>
      <c r="G661" s="1371" t="s">
        <v>2624</v>
      </c>
      <c r="H661" s="1371"/>
      <c r="I661" s="1371"/>
      <c r="J661" s="1371"/>
      <c r="K661" s="1371"/>
      <c r="L661" s="1371"/>
      <c r="M661" s="1371"/>
      <c r="N661" s="1371"/>
      <c r="O661" s="1371"/>
      <c r="P661" s="1371"/>
      <c r="Q661" s="1371"/>
      <c r="R661" s="1371"/>
      <c r="T661" s="22"/>
      <c r="U661" t="s">
        <v>580</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3.15" customHeight="1">
      <c r="A662" s="22"/>
      <c r="B662" t="s">
        <v>17</v>
      </c>
      <c r="G662" s="1371" t="s">
        <v>2626</v>
      </c>
      <c r="H662" s="1371"/>
      <c r="I662" s="1371"/>
      <c r="J662" s="1371"/>
      <c r="K662" s="1371"/>
      <c r="L662" s="1371"/>
      <c r="M662" s="1371"/>
      <c r="N662" s="1371"/>
      <c r="O662" s="1371"/>
      <c r="P662" s="1371"/>
      <c r="Q662" s="1371"/>
      <c r="R662" s="1371"/>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3.15" customHeight="1">
      <c r="A663" s="22"/>
      <c r="B663" t="s">
        <v>316</v>
      </c>
      <c r="G663" s="1346" t="s">
        <v>2717</v>
      </c>
      <c r="H663" s="1346"/>
      <c r="I663" s="1346"/>
      <c r="J663" s="1346"/>
      <c r="K663" s="1346"/>
      <c r="L663" s="1346"/>
      <c r="O663" s="33" t="s">
        <v>206</v>
      </c>
      <c r="P663" s="1436"/>
      <c r="Q663" s="1436"/>
      <c r="R663" s="1436"/>
      <c r="T663" s="22"/>
      <c r="U663" t="s">
        <v>316</v>
      </c>
      <c r="Z663" s="1346"/>
      <c r="AA663" s="1346"/>
      <c r="AB663" s="1346"/>
      <c r="AC663" s="1346"/>
      <c r="AD663" s="1346"/>
      <c r="AE663" s="1346"/>
      <c r="AH663" s="33" t="s">
        <v>206</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3.15" customHeight="1">
      <c r="A664" s="22"/>
      <c r="B664" t="s">
        <v>18</v>
      </c>
      <c r="H664" s="1371" t="s">
        <v>2319</v>
      </c>
      <c r="I664" s="1371"/>
      <c r="J664" s="1371"/>
      <c r="K664" s="1371"/>
      <c r="L664" s="1371"/>
      <c r="M664" s="1371"/>
      <c r="N664" s="1371"/>
      <c r="O664" s="1371"/>
      <c r="P664" s="1371"/>
      <c r="Q664" s="1371"/>
      <c r="R664" s="1371"/>
      <c r="T664" s="22"/>
      <c r="U664" t="s">
        <v>18</v>
      </c>
      <c r="AA664" s="1371"/>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3.15" customHeight="1">
      <c r="A665" s="22"/>
      <c r="B665" t="s">
        <v>20</v>
      </c>
      <c r="N665" s="1332" t="s">
        <v>545</v>
      </c>
      <c r="O665" s="1332"/>
      <c r="T665" s="22"/>
      <c r="U665" t="s">
        <v>20</v>
      </c>
      <c r="AG665" s="1332"/>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3.15" customHeight="1">
      <c r="A667" s="55" t="s">
        <v>455</v>
      </c>
      <c r="B667" t="s">
        <v>463</v>
      </c>
      <c r="G667" s="1358">
        <f>C633</f>
        <v>0</v>
      </c>
      <c r="H667" s="1358"/>
      <c r="I667" s="1358"/>
      <c r="J667" s="1358"/>
      <c r="K667" s="1358"/>
      <c r="L667" s="1358"/>
      <c r="M667" s="1358"/>
      <c r="N667" s="1358"/>
      <c r="O667" s="1358"/>
      <c r="P667" s="1358"/>
      <c r="Q667" s="1358"/>
      <c r="R667" s="1358"/>
      <c r="T667" s="55" t="s">
        <v>456</v>
      </c>
      <c r="U667" t="s">
        <v>463</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3.15" customHeight="1">
      <c r="A668" s="22"/>
      <c r="B668" t="s">
        <v>85</v>
      </c>
      <c r="G668" s="1371"/>
      <c r="H668" s="1371"/>
      <c r="I668" s="1371"/>
      <c r="J668" s="1371"/>
      <c r="K668" s="1371"/>
      <c r="L668" s="1371"/>
      <c r="M668" s="1371"/>
      <c r="N668" s="1371"/>
      <c r="O668" s="1371"/>
      <c r="P668" s="1371"/>
      <c r="Q668" s="1371"/>
      <c r="R668" s="1371"/>
      <c r="T668" s="22"/>
      <c r="U668" t="s">
        <v>85</v>
      </c>
      <c r="Z668" s="1371"/>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3.15" customHeight="1">
      <c r="A669" s="22"/>
      <c r="B669" t="s">
        <v>580</v>
      </c>
      <c r="G669" s="1371"/>
      <c r="H669" s="1371"/>
      <c r="I669" s="1371"/>
      <c r="J669" s="1371"/>
      <c r="K669" s="1371"/>
      <c r="L669" s="1371"/>
      <c r="M669" s="1371"/>
      <c r="N669" s="1371"/>
      <c r="O669" s="1371"/>
      <c r="P669" s="1371"/>
      <c r="Q669" s="1371"/>
      <c r="R669" s="1371"/>
      <c r="T669" s="22"/>
      <c r="U669" t="s">
        <v>580</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3.15" customHeight="1">
      <c r="A670" s="22"/>
      <c r="B670" t="s">
        <v>17</v>
      </c>
      <c r="G670" s="1371"/>
      <c r="H670" s="1371"/>
      <c r="I670" s="1371"/>
      <c r="J670" s="1371"/>
      <c r="K670" s="1371"/>
      <c r="L670" s="1371"/>
      <c r="M670" s="1371"/>
      <c r="N670" s="1371"/>
      <c r="O670" s="1371"/>
      <c r="P670" s="1371"/>
      <c r="Q670" s="1371"/>
      <c r="R670" s="1371"/>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0</v>
      </c>
      <c r="ED670" s="1444"/>
      <c r="EE670" s="1444"/>
      <c r="EF670" s="1444"/>
      <c r="EG670" s="1444"/>
      <c r="EH670" s="1444">
        <f>SUMIF(EH635:EL669,"&gt;0")</f>
        <v>1631.0222222222224</v>
      </c>
      <c r="EI670" s="1444"/>
      <c r="EJ670" s="1444"/>
      <c r="EK670" s="1444"/>
      <c r="EL670" s="1444"/>
      <c r="EM670" s="1444">
        <f>SUMIF(EM635:EQ669,"&gt;0")</f>
        <v>1959.6727272727271</v>
      </c>
      <c r="EN670" s="1444"/>
      <c r="EO670" s="1444"/>
      <c r="EP670" s="1444"/>
      <c r="EQ670" s="1444"/>
      <c r="ER670" s="1444">
        <f>SUMIF(ER635:EV669,"&gt;0")</f>
        <v>2188.7674418604652</v>
      </c>
      <c r="ES670" s="1444"/>
      <c r="ET670" s="1444"/>
      <c r="EU670" s="1444"/>
      <c r="EV670" s="1444"/>
      <c r="EW670" s="1444">
        <f>SUMIF(EW635:FA669,"&gt;0")</f>
        <v>0</v>
      </c>
      <c r="EX670" s="1444"/>
      <c r="EY670" s="1444"/>
      <c r="EZ670" s="1444"/>
      <c r="FA670" s="1444"/>
    </row>
    <row r="671" spans="1:157" ht="13.15" customHeight="1">
      <c r="A671" s="22"/>
      <c r="B671" t="s">
        <v>316</v>
      </c>
      <c r="G671" s="1346"/>
      <c r="H671" s="1346"/>
      <c r="I671" s="1346"/>
      <c r="J671" s="1346"/>
      <c r="K671" s="1346"/>
      <c r="L671" s="1346"/>
      <c r="O671" s="33" t="s">
        <v>206</v>
      </c>
      <c r="P671" s="1436"/>
      <c r="Q671" s="1436"/>
      <c r="R671" s="1436"/>
      <c r="T671" s="22"/>
      <c r="U671" t="s">
        <v>316</v>
      </c>
      <c r="Z671" s="1346"/>
      <c r="AA671" s="1346"/>
      <c r="AB671" s="1346"/>
      <c r="AC671" s="1346"/>
      <c r="AD671" s="1346"/>
      <c r="AE671" s="1346"/>
      <c r="AH671" s="33" t="s">
        <v>206</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371"/>
      <c r="I672" s="1371"/>
      <c r="J672" s="1371"/>
      <c r="K672" s="1371"/>
      <c r="L672" s="1371"/>
      <c r="M672" s="1371"/>
      <c r="N672" s="1371"/>
      <c r="O672" s="1371"/>
      <c r="P672" s="1371"/>
      <c r="Q672" s="1371"/>
      <c r="R672" s="1371"/>
      <c r="T672" s="22"/>
      <c r="U672" t="s">
        <v>18</v>
      </c>
      <c r="AA672" s="1371"/>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332" t="s">
        <v>669</v>
      </c>
      <c r="O673" s="1332"/>
      <c r="T673" s="22"/>
      <c r="U673" t="s">
        <v>20</v>
      </c>
      <c r="AG673" s="1332" t="s">
        <v>669</v>
      </c>
      <c r="AH673" s="1332"/>
      <c r="AZ673" s="3"/>
    </row>
    <row r="674" spans="1:52" ht="13.15" customHeight="1">
      <c r="A674" s="22"/>
      <c r="T674" s="22"/>
      <c r="AZ674" s="3"/>
    </row>
    <row r="675" spans="1:52" ht="13.1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3.1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1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3.1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15" customHeight="1">
      <c r="A679" s="22"/>
      <c r="B679" t="s">
        <v>316</v>
      </c>
      <c r="G679" s="1346"/>
      <c r="H679" s="1346"/>
      <c r="I679" s="1346"/>
      <c r="J679" s="1346"/>
      <c r="K679" s="1346"/>
      <c r="L679" s="1346"/>
      <c r="O679" s="33" t="s">
        <v>206</v>
      </c>
      <c r="P679" s="1436"/>
      <c r="Q679" s="1436"/>
      <c r="R679" s="1436"/>
      <c r="T679" s="22"/>
      <c r="U679" t="s">
        <v>316</v>
      </c>
      <c r="Z679" s="1346"/>
      <c r="AA679" s="1346"/>
      <c r="AB679" s="1346"/>
      <c r="AC679" s="1346"/>
      <c r="AD679" s="1346"/>
      <c r="AE679" s="1346"/>
      <c r="AH679" s="33" t="s">
        <v>206</v>
      </c>
      <c r="AI679" s="1436"/>
      <c r="AJ679" s="1436"/>
      <c r="AK679" s="1436"/>
      <c r="AZ679" s="3"/>
    </row>
    <row r="680" spans="1:52" ht="13.1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15" customHeight="1">
      <c r="A681" s="22"/>
      <c r="B681" t="s">
        <v>20</v>
      </c>
      <c r="N681" s="1332" t="s">
        <v>669</v>
      </c>
      <c r="O681" s="1332"/>
      <c r="T681" s="22"/>
      <c r="U681" t="s">
        <v>20</v>
      </c>
      <c r="AG681" s="1332" t="s">
        <v>669</v>
      </c>
      <c r="AH681" s="1332"/>
      <c r="AZ681" s="3"/>
    </row>
    <row r="682" spans="1:52" ht="13.15" customHeight="1">
      <c r="A682" s="22"/>
      <c r="T682" s="22"/>
      <c r="AZ682" s="3"/>
    </row>
    <row r="683" spans="1:52" ht="13.15" customHeight="1">
      <c r="A683" s="55" t="s">
        <v>362</v>
      </c>
      <c r="B683" t="s">
        <v>463</v>
      </c>
      <c r="G683" s="1358">
        <f>C637</f>
        <v>0</v>
      </c>
      <c r="H683" s="1358"/>
      <c r="I683" s="1358"/>
      <c r="J683" s="1358"/>
      <c r="K683" s="1358"/>
      <c r="L683" s="1358"/>
      <c r="M683" s="1358"/>
      <c r="N683" s="1358"/>
      <c r="O683" s="1358"/>
      <c r="P683" s="1358"/>
      <c r="Q683" s="1358"/>
      <c r="R683" s="1358"/>
      <c r="T683" s="55" t="s">
        <v>363</v>
      </c>
      <c r="U683" t="s">
        <v>463</v>
      </c>
      <c r="Z683" s="1358">
        <f>C638</f>
        <v>0</v>
      </c>
      <c r="AA683" s="1358"/>
      <c r="AB683" s="1358"/>
      <c r="AC683" s="1358"/>
      <c r="AD683" s="1358"/>
      <c r="AE683" s="1358"/>
      <c r="AF683" s="1358"/>
      <c r="AG683" s="1358"/>
      <c r="AH683" s="1358"/>
      <c r="AI683" s="1358"/>
      <c r="AJ683" s="1358"/>
      <c r="AK683" s="1358"/>
      <c r="AZ683" s="3"/>
    </row>
    <row r="684" spans="1:52" ht="13.1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1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3.1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15" customHeight="1">
      <c r="B687" t="s">
        <v>316</v>
      </c>
      <c r="G687" s="1346"/>
      <c r="H687" s="1346"/>
      <c r="I687" s="1346"/>
      <c r="J687" s="1346"/>
      <c r="K687" s="1346"/>
      <c r="L687" s="1346"/>
      <c r="O687" s="33" t="s">
        <v>206</v>
      </c>
      <c r="P687" s="1436"/>
      <c r="Q687" s="1436"/>
      <c r="R687" s="1436"/>
      <c r="U687" t="s">
        <v>316</v>
      </c>
      <c r="Z687" s="1346"/>
      <c r="AA687" s="1346"/>
      <c r="AB687" s="1346"/>
      <c r="AC687" s="1346"/>
      <c r="AD687" s="1346"/>
      <c r="AE687" s="1346"/>
      <c r="AH687" s="33" t="s">
        <v>206</v>
      </c>
      <c r="AI687" s="1436"/>
      <c r="AJ687" s="1436"/>
      <c r="AK687" s="1436"/>
      <c r="AZ687" s="3"/>
    </row>
    <row r="688" spans="1:52" ht="13.1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15" customHeight="1">
      <c r="B689" t="s">
        <v>20</v>
      </c>
      <c r="N689" s="1332" t="s">
        <v>669</v>
      </c>
      <c r="O689" s="1332"/>
      <c r="U689" t="s">
        <v>20</v>
      </c>
      <c r="AG689" s="1332" t="s">
        <v>669</v>
      </c>
      <c r="AH689" s="1332"/>
      <c r="AZ689" s="3"/>
    </row>
    <row r="690" spans="1:67" ht="13.15" customHeight="1">
      <c r="AZ690" s="3"/>
    </row>
    <row r="691" spans="1:67" ht="13.15" customHeight="1">
      <c r="A691" s="2" t="s">
        <v>576</v>
      </c>
      <c r="C691" s="2" t="s">
        <v>327</v>
      </c>
      <c r="E691" s="130"/>
      <c r="F691" s="130"/>
      <c r="G691" s="130"/>
      <c r="H691" s="130"/>
      <c r="AZ691" s="3"/>
    </row>
    <row r="692" spans="1:67" ht="13.15" customHeight="1">
      <c r="B692" s="135"/>
      <c r="C692" s="135"/>
      <c r="D692" s="136" t="s">
        <v>434</v>
      </c>
      <c r="E692" s="135"/>
      <c r="F692" s="135"/>
      <c r="G692" s="135"/>
      <c r="H692" s="135"/>
      <c r="AZ692" s="3"/>
    </row>
    <row r="693" spans="1:67" ht="13.15" customHeight="1">
      <c r="B693" s="135"/>
      <c r="C693" s="135"/>
      <c r="E693" s="136" t="s">
        <v>435</v>
      </c>
      <c r="F693" s="135"/>
      <c r="G693" s="135"/>
      <c r="H693" s="135"/>
      <c r="AE693" s="1332" t="s">
        <v>669</v>
      </c>
      <c r="AF693" s="1332"/>
      <c r="AZ693" s="3"/>
    </row>
    <row r="694" spans="1:67" ht="13.15" customHeight="1">
      <c r="B694" s="135"/>
      <c r="C694" s="135"/>
      <c r="D694" s="136" t="s">
        <v>438</v>
      </c>
      <c r="E694" s="135"/>
      <c r="F694" s="135"/>
      <c r="G694" s="135"/>
      <c r="H694" s="135"/>
      <c r="AE694" s="1332" t="s">
        <v>669</v>
      </c>
      <c r="AF694" s="1332"/>
      <c r="AZ694" s="3"/>
    </row>
    <row r="695" spans="1:67" ht="13.15" customHeight="1">
      <c r="B695" s="135"/>
      <c r="C695" s="135"/>
      <c r="D695" s="136" t="s">
        <v>920</v>
      </c>
      <c r="E695" s="135"/>
      <c r="F695" s="135"/>
      <c r="G695" s="135"/>
      <c r="H695" s="135"/>
      <c r="AE695" s="1690">
        <v>45909</v>
      </c>
      <c r="AF695" s="1690"/>
      <c r="AG695" s="1690"/>
      <c r="AH695" s="1690"/>
      <c r="AI695" s="1690"/>
    </row>
    <row r="696" spans="1:67" ht="13.15" customHeight="1">
      <c r="B696" s="135"/>
      <c r="C696" s="135"/>
      <c r="D696" s="317" t="s">
        <v>982</v>
      </c>
      <c r="E696" s="135"/>
      <c r="F696" s="135"/>
      <c r="G696" s="135"/>
      <c r="H696" s="135"/>
      <c r="AE696" s="1701">
        <v>45980</v>
      </c>
      <c r="AF696" s="1701"/>
      <c r="AG696" s="1701"/>
      <c r="AH696" s="1701"/>
      <c r="AI696" s="1701"/>
    </row>
    <row r="697" spans="1:67" ht="13.15" customHeight="1">
      <c r="B697" s="135"/>
      <c r="C697" s="135"/>
    </row>
    <row r="698" spans="1:67" ht="13.15" customHeight="1">
      <c r="B698" s="135"/>
      <c r="C698" s="135"/>
      <c r="D698" s="136" t="s">
        <v>816</v>
      </c>
      <c r="E698" s="135"/>
      <c r="F698" s="135"/>
      <c r="G698" s="135"/>
      <c r="H698" s="135"/>
      <c r="AE698" s="1690">
        <v>46143</v>
      </c>
      <c r="AF698" s="1690"/>
      <c r="AG698" s="1690"/>
      <c r="AH698" s="1690"/>
      <c r="AI698" s="1690"/>
    </row>
    <row r="699" spans="1:67" ht="13.15" customHeight="1">
      <c r="B699" s="135"/>
      <c r="C699" s="135"/>
      <c r="D699" s="136" t="s">
        <v>436</v>
      </c>
      <c r="E699" s="135"/>
      <c r="F699" s="135"/>
      <c r="G699" s="135"/>
      <c r="H699" s="135"/>
      <c r="AE699" s="1660">
        <v>0.3</v>
      </c>
      <c r="AF699" s="1660"/>
      <c r="AG699" s="1660"/>
      <c r="AH699" s="1660"/>
      <c r="AI699" s="1660"/>
    </row>
    <row r="700" spans="1:67" ht="13.15" customHeight="1">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15" customHeight="1">
      <c r="B701" s="135"/>
      <c r="C701" s="135"/>
      <c r="D701" s="136"/>
      <c r="E701" s="135"/>
      <c r="F701" s="135"/>
      <c r="G701" s="135"/>
      <c r="H701" s="135"/>
    </row>
    <row r="702" spans="1:67" ht="13.15" customHeight="1">
      <c r="B702" s="135"/>
      <c r="C702" s="135"/>
      <c r="D702" s="136" t="s">
        <v>439</v>
      </c>
      <c r="E702" s="135"/>
      <c r="F702" s="135"/>
      <c r="G702" s="135"/>
      <c r="H702" s="135"/>
      <c r="AE702" s="1332" t="s">
        <v>669</v>
      </c>
      <c r="AF702" s="1332"/>
      <c r="AZ702" s="4" t="s">
        <v>324</v>
      </c>
    </row>
    <row r="703" spans="1:67" ht="13.15"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1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15" customHeight="1">
      <c r="B705" s="135"/>
      <c r="C705" s="135"/>
      <c r="D705" s="136" t="s">
        <v>88</v>
      </c>
      <c r="J705" s="1346"/>
      <c r="K705" s="1346"/>
      <c r="L705" s="1346"/>
      <c r="M705" s="1346"/>
      <c r="N705" s="1346"/>
      <c r="O705" s="1346"/>
      <c r="P705" s="4" t="s">
        <v>206</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443</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362" t="s">
        <v>389</v>
      </c>
      <c r="C714" s="1363"/>
      <c r="D714" s="1363"/>
      <c r="E714" s="1363"/>
      <c r="F714" s="1364"/>
      <c r="G714" s="1362" t="s">
        <v>285</v>
      </c>
      <c r="H714" s="1363"/>
      <c r="I714" s="1363"/>
      <c r="J714" s="1364"/>
      <c r="K714" s="1718" t="s">
        <v>1678</v>
      </c>
      <c r="L714" s="1719"/>
      <c r="M714" s="1719"/>
      <c r="N714" s="1720"/>
      <c r="O714" s="1362" t="s">
        <v>447</v>
      </c>
      <c r="P714" s="1363"/>
      <c r="Q714" s="1363"/>
      <c r="R714" s="1363"/>
      <c r="S714" s="1364"/>
      <c r="T714" s="1658" t="s">
        <v>1948</v>
      </c>
      <c r="U714" s="1363"/>
      <c r="V714" s="1363"/>
      <c r="W714" s="1364"/>
      <c r="X714" s="1658" t="s">
        <v>1950</v>
      </c>
      <c r="Y714" s="1363"/>
      <c r="Z714" s="1363"/>
      <c r="AA714" s="1363"/>
      <c r="AB714" s="1364"/>
      <c r="AC714" s="1658" t="s">
        <v>1949</v>
      </c>
      <c r="AD714" s="1363"/>
      <c r="AE714" s="1363"/>
      <c r="AF714" s="1363"/>
      <c r="AG714" s="1364"/>
      <c r="AH714" s="1658" t="s">
        <v>1951</v>
      </c>
      <c r="AI714" s="1363"/>
      <c r="AJ714" s="1364"/>
      <c r="AK714" s="1658" t="s">
        <v>1978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6" t="s">
        <v>633</v>
      </c>
      <c r="CQ717" s="1387"/>
      <c r="CR717" s="1387"/>
      <c r="CS717" s="1387"/>
      <c r="CT717" s="1388"/>
      <c r="CU717" s="1461" t="s">
        <v>325</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325</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325</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3.15" customHeight="1">
      <c r="A718" s="4"/>
      <c r="B718" s="1337" t="s">
        <v>163</v>
      </c>
      <c r="C718" s="1338"/>
      <c r="D718" s="1338"/>
      <c r="E718" s="1338"/>
      <c r="F718" s="1339"/>
      <c r="G718" s="1349">
        <v>6</v>
      </c>
      <c r="H718" s="1350"/>
      <c r="I718" s="1350"/>
      <c r="J718" s="1351"/>
      <c r="K718" s="1343">
        <v>1048</v>
      </c>
      <c r="L718" s="1344"/>
      <c r="M718" s="1344"/>
      <c r="N718" s="1345"/>
      <c r="O718" s="1340">
        <v>1218</v>
      </c>
      <c r="P718" s="1341"/>
      <c r="Q718" s="1341"/>
      <c r="R718" s="1341"/>
      <c r="S718" s="1342"/>
      <c r="T718" s="1340">
        <v>97</v>
      </c>
      <c r="U718" s="1341"/>
      <c r="V718" s="1341"/>
      <c r="W718" s="1342"/>
      <c r="X718" s="1352">
        <f t="shared" ref="X718:X741" si="8">O718+T718</f>
        <v>1315</v>
      </c>
      <c r="Y718" s="1353"/>
      <c r="Z718" s="1353"/>
      <c r="AA718" s="1353"/>
      <c r="AB718" s="1354"/>
      <c r="AC718" s="1359">
        <v>0.3</v>
      </c>
      <c r="AD718" s="1360"/>
      <c r="AE718" s="1360"/>
      <c r="AF718" s="1360"/>
      <c r="AG718" s="1361"/>
      <c r="AH718" s="1355">
        <f>IF($AC718&gt;0,($X718/$AZ718), "")</f>
        <v>0.29080053073861123</v>
      </c>
      <c r="AI718" s="1356"/>
      <c r="AJ718" s="1357"/>
      <c r="AK718" s="1337" t="s">
        <v>591</v>
      </c>
      <c r="AL718" s="1338"/>
      <c r="AM718" s="1338"/>
      <c r="AN718" s="1338"/>
      <c r="AO718" s="1339"/>
      <c r="AP718" s="3"/>
      <c r="AQ718" s="3"/>
      <c r="AR718" s="3"/>
      <c r="AS718" s="3"/>
      <c r="AZ718" s="118">
        <f t="shared" ref="AZ718:AZ752" si="9">IF($G718=0,"N/A",VLOOKUP($T$189,TC_Rent,(MATCH($B718,bedrooms,FALSE)),FALSE))</f>
        <v>4522</v>
      </c>
      <c r="BA718" s="3"/>
      <c r="BB718" s="3"/>
      <c r="BC718" s="3"/>
      <c r="BD718" s="3"/>
      <c r="BE718" s="204"/>
      <c r="BF718" s="293">
        <f t="shared" ref="BF718:BF752" si="10">G718</f>
        <v>6</v>
      </c>
      <c r="BG718" s="297">
        <f t="shared" ref="BG718:BG752" si="11">IF($BF$753=0,0,BF718/$BF$753)</f>
        <v>4.195804195804196E-2</v>
      </c>
      <c r="BH718" s="298">
        <f t="shared" ref="BH718:BH752" si="12">IF(BG718=0,"",BG718*AC718)</f>
        <v>1.2587412587412588E-2</v>
      </c>
      <c r="BI718" s="3"/>
      <c r="BJ718" s="3"/>
      <c r="BK718" s="3"/>
      <c r="BL718" s="3"/>
      <c r="BM718" s="3"/>
      <c r="BN718" s="3"/>
      <c r="BS718" s="293">
        <f t="shared" ref="BS718:BS752" si="13">G718</f>
        <v>6</v>
      </c>
      <c r="BT718" s="297">
        <f t="shared" ref="BT718:BT752" si="14">IF($BS$753=0,0,BS718/$BS$753)</f>
        <v>4.195804195804196E-2</v>
      </c>
      <c r="BU718" s="298">
        <f t="shared" ref="BU718:BU752" si="15">IF(BT718=0,"",BT718*AH718)</f>
        <v>1.2201420870151521E-2</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6</v>
      </c>
      <c r="CN718" s="1469"/>
      <c r="CO718" s="3"/>
      <c r="CP718" s="1457">
        <f t="shared" ref="CP718:CP752" si="18">IF(B718="SRO/Studio",G718,0)</f>
        <v>0</v>
      </c>
      <c r="CQ718" s="1458"/>
      <c r="CR718" s="1458"/>
      <c r="CS718" s="1458"/>
      <c r="CT718" s="1459"/>
      <c r="CU718" s="1442">
        <f t="shared" ref="CU718:CU752" si="19">IF(B718="1 Bedroom",G718,0)</f>
        <v>0</v>
      </c>
      <c r="CV718" s="1442"/>
      <c r="CW718" s="1442"/>
      <c r="CX718" s="1442"/>
      <c r="CY718" s="1442"/>
      <c r="CZ718" s="1442">
        <f t="shared" ref="CZ718:CZ752" si="20">IF(B718="2 Bedrooms",G718,0)</f>
        <v>6</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0</v>
      </c>
      <c r="EA718" s="1443"/>
      <c r="EB718" s="1443"/>
      <c r="EC718" s="1443"/>
      <c r="ED718" s="1443"/>
      <c r="EE718" s="1443">
        <f t="shared" ref="EE718:EE752" si="26">IF(AND(B718="2 Bedrooms",AC718&lt;=0.3),G718,0)</f>
        <v>6</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t="str">
        <f t="shared" ref="FE718:FE752" si="31">IF(CU718&gt;0,O718,"")</f>
        <v/>
      </c>
      <c r="FF718" s="1464"/>
      <c r="FG718" s="1464"/>
      <c r="FH718" s="1464"/>
      <c r="FI718" s="1463"/>
      <c r="FJ718" s="1462">
        <f t="shared" ref="FJ718:FJ752" si="32">IF(CZ718&gt;0,O718,"")</f>
        <v>1218</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3.15" customHeight="1">
      <c r="A719" s="4"/>
      <c r="B719" s="1337" t="s">
        <v>164</v>
      </c>
      <c r="C719" s="1338"/>
      <c r="D719" s="1338"/>
      <c r="E719" s="1338"/>
      <c r="F719" s="1339"/>
      <c r="G719" s="1349">
        <v>3</v>
      </c>
      <c r="H719" s="1350"/>
      <c r="I719" s="1350"/>
      <c r="J719" s="1351"/>
      <c r="K719" s="1343">
        <v>1245</v>
      </c>
      <c r="L719" s="1344"/>
      <c r="M719" s="1344"/>
      <c r="N719" s="1345"/>
      <c r="O719" s="1340">
        <v>1294</v>
      </c>
      <c r="P719" s="1341"/>
      <c r="Q719" s="1341"/>
      <c r="R719" s="1341"/>
      <c r="S719" s="1342"/>
      <c r="T719" s="1340">
        <v>120</v>
      </c>
      <c r="U719" s="1341"/>
      <c r="V719" s="1341"/>
      <c r="W719" s="1342"/>
      <c r="X719" s="1352">
        <f t="shared" si="8"/>
        <v>1414</v>
      </c>
      <c r="Y719" s="1353"/>
      <c r="Z719" s="1353"/>
      <c r="AA719" s="1353"/>
      <c r="AB719" s="1354"/>
      <c r="AC719" s="1359">
        <v>0.3</v>
      </c>
      <c r="AD719" s="1360"/>
      <c r="AE719" s="1360"/>
      <c r="AF719" s="1360"/>
      <c r="AG719" s="1361"/>
      <c r="AH719" s="1355">
        <f t="shared" ref="AH719:AH752" si="36">IF($AC719&gt;0,($X719/$AZ719), "")</f>
        <v>0.27077747989276141</v>
      </c>
      <c r="AI719" s="1356"/>
      <c r="AJ719" s="1357"/>
      <c r="AK719" s="1337" t="s">
        <v>591</v>
      </c>
      <c r="AL719" s="1338"/>
      <c r="AM719" s="1338"/>
      <c r="AN719" s="1338"/>
      <c r="AO719" s="1339"/>
      <c r="AP719" s="3"/>
      <c r="AQ719" s="3"/>
      <c r="AR719" s="3"/>
      <c r="AS719" s="3"/>
      <c r="AZ719" s="118">
        <f t="shared" si="9"/>
        <v>5222</v>
      </c>
      <c r="BA719" s="3"/>
      <c r="BB719" s="3"/>
      <c r="BC719" s="3"/>
      <c r="BD719" s="3"/>
      <c r="BE719" s="204"/>
      <c r="BF719" s="294">
        <f t="shared" si="10"/>
        <v>3</v>
      </c>
      <c r="BG719" s="297">
        <f t="shared" si="11"/>
        <v>2.097902097902098E-2</v>
      </c>
      <c r="BH719" s="298">
        <f t="shared" si="12"/>
        <v>6.2937062937062941E-3</v>
      </c>
      <c r="BI719" s="3"/>
      <c r="BJ719" s="3"/>
      <c r="BK719" s="3"/>
      <c r="BL719" s="3"/>
      <c r="BM719" s="3"/>
      <c r="BN719" s="3"/>
      <c r="BS719" s="294">
        <f t="shared" si="13"/>
        <v>3</v>
      </c>
      <c r="BT719" s="297">
        <f t="shared" si="14"/>
        <v>2.097902097902098E-2</v>
      </c>
      <c r="BU719" s="298">
        <f t="shared" si="15"/>
        <v>5.6806464313166735E-3</v>
      </c>
      <c r="CC719" s="3"/>
      <c r="CD719" s="3"/>
      <c r="CE719" s="3"/>
      <c r="CF719" s="3"/>
      <c r="CG719" s="1462">
        <f t="shared" ref="CG719:CG752" si="37">IF(AND(AC719&lt;=0.5,AC719&gt;=0.36),1,0)</f>
        <v>0</v>
      </c>
      <c r="CH719" s="1463"/>
      <c r="CI719" s="1468">
        <f t="shared" ref="CI719:CI752" si="38">IF(CG719=1,G719,0)</f>
        <v>0</v>
      </c>
      <c r="CJ719" s="1469"/>
      <c r="CK719" s="1462">
        <f t="shared" si="16"/>
        <v>1</v>
      </c>
      <c r="CL719" s="1463"/>
      <c r="CM719" s="1468">
        <f t="shared" si="17"/>
        <v>3</v>
      </c>
      <c r="CN719" s="1469"/>
      <c r="CO719" s="3"/>
      <c r="CP719" s="1457">
        <f t="shared" si="18"/>
        <v>0</v>
      </c>
      <c r="CQ719" s="1458"/>
      <c r="CR719" s="1458"/>
      <c r="CS719" s="1458"/>
      <c r="CT719" s="1459"/>
      <c r="CU719" s="1442">
        <f t="shared" si="19"/>
        <v>0</v>
      </c>
      <c r="CV719" s="1442"/>
      <c r="CW719" s="1442"/>
      <c r="CX719" s="1442"/>
      <c r="CY719" s="1442"/>
      <c r="CZ719" s="1442">
        <f t="shared" si="20"/>
        <v>0</v>
      </c>
      <c r="DA719" s="1442"/>
      <c r="DB719" s="1442"/>
      <c r="DC719" s="1442"/>
      <c r="DD719" s="1442"/>
      <c r="DE719" s="1442">
        <f t="shared" si="21"/>
        <v>3</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3</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t="str">
        <f t="shared" si="31"/>
        <v/>
      </c>
      <c r="FF719" s="1464"/>
      <c r="FG719" s="1464"/>
      <c r="FH719" s="1464"/>
      <c r="FI719" s="1463"/>
      <c r="FJ719" s="1462" t="str">
        <f t="shared" si="32"/>
        <v/>
      </c>
      <c r="FK719" s="1464"/>
      <c r="FL719" s="1464"/>
      <c r="FM719" s="1464"/>
      <c r="FN719" s="1463"/>
      <c r="FO719" s="1462">
        <f t="shared" si="33"/>
        <v>1294</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3.15" customHeight="1">
      <c r="A720" s="4"/>
      <c r="B720" s="1337" t="s">
        <v>165</v>
      </c>
      <c r="C720" s="1338"/>
      <c r="D720" s="1338"/>
      <c r="E720" s="1338"/>
      <c r="F720" s="1339"/>
      <c r="G720" s="1349">
        <v>4</v>
      </c>
      <c r="H720" s="1350"/>
      <c r="I720" s="1350"/>
      <c r="J720" s="1351"/>
      <c r="K720" s="1343">
        <v>1582</v>
      </c>
      <c r="L720" s="1344"/>
      <c r="M720" s="1344"/>
      <c r="N720" s="1345"/>
      <c r="O720" s="1340">
        <v>1602</v>
      </c>
      <c r="P720" s="1341"/>
      <c r="Q720" s="1341"/>
      <c r="R720" s="1341"/>
      <c r="S720" s="1342"/>
      <c r="T720" s="1340">
        <v>146</v>
      </c>
      <c r="U720" s="1341"/>
      <c r="V720" s="1341"/>
      <c r="W720" s="1342"/>
      <c r="X720" s="1352">
        <f t="shared" si="8"/>
        <v>1748</v>
      </c>
      <c r="Y720" s="1353"/>
      <c r="Z720" s="1353"/>
      <c r="AA720" s="1353"/>
      <c r="AB720" s="1354"/>
      <c r="AC720" s="1359">
        <v>0.3</v>
      </c>
      <c r="AD720" s="1360"/>
      <c r="AE720" s="1360"/>
      <c r="AF720" s="1360"/>
      <c r="AG720" s="1361"/>
      <c r="AH720" s="1355">
        <f t="shared" si="36"/>
        <v>0.30003432887058018</v>
      </c>
      <c r="AI720" s="1356"/>
      <c r="AJ720" s="1357"/>
      <c r="AK720" s="1337" t="s">
        <v>591</v>
      </c>
      <c r="AL720" s="1338"/>
      <c r="AM720" s="1338"/>
      <c r="AN720" s="1338"/>
      <c r="AO720" s="1339"/>
      <c r="AP720" s="3"/>
      <c r="AQ720" s="3"/>
      <c r="AR720" s="3"/>
      <c r="AS720" s="3"/>
      <c r="AZ720" s="118">
        <f t="shared" si="9"/>
        <v>5826</v>
      </c>
      <c r="BA720" s="3"/>
      <c r="BB720" s="3"/>
      <c r="BC720" s="3"/>
      <c r="BD720" s="3"/>
      <c r="BE720" s="204"/>
      <c r="BF720" s="294">
        <f t="shared" si="10"/>
        <v>4</v>
      </c>
      <c r="BG720" s="297">
        <f t="shared" si="11"/>
        <v>2.7972027972027972E-2</v>
      </c>
      <c r="BH720" s="298">
        <f t="shared" si="12"/>
        <v>8.3916083916083916E-3</v>
      </c>
      <c r="BI720" s="3"/>
      <c r="BJ720" s="3"/>
      <c r="BK720" s="3"/>
      <c r="BL720" s="3"/>
      <c r="BM720" s="3"/>
      <c r="BN720" s="3"/>
      <c r="BS720" s="294">
        <f t="shared" si="13"/>
        <v>4</v>
      </c>
      <c r="BT720" s="297">
        <f t="shared" si="14"/>
        <v>2.7972027972027972E-2</v>
      </c>
      <c r="BU720" s="298">
        <f t="shared" si="15"/>
        <v>8.3925686397365081E-3</v>
      </c>
      <c r="CC720" s="3"/>
      <c r="CD720" s="3"/>
      <c r="CE720" s="3"/>
      <c r="CF720" s="3"/>
      <c r="CG720" s="1462">
        <f t="shared" si="37"/>
        <v>0</v>
      </c>
      <c r="CH720" s="1463"/>
      <c r="CI720" s="1468">
        <f t="shared" si="38"/>
        <v>0</v>
      </c>
      <c r="CJ720" s="1469"/>
      <c r="CK720" s="1462">
        <f t="shared" si="16"/>
        <v>1</v>
      </c>
      <c r="CL720" s="1463"/>
      <c r="CM720" s="1468">
        <f t="shared" si="17"/>
        <v>4</v>
      </c>
      <c r="CN720" s="1469"/>
      <c r="CO720" s="3"/>
      <c r="CP720" s="1457">
        <f t="shared" si="18"/>
        <v>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4</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4</v>
      </c>
      <c r="EP720" s="1443"/>
      <c r="EQ720" s="1443"/>
      <c r="ER720" s="1443"/>
      <c r="ES720" s="1443"/>
      <c r="ET720" s="1443">
        <f t="shared" si="29"/>
        <v>0</v>
      </c>
      <c r="EU720" s="1443"/>
      <c r="EV720" s="1443"/>
      <c r="EW720" s="1443"/>
      <c r="EX720" s="1443"/>
      <c r="EZ720" s="1462" t="str">
        <f t="shared" si="30"/>
        <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f t="shared" si="34"/>
        <v>1602</v>
      </c>
      <c r="FU720" s="1464"/>
      <c r="FV720" s="1464"/>
      <c r="FW720" s="1464"/>
      <c r="FX720" s="1463"/>
      <c r="FY720" s="1462" t="str">
        <f t="shared" si="35"/>
        <v/>
      </c>
      <c r="FZ720" s="1464"/>
      <c r="GA720" s="1464"/>
      <c r="GB720" s="1464"/>
      <c r="GC720" s="1463"/>
    </row>
    <row r="721" spans="1:185" ht="13.15" customHeight="1">
      <c r="B721" s="1337" t="s">
        <v>163</v>
      </c>
      <c r="C721" s="1338"/>
      <c r="D721" s="1338"/>
      <c r="E721" s="1338"/>
      <c r="F721" s="1339"/>
      <c r="G721" s="1349">
        <v>5</v>
      </c>
      <c r="H721" s="1350"/>
      <c r="I721" s="1350"/>
      <c r="J721" s="1351"/>
      <c r="K721" s="1343">
        <v>1048</v>
      </c>
      <c r="L721" s="1344"/>
      <c r="M721" s="1344"/>
      <c r="N721" s="1345"/>
      <c r="O721" s="1340">
        <v>1128</v>
      </c>
      <c r="P721" s="1341"/>
      <c r="Q721" s="1341"/>
      <c r="R721" s="1341"/>
      <c r="S721" s="1342"/>
      <c r="T721" s="1340">
        <v>97</v>
      </c>
      <c r="U721" s="1341"/>
      <c r="V721" s="1341"/>
      <c r="W721" s="1342"/>
      <c r="X721" s="1352">
        <f t="shared" si="8"/>
        <v>1225</v>
      </c>
      <c r="Y721" s="1353"/>
      <c r="Z721" s="1353"/>
      <c r="AA721" s="1353"/>
      <c r="AB721" s="1354"/>
      <c r="AC721" s="1359">
        <v>0.35</v>
      </c>
      <c r="AD721" s="1360"/>
      <c r="AE721" s="1360"/>
      <c r="AF721" s="1360"/>
      <c r="AG721" s="1361"/>
      <c r="AH721" s="1355">
        <f t="shared" si="36"/>
        <v>0.27089783281733748</v>
      </c>
      <c r="AI721" s="1356"/>
      <c r="AJ721" s="1357"/>
      <c r="AK721" s="1337" t="s">
        <v>591</v>
      </c>
      <c r="AL721" s="1338"/>
      <c r="AM721" s="1338"/>
      <c r="AN721" s="1338"/>
      <c r="AO721" s="1339"/>
      <c r="AP721" s="3"/>
      <c r="AQ721" s="3"/>
      <c r="AR721" s="3"/>
      <c r="AS721" s="3"/>
      <c r="AY721" s="116"/>
      <c r="AZ721" s="118">
        <f t="shared" si="9"/>
        <v>4522</v>
      </c>
      <c r="BA721" s="3"/>
      <c r="BB721" s="3"/>
      <c r="BC721" s="3"/>
      <c r="BD721" s="3"/>
      <c r="BE721" s="204"/>
      <c r="BF721" s="294">
        <f t="shared" si="10"/>
        <v>5</v>
      </c>
      <c r="BG721" s="297">
        <f t="shared" si="11"/>
        <v>3.4965034965034968E-2</v>
      </c>
      <c r="BH721" s="298">
        <f t="shared" si="12"/>
        <v>1.2237762237762238E-2</v>
      </c>
      <c r="BI721" s="3"/>
      <c r="BJ721" s="3"/>
      <c r="BK721" s="3"/>
      <c r="BL721" s="3"/>
      <c r="BM721" s="3"/>
      <c r="BN721" s="3"/>
      <c r="BS721" s="294">
        <f t="shared" si="13"/>
        <v>5</v>
      </c>
      <c r="BT721" s="297">
        <f t="shared" si="14"/>
        <v>3.4965034965034968E-2</v>
      </c>
      <c r="BU721" s="298">
        <f t="shared" si="15"/>
        <v>9.4719521964104023E-3</v>
      </c>
      <c r="CC721" s="3"/>
      <c r="CD721" s="3"/>
      <c r="CE721" s="3"/>
      <c r="CF721" s="3"/>
      <c r="CG721" s="1462">
        <f t="shared" si="37"/>
        <v>0</v>
      </c>
      <c r="CH721" s="1463"/>
      <c r="CI721" s="1468">
        <f t="shared" si="38"/>
        <v>0</v>
      </c>
      <c r="CJ721" s="1469"/>
      <c r="CK721" s="1462">
        <f t="shared" si="16"/>
        <v>1</v>
      </c>
      <c r="CL721" s="1463"/>
      <c r="CM721" s="1468">
        <f t="shared" si="17"/>
        <v>5</v>
      </c>
      <c r="CN721" s="1469"/>
      <c r="CO721" s="3"/>
      <c r="CP721" s="1457">
        <f t="shared" si="18"/>
        <v>0</v>
      </c>
      <c r="CQ721" s="1458"/>
      <c r="CR721" s="1458"/>
      <c r="CS721" s="1458"/>
      <c r="CT721" s="1459"/>
      <c r="CU721" s="1442">
        <f t="shared" si="19"/>
        <v>0</v>
      </c>
      <c r="CV721" s="1442"/>
      <c r="CW721" s="1442"/>
      <c r="CX721" s="1442"/>
      <c r="CY721" s="1442"/>
      <c r="CZ721" s="1442">
        <f t="shared" si="20"/>
        <v>5</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f t="shared" si="32"/>
        <v>1128</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3.15" customHeight="1">
      <c r="B722" s="1337" t="s">
        <v>165</v>
      </c>
      <c r="C722" s="1338"/>
      <c r="D722" s="1338"/>
      <c r="E722" s="1338"/>
      <c r="F722" s="1339"/>
      <c r="G722" s="1349">
        <v>1</v>
      </c>
      <c r="H722" s="1350"/>
      <c r="I722" s="1350"/>
      <c r="J722" s="1351"/>
      <c r="K722" s="1343">
        <v>1582</v>
      </c>
      <c r="L722" s="1344"/>
      <c r="M722" s="1344"/>
      <c r="N722" s="1345"/>
      <c r="O722" s="1340">
        <v>1432</v>
      </c>
      <c r="P722" s="1341"/>
      <c r="Q722" s="1341"/>
      <c r="R722" s="1341"/>
      <c r="S722" s="1342"/>
      <c r="T722" s="1340">
        <v>146</v>
      </c>
      <c r="U722" s="1341"/>
      <c r="V722" s="1341"/>
      <c r="W722" s="1342"/>
      <c r="X722" s="1352">
        <f t="shared" si="8"/>
        <v>1578</v>
      </c>
      <c r="Y722" s="1353"/>
      <c r="Z722" s="1353"/>
      <c r="AA722" s="1353"/>
      <c r="AB722" s="1354"/>
      <c r="AC722" s="1359">
        <v>0.35</v>
      </c>
      <c r="AD722" s="1360"/>
      <c r="AE722" s="1360"/>
      <c r="AF722" s="1360"/>
      <c r="AG722" s="1361"/>
      <c r="AH722" s="1355">
        <f t="shared" si="36"/>
        <v>0.27085478887744591</v>
      </c>
      <c r="AI722" s="1356"/>
      <c r="AJ722" s="1357"/>
      <c r="AK722" s="1337" t="s">
        <v>591</v>
      </c>
      <c r="AL722" s="1338"/>
      <c r="AM722" s="1338"/>
      <c r="AN722" s="1338"/>
      <c r="AO722" s="1339"/>
      <c r="AP722" s="3"/>
      <c r="AQ722" s="3"/>
      <c r="AR722" s="3"/>
      <c r="AS722" s="3"/>
      <c r="AY722" s="116"/>
      <c r="AZ722" s="118">
        <f t="shared" si="9"/>
        <v>5826</v>
      </c>
      <c r="BA722" s="3"/>
      <c r="BB722" s="3"/>
      <c r="BC722" s="3"/>
      <c r="BD722" s="3"/>
      <c r="BE722" s="204"/>
      <c r="BF722" s="294">
        <f t="shared" si="10"/>
        <v>1</v>
      </c>
      <c r="BG722" s="297">
        <f t="shared" si="11"/>
        <v>6.993006993006993E-3</v>
      </c>
      <c r="BH722" s="298">
        <f t="shared" si="12"/>
        <v>2.4475524475524473E-3</v>
      </c>
      <c r="BI722" s="3"/>
      <c r="BJ722" s="3"/>
      <c r="BK722" s="3"/>
      <c r="BL722" s="3"/>
      <c r="BM722" s="3"/>
      <c r="BN722" s="3"/>
      <c r="BS722" s="294">
        <f t="shared" si="13"/>
        <v>1</v>
      </c>
      <c r="BT722" s="297">
        <f t="shared" si="14"/>
        <v>6.993006993006993E-3</v>
      </c>
      <c r="BU722" s="298">
        <f t="shared" si="15"/>
        <v>1.894089432709412E-3</v>
      </c>
      <c r="CC722" s="3"/>
      <c r="CD722" s="3"/>
      <c r="CE722" s="3"/>
      <c r="CF722" s="3"/>
      <c r="CG722" s="1462">
        <f t="shared" si="37"/>
        <v>0</v>
      </c>
      <c r="CH722" s="1463"/>
      <c r="CI722" s="1468">
        <f t="shared" si="38"/>
        <v>0</v>
      </c>
      <c r="CJ722" s="1469"/>
      <c r="CK722" s="1462">
        <f t="shared" si="16"/>
        <v>1</v>
      </c>
      <c r="CL722" s="1463"/>
      <c r="CM722" s="1468">
        <f t="shared" si="17"/>
        <v>1</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1</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f t="shared" si="34"/>
        <v>1432</v>
      </c>
      <c r="FU722" s="1464"/>
      <c r="FV722" s="1464"/>
      <c r="FW722" s="1464"/>
      <c r="FX722" s="1463"/>
      <c r="FY722" s="1462" t="str">
        <f t="shared" si="35"/>
        <v/>
      </c>
      <c r="FZ722" s="1464"/>
      <c r="GA722" s="1464"/>
      <c r="GB722" s="1464"/>
      <c r="GC722" s="1463"/>
    </row>
    <row r="723" spans="1:185" ht="13.15" customHeight="1">
      <c r="B723" s="1337" t="s">
        <v>163</v>
      </c>
      <c r="C723" s="1338"/>
      <c r="D723" s="1338"/>
      <c r="E723" s="1338"/>
      <c r="F723" s="1339"/>
      <c r="G723" s="1349">
        <v>26</v>
      </c>
      <c r="H723" s="1350"/>
      <c r="I723" s="1350"/>
      <c r="J723" s="1351"/>
      <c r="K723" s="1343">
        <v>1048</v>
      </c>
      <c r="L723" s="1344"/>
      <c r="M723" s="1344"/>
      <c r="N723" s="1345"/>
      <c r="O723" s="1340">
        <v>1748</v>
      </c>
      <c r="P723" s="1341"/>
      <c r="Q723" s="1341"/>
      <c r="R723" s="1341"/>
      <c r="S723" s="1342"/>
      <c r="T723" s="1340">
        <v>97</v>
      </c>
      <c r="U723" s="1341"/>
      <c r="V723" s="1341"/>
      <c r="W723" s="1342"/>
      <c r="X723" s="1352">
        <f t="shared" si="8"/>
        <v>1845</v>
      </c>
      <c r="Y723" s="1353"/>
      <c r="Z723" s="1353"/>
      <c r="AA723" s="1353"/>
      <c r="AB723" s="1354"/>
      <c r="AC723" s="1359">
        <v>0.5</v>
      </c>
      <c r="AD723" s="1360"/>
      <c r="AE723" s="1360"/>
      <c r="AF723" s="1360"/>
      <c r="AG723" s="1361"/>
      <c r="AH723" s="1355">
        <f t="shared" si="36"/>
        <v>0.40800530738611235</v>
      </c>
      <c r="AI723" s="1356"/>
      <c r="AJ723" s="1357"/>
      <c r="AK723" s="1337" t="s">
        <v>591</v>
      </c>
      <c r="AL723" s="1338"/>
      <c r="AM723" s="1338"/>
      <c r="AN723" s="1338"/>
      <c r="AO723" s="1339"/>
      <c r="AP723" s="3"/>
      <c r="AQ723" s="3"/>
      <c r="AR723" s="3"/>
      <c r="AS723" s="3"/>
      <c r="AY723" s="116"/>
      <c r="AZ723" s="118">
        <f t="shared" si="9"/>
        <v>4522</v>
      </c>
      <c r="BA723" s="3"/>
      <c r="BB723" s="3"/>
      <c r="BC723" s="3"/>
      <c r="BD723" s="3"/>
      <c r="BE723" s="204"/>
      <c r="BF723" s="294">
        <f t="shared" si="10"/>
        <v>26</v>
      </c>
      <c r="BG723" s="297">
        <f t="shared" si="11"/>
        <v>0.18181818181818182</v>
      </c>
      <c r="BH723" s="298">
        <f t="shared" si="12"/>
        <v>9.0909090909090912E-2</v>
      </c>
      <c r="BI723" s="3"/>
      <c r="BJ723" s="3"/>
      <c r="BK723" s="3"/>
      <c r="BL723" s="3"/>
      <c r="BM723" s="3"/>
      <c r="BN723" s="3"/>
      <c r="BS723" s="294">
        <f t="shared" si="13"/>
        <v>26</v>
      </c>
      <c r="BT723" s="297">
        <f t="shared" si="14"/>
        <v>0.18181818181818182</v>
      </c>
      <c r="BU723" s="298">
        <f t="shared" si="15"/>
        <v>7.4182783161111335E-2</v>
      </c>
      <c r="CC723" s="3"/>
      <c r="CD723" s="3"/>
      <c r="CE723" s="3"/>
      <c r="CF723" s="3"/>
      <c r="CG723" s="1462">
        <f t="shared" si="37"/>
        <v>1</v>
      </c>
      <c r="CH723" s="1463"/>
      <c r="CI723" s="1468">
        <f t="shared" si="38"/>
        <v>26</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26</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f t="shared" si="32"/>
        <v>1748</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3.15" customHeight="1">
      <c r="B724" s="1337" t="s">
        <v>164</v>
      </c>
      <c r="C724" s="1338"/>
      <c r="D724" s="1338"/>
      <c r="E724" s="1338"/>
      <c r="F724" s="1339"/>
      <c r="G724" s="1349">
        <v>36</v>
      </c>
      <c r="H724" s="1350"/>
      <c r="I724" s="1350"/>
      <c r="J724" s="1351"/>
      <c r="K724" s="1343">
        <v>1245</v>
      </c>
      <c r="L724" s="1344"/>
      <c r="M724" s="1344"/>
      <c r="N724" s="1345"/>
      <c r="O724" s="1340">
        <v>1867</v>
      </c>
      <c r="P724" s="1341"/>
      <c r="Q724" s="1341"/>
      <c r="R724" s="1341"/>
      <c r="S724" s="1342"/>
      <c r="T724" s="1340">
        <v>120</v>
      </c>
      <c r="U724" s="1341"/>
      <c r="V724" s="1341"/>
      <c r="W724" s="1342"/>
      <c r="X724" s="1352">
        <f t="shared" si="8"/>
        <v>1987</v>
      </c>
      <c r="Y724" s="1353"/>
      <c r="Z724" s="1353"/>
      <c r="AA724" s="1353"/>
      <c r="AB724" s="1354"/>
      <c r="AC724" s="1359">
        <v>0.5</v>
      </c>
      <c r="AD724" s="1360"/>
      <c r="AE724" s="1360"/>
      <c r="AF724" s="1360"/>
      <c r="AG724" s="1361"/>
      <c r="AH724" s="1355">
        <f t="shared" si="36"/>
        <v>0.38050555342780545</v>
      </c>
      <c r="AI724" s="1356"/>
      <c r="AJ724" s="1357"/>
      <c r="AK724" s="1337" t="s">
        <v>591</v>
      </c>
      <c r="AL724" s="1338"/>
      <c r="AM724" s="1338"/>
      <c r="AN724" s="1338"/>
      <c r="AO724" s="1339"/>
      <c r="AP724" s="3"/>
      <c r="AQ724" s="3"/>
      <c r="AR724" s="3"/>
      <c r="AS724" s="3"/>
      <c r="AY724" s="116"/>
      <c r="AZ724" s="118">
        <f t="shared" si="9"/>
        <v>5222</v>
      </c>
      <c r="BA724" s="3"/>
      <c r="BB724" s="3"/>
      <c r="BC724" s="3"/>
      <c r="BD724" s="3"/>
      <c r="BE724" s="204"/>
      <c r="BF724" s="294">
        <f t="shared" si="10"/>
        <v>36</v>
      </c>
      <c r="BG724" s="297">
        <f t="shared" si="11"/>
        <v>0.25174825174825177</v>
      </c>
      <c r="BH724" s="298">
        <f t="shared" si="12"/>
        <v>0.12587412587412589</v>
      </c>
      <c r="BI724" s="3"/>
      <c r="BJ724" s="3"/>
      <c r="BK724" s="3"/>
      <c r="BL724" s="3"/>
      <c r="BM724" s="3"/>
      <c r="BN724" s="3"/>
      <c r="BS724" s="294">
        <f t="shared" si="13"/>
        <v>36</v>
      </c>
      <c r="BT724" s="297">
        <f t="shared" si="14"/>
        <v>0.25174825174825177</v>
      </c>
      <c r="BU724" s="298">
        <f t="shared" si="15"/>
        <v>9.5791607855951033E-2</v>
      </c>
      <c r="CC724" s="3"/>
      <c r="CE724" s="3"/>
      <c r="CF724" s="3"/>
      <c r="CG724" s="1462">
        <f t="shared" si="37"/>
        <v>1</v>
      </c>
      <c r="CH724" s="1463"/>
      <c r="CI724" s="1468">
        <f t="shared" si="38"/>
        <v>36</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36</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f t="shared" si="33"/>
        <v>1867</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3.15" customHeight="1">
      <c r="B725" s="1337" t="s">
        <v>165</v>
      </c>
      <c r="C725" s="1338"/>
      <c r="D725" s="1338"/>
      <c r="E725" s="1338"/>
      <c r="F725" s="1339"/>
      <c r="G725" s="1349">
        <v>27</v>
      </c>
      <c r="H725" s="1350"/>
      <c r="I725" s="1350"/>
      <c r="J725" s="1351"/>
      <c r="K725" s="1343">
        <v>1582</v>
      </c>
      <c r="L725" s="1344"/>
      <c r="M725" s="1344"/>
      <c r="N725" s="1345"/>
      <c r="O725" s="1340">
        <v>2038</v>
      </c>
      <c r="P725" s="1341"/>
      <c r="Q725" s="1341"/>
      <c r="R725" s="1341"/>
      <c r="S725" s="1342"/>
      <c r="T725" s="1340">
        <v>146</v>
      </c>
      <c r="U725" s="1341"/>
      <c r="V725" s="1341"/>
      <c r="W725" s="1342"/>
      <c r="X725" s="1352">
        <f t="shared" si="8"/>
        <v>2184</v>
      </c>
      <c r="Y725" s="1353"/>
      <c r="Z725" s="1353"/>
      <c r="AA725" s="1353"/>
      <c r="AB725" s="1354"/>
      <c r="AC725" s="1359">
        <v>0.5</v>
      </c>
      <c r="AD725" s="1360"/>
      <c r="AE725" s="1360"/>
      <c r="AF725" s="1360"/>
      <c r="AG725" s="1361"/>
      <c r="AH725" s="1355">
        <f t="shared" si="36"/>
        <v>0.37487126673532439</v>
      </c>
      <c r="AI725" s="1356"/>
      <c r="AJ725" s="1357"/>
      <c r="AK725" s="1337" t="s">
        <v>591</v>
      </c>
      <c r="AL725" s="1338"/>
      <c r="AM725" s="1338"/>
      <c r="AN725" s="1338"/>
      <c r="AO725" s="1339"/>
      <c r="AP725" s="3"/>
      <c r="AQ725" s="3"/>
      <c r="AR725" s="3"/>
      <c r="AS725" s="3"/>
      <c r="AY725" s="1085"/>
      <c r="AZ725" s="118">
        <f t="shared" si="9"/>
        <v>5826</v>
      </c>
      <c r="BA725" s="3"/>
      <c r="BB725" s="3"/>
      <c r="BC725" s="3"/>
      <c r="BD725" s="3"/>
      <c r="BE725" s="204"/>
      <c r="BF725" s="294">
        <f t="shared" si="10"/>
        <v>27</v>
      </c>
      <c r="BG725" s="297">
        <f t="shared" si="11"/>
        <v>0.1888111888111888</v>
      </c>
      <c r="BH725" s="298">
        <f t="shared" si="12"/>
        <v>9.4405594405594401E-2</v>
      </c>
      <c r="BI725" s="3"/>
      <c r="BJ725" s="3"/>
      <c r="BK725" s="3"/>
      <c r="BL725" s="3"/>
      <c r="BM725" s="3"/>
      <c r="BN725" s="3"/>
      <c r="BS725" s="294">
        <f t="shared" si="13"/>
        <v>27</v>
      </c>
      <c r="BT725" s="297">
        <f t="shared" si="14"/>
        <v>0.1888111888111888</v>
      </c>
      <c r="BU725" s="298">
        <f t="shared" si="15"/>
        <v>7.0779889523452849E-2</v>
      </c>
      <c r="BV725" s="292"/>
      <c r="BW725" s="3"/>
      <c r="BX725" s="3"/>
      <c r="BY725" s="3"/>
      <c r="BZ725" s="3"/>
      <c r="CA725" s="3"/>
      <c r="CB725" s="3"/>
      <c r="CC725" s="3"/>
      <c r="CE725" s="3"/>
      <c r="CF725" s="3"/>
      <c r="CG725" s="1462">
        <f t="shared" si="37"/>
        <v>1</v>
      </c>
      <c r="CH725" s="1463"/>
      <c r="CI725" s="1468">
        <f t="shared" si="38"/>
        <v>27</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27</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f t="shared" si="34"/>
        <v>2038</v>
      </c>
      <c r="FU725" s="1464"/>
      <c r="FV725" s="1464"/>
      <c r="FW725" s="1464"/>
      <c r="FX725" s="1463"/>
      <c r="FY725" s="1462" t="str">
        <f t="shared" si="35"/>
        <v/>
      </c>
      <c r="FZ725" s="1464"/>
      <c r="GA725" s="1464"/>
      <c r="GB725" s="1464"/>
      <c r="GC725" s="1463"/>
    </row>
    <row r="726" spans="1:185" ht="13.15" customHeight="1">
      <c r="B726" s="1337" t="s">
        <v>163</v>
      </c>
      <c r="C726" s="1338"/>
      <c r="D726" s="1338"/>
      <c r="E726" s="1338"/>
      <c r="F726" s="1339"/>
      <c r="G726" s="1349">
        <v>8</v>
      </c>
      <c r="H726" s="1350"/>
      <c r="I726" s="1350"/>
      <c r="J726" s="1351"/>
      <c r="K726" s="1343">
        <v>1048</v>
      </c>
      <c r="L726" s="1344"/>
      <c r="M726" s="1344"/>
      <c r="N726" s="1345"/>
      <c r="O726" s="1340">
        <v>1875</v>
      </c>
      <c r="P726" s="1341"/>
      <c r="Q726" s="1341"/>
      <c r="R726" s="1341"/>
      <c r="S726" s="1342"/>
      <c r="T726" s="1340">
        <v>97</v>
      </c>
      <c r="U726" s="1341"/>
      <c r="V726" s="1341"/>
      <c r="W726" s="1342"/>
      <c r="X726" s="1352">
        <f t="shared" si="8"/>
        <v>1972</v>
      </c>
      <c r="Y726" s="1353"/>
      <c r="Z726" s="1353"/>
      <c r="AA726" s="1353"/>
      <c r="AB726" s="1354"/>
      <c r="AC726" s="1359">
        <v>0.6</v>
      </c>
      <c r="AD726" s="1360"/>
      <c r="AE726" s="1360"/>
      <c r="AF726" s="1360"/>
      <c r="AG726" s="1361"/>
      <c r="AH726" s="1355">
        <f t="shared" si="36"/>
        <v>0.43609022556390975</v>
      </c>
      <c r="AI726" s="1356"/>
      <c r="AJ726" s="1357"/>
      <c r="AK726" s="1337" t="s">
        <v>591</v>
      </c>
      <c r="AL726" s="1338"/>
      <c r="AM726" s="1338"/>
      <c r="AN726" s="1338"/>
      <c r="AO726" s="1339"/>
      <c r="AP726" s="3"/>
      <c r="AQ726" s="3"/>
      <c r="AR726" s="3"/>
      <c r="AS726" s="3"/>
      <c r="AY726" s="1085"/>
      <c r="AZ726" s="118">
        <f t="shared" si="9"/>
        <v>4522</v>
      </c>
      <c r="BA726" s="3"/>
      <c r="BB726" s="3"/>
      <c r="BC726" s="3"/>
      <c r="BD726" s="3"/>
      <c r="BE726" s="204"/>
      <c r="BF726" s="294">
        <f t="shared" si="10"/>
        <v>8</v>
      </c>
      <c r="BG726" s="297">
        <f t="shared" si="11"/>
        <v>5.5944055944055944E-2</v>
      </c>
      <c r="BH726" s="298">
        <f t="shared" si="12"/>
        <v>3.3566433566433566E-2</v>
      </c>
      <c r="BI726" s="3"/>
      <c r="BJ726" s="3"/>
      <c r="BK726" s="3"/>
      <c r="BL726" s="3"/>
      <c r="BM726" s="3"/>
      <c r="BN726" s="3"/>
      <c r="BS726" s="294">
        <f t="shared" si="13"/>
        <v>8</v>
      </c>
      <c r="BT726" s="297">
        <f t="shared" si="14"/>
        <v>5.5944055944055944E-2</v>
      </c>
      <c r="BU726" s="298">
        <f t="shared" si="15"/>
        <v>2.4396655975603344E-2</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8</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f t="shared" si="32"/>
        <v>1875</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3.15" customHeight="1">
      <c r="A727" s="4"/>
      <c r="B727" s="1337" t="s">
        <v>164</v>
      </c>
      <c r="C727" s="1338"/>
      <c r="D727" s="1338"/>
      <c r="E727" s="1338"/>
      <c r="F727" s="1339"/>
      <c r="G727" s="1349">
        <v>16</v>
      </c>
      <c r="H727" s="1350"/>
      <c r="I727" s="1350"/>
      <c r="J727" s="1351"/>
      <c r="K727" s="1343">
        <v>1245</v>
      </c>
      <c r="L727" s="1344"/>
      <c r="M727" s="1344"/>
      <c r="N727" s="1345"/>
      <c r="O727" s="1340">
        <v>2293</v>
      </c>
      <c r="P727" s="1341"/>
      <c r="Q727" s="1341"/>
      <c r="R727" s="1341"/>
      <c r="S727" s="1342"/>
      <c r="T727" s="1340">
        <v>120</v>
      </c>
      <c r="U727" s="1341"/>
      <c r="V727" s="1341"/>
      <c r="W727" s="1342"/>
      <c r="X727" s="1352">
        <f t="shared" si="8"/>
        <v>2413</v>
      </c>
      <c r="Y727" s="1353"/>
      <c r="Z727" s="1353"/>
      <c r="AA727" s="1353"/>
      <c r="AB727" s="1354"/>
      <c r="AC727" s="1359">
        <v>0.6</v>
      </c>
      <c r="AD727" s="1360"/>
      <c r="AE727" s="1360"/>
      <c r="AF727" s="1360"/>
      <c r="AG727" s="1361"/>
      <c r="AH727" s="1355">
        <f t="shared" si="36"/>
        <v>0.46208349291459211</v>
      </c>
      <c r="AI727" s="1356"/>
      <c r="AJ727" s="1357"/>
      <c r="AK727" s="1337" t="s">
        <v>591</v>
      </c>
      <c r="AL727" s="1338"/>
      <c r="AM727" s="1338"/>
      <c r="AN727" s="1338"/>
      <c r="AO727" s="1339"/>
      <c r="AP727" s="3"/>
      <c r="AQ727" s="3"/>
      <c r="AR727" s="3"/>
      <c r="AS727" s="3"/>
      <c r="AY727" s="1085"/>
      <c r="AZ727" s="118">
        <f t="shared" si="9"/>
        <v>5222</v>
      </c>
      <c r="BA727" s="3"/>
      <c r="BB727" s="3"/>
      <c r="BC727" s="3"/>
      <c r="BD727" s="3"/>
      <c r="BE727" s="204"/>
      <c r="BF727" s="294">
        <f t="shared" si="10"/>
        <v>16</v>
      </c>
      <c r="BG727" s="297">
        <f t="shared" si="11"/>
        <v>0.11188811188811189</v>
      </c>
      <c r="BH727" s="298">
        <f t="shared" si="12"/>
        <v>6.7132867132867133E-2</v>
      </c>
      <c r="BI727" s="3"/>
      <c r="BJ727" s="3"/>
      <c r="BK727" s="3"/>
      <c r="BL727" s="3"/>
      <c r="BM727" s="3"/>
      <c r="BN727" s="3"/>
      <c r="BS727" s="294">
        <f t="shared" si="13"/>
        <v>16</v>
      </c>
      <c r="BT727" s="297">
        <f t="shared" si="14"/>
        <v>0.11188811188811189</v>
      </c>
      <c r="BU727" s="298">
        <f t="shared" si="15"/>
        <v>5.1701649556877435E-2</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16</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f t="shared" si="33"/>
        <v>2293</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3.15" customHeight="1">
      <c r="A728" s="4"/>
      <c r="B728" s="1337" t="s">
        <v>165</v>
      </c>
      <c r="C728" s="1338"/>
      <c r="D728" s="1338"/>
      <c r="E728" s="1338"/>
      <c r="F728" s="1339"/>
      <c r="G728" s="1349">
        <v>11</v>
      </c>
      <c r="H728" s="1350"/>
      <c r="I728" s="1350"/>
      <c r="J728" s="1351"/>
      <c r="K728" s="1343">
        <v>1582</v>
      </c>
      <c r="L728" s="1344"/>
      <c r="M728" s="1344"/>
      <c r="N728" s="1345"/>
      <c r="O728" s="1340">
        <v>2841</v>
      </c>
      <c r="P728" s="1341"/>
      <c r="Q728" s="1341"/>
      <c r="R728" s="1341"/>
      <c r="S728" s="1342"/>
      <c r="T728" s="1340">
        <v>146</v>
      </c>
      <c r="U728" s="1341"/>
      <c r="V728" s="1341"/>
      <c r="W728" s="1342"/>
      <c r="X728" s="1352">
        <f t="shared" si="8"/>
        <v>2987</v>
      </c>
      <c r="Y728" s="1353"/>
      <c r="Z728" s="1353"/>
      <c r="AA728" s="1353"/>
      <c r="AB728" s="1354"/>
      <c r="AC728" s="1359">
        <v>0.6</v>
      </c>
      <c r="AD728" s="1360"/>
      <c r="AE728" s="1360"/>
      <c r="AF728" s="1360"/>
      <c r="AG728" s="1361"/>
      <c r="AH728" s="1355">
        <f t="shared" si="36"/>
        <v>0.51270168211465839</v>
      </c>
      <c r="AI728" s="1356"/>
      <c r="AJ728" s="1357"/>
      <c r="AK728" s="1337" t="s">
        <v>591</v>
      </c>
      <c r="AL728" s="1338"/>
      <c r="AM728" s="1338"/>
      <c r="AN728" s="1338"/>
      <c r="AO728" s="1339"/>
      <c r="AP728" s="3"/>
      <c r="AQ728" s="3"/>
      <c r="AR728" s="3"/>
      <c r="AS728" s="3"/>
      <c r="AY728" s="1085"/>
      <c r="AZ728" s="118">
        <f t="shared" si="9"/>
        <v>5826</v>
      </c>
      <c r="BA728" s="3"/>
      <c r="BB728" s="3"/>
      <c r="BC728" s="3"/>
      <c r="BD728" s="3"/>
      <c r="BE728" s="204"/>
      <c r="BF728" s="294">
        <f t="shared" si="10"/>
        <v>11</v>
      </c>
      <c r="BG728" s="297">
        <f t="shared" si="11"/>
        <v>7.6923076923076927E-2</v>
      </c>
      <c r="BH728" s="298">
        <f t="shared" si="12"/>
        <v>4.6153846153846156E-2</v>
      </c>
      <c r="BI728" s="3"/>
      <c r="BJ728" s="3"/>
      <c r="BK728" s="3"/>
      <c r="BL728" s="3"/>
      <c r="BM728" s="3"/>
      <c r="BN728" s="3"/>
      <c r="BS728" s="294">
        <f t="shared" si="13"/>
        <v>11</v>
      </c>
      <c r="BT728" s="297">
        <f t="shared" si="14"/>
        <v>7.6923076923076927E-2</v>
      </c>
      <c r="BU728" s="298">
        <f t="shared" si="15"/>
        <v>3.9438590931896798E-2</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11</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f t="shared" si="34"/>
        <v>2841</v>
      </c>
      <c r="FU728" s="1464"/>
      <c r="FV728" s="1464"/>
      <c r="FW728" s="1464"/>
      <c r="FX728" s="1463"/>
      <c r="FY728" s="1462" t="str">
        <f t="shared" si="35"/>
        <v/>
      </c>
      <c r="FZ728" s="1464"/>
      <c r="GA728" s="1464"/>
      <c r="GB728" s="1464"/>
      <c r="GC728" s="1463"/>
    </row>
    <row r="729" spans="1:185" ht="13.1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3.1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3.1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3.1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3.1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3.1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3.1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3.1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3.1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3.1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3.1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3.1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3.1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3.1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3.1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3.1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3.1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3.1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3.1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3.1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3.1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3.1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3.1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3.1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3.15" customHeight="1">
      <c r="A753"/>
      <c r="B753" s="1448" t="s">
        <v>125</v>
      </c>
      <c r="C753" s="1449"/>
      <c r="D753" s="1449"/>
      <c r="E753" s="1449"/>
      <c r="F753" s="1450"/>
      <c r="G753" s="1620">
        <f>SUM(G718:G752)</f>
        <v>143</v>
      </c>
      <c r="H753" s="1621"/>
      <c r="I753" s="1621"/>
      <c r="J753" s="1622"/>
      <c r="K753" s="902" t="s">
        <v>124</v>
      </c>
      <c r="L753" s="5"/>
      <c r="M753" s="5"/>
      <c r="N753" s="46"/>
      <c r="O753" s="1352">
        <f>SUMPRODUCT(G718:G752,O718:O752)</f>
        <v>275295</v>
      </c>
      <c r="P753" s="1353"/>
      <c r="Q753" s="1353"/>
      <c r="R753" s="1353"/>
      <c r="S753" s="1354"/>
      <c r="T753"/>
      <c r="U753"/>
      <c r="V753"/>
      <c r="W753"/>
      <c r="X753" s="904" t="s">
        <v>900</v>
      </c>
      <c r="Y753" s="903"/>
      <c r="Z753" s="903"/>
      <c r="AA753" s="903"/>
      <c r="AB753" s="905"/>
      <c r="AC753" s="1603">
        <f>BH753</f>
        <v>0.5</v>
      </c>
      <c r="AD753" s="1604"/>
      <c r="AE753" s="1604"/>
      <c r="AF753" s="1604"/>
      <c r="AG753" s="1605"/>
      <c r="AH753" s="1603">
        <f>IFERROR(BU753,"")</f>
        <v>0.39393185457521729</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143</v>
      </c>
      <c r="BG753" s="300">
        <f>SUM(BG718:BG752)</f>
        <v>1</v>
      </c>
      <c r="BH753" s="300">
        <f>SUM(BH718:BH752)</f>
        <v>0.5</v>
      </c>
      <c r="BI753"/>
      <c r="BJ753"/>
      <c r="BK753"/>
      <c r="BL753"/>
      <c r="BO753"/>
      <c r="BP753"/>
      <c r="BQ753"/>
      <c r="BR753"/>
      <c r="BS753" s="859">
        <f>SUM(BS718:BS752)</f>
        <v>143</v>
      </c>
      <c r="BT753" s="300">
        <f>SUM(BT718:BT752)</f>
        <v>1</v>
      </c>
      <c r="BU753" s="300">
        <f>SUM(BU718:BU752)</f>
        <v>0.39393185457521729</v>
      </c>
      <c r="CI753" s="1462">
        <f>SUM(CI718:CJ752)</f>
        <v>89</v>
      </c>
      <c r="CJ753" s="1463"/>
      <c r="CM753" s="1462">
        <f>SUM(CM718:CN752)</f>
        <v>19</v>
      </c>
      <c r="CN753" s="1463"/>
      <c r="CP753" s="1462">
        <f>SUM(CP718:CT752)</f>
        <v>0</v>
      </c>
      <c r="CQ753" s="1464"/>
      <c r="CR753" s="1464"/>
      <c r="CS753" s="1464"/>
      <c r="CT753" s="1463"/>
      <c r="CU753" s="1460">
        <f>SUM(CU718:CY752)</f>
        <v>0</v>
      </c>
      <c r="CV753" s="1460"/>
      <c r="CW753" s="1460"/>
      <c r="CX753" s="1460"/>
      <c r="CY753" s="1460"/>
      <c r="CZ753" s="1460">
        <f>SUM(CZ718:DD752)</f>
        <v>45</v>
      </c>
      <c r="DA753" s="1460"/>
      <c r="DB753" s="1460"/>
      <c r="DC753" s="1460"/>
      <c r="DD753" s="1460"/>
      <c r="DE753" s="1460">
        <f>SUM(DE718:DI752)</f>
        <v>55</v>
      </c>
      <c r="DF753" s="1460"/>
      <c r="DG753" s="1460"/>
      <c r="DH753" s="1460"/>
      <c r="DI753" s="1460"/>
      <c r="DJ753" s="1460">
        <f>SUM(DJ718:DN752)</f>
        <v>43</v>
      </c>
      <c r="DK753" s="1460"/>
      <c r="DL753" s="1460"/>
      <c r="DM753" s="1460"/>
      <c r="DN753" s="1460"/>
      <c r="DO753" s="1460">
        <f>SUM(DO718:DS752)</f>
        <v>0</v>
      </c>
      <c r="DP753" s="1460"/>
      <c r="DQ753" s="1460"/>
      <c r="DR753" s="1460"/>
      <c r="DS753" s="1460"/>
      <c r="DT753" s="354"/>
      <c r="DU753" s="1460">
        <f>SUM(DU718:DY752)</f>
        <v>0</v>
      </c>
      <c r="DV753" s="1460"/>
      <c r="DW753" s="1460"/>
      <c r="DX753" s="1460"/>
      <c r="DY753" s="1460"/>
      <c r="DZ753" s="1460">
        <f>SUM(DZ718:ED752)</f>
        <v>0</v>
      </c>
      <c r="EA753" s="1460"/>
      <c r="EB753" s="1460"/>
      <c r="EC753" s="1460"/>
      <c r="ED753" s="1460"/>
      <c r="EE753" s="1460">
        <f>SUM(EE718:EI752)</f>
        <v>6</v>
      </c>
      <c r="EF753" s="1460"/>
      <c r="EG753" s="1460"/>
      <c r="EH753" s="1460"/>
      <c r="EI753" s="1460"/>
      <c r="EJ753" s="1460">
        <f>SUM(EJ718:EN752)</f>
        <v>3</v>
      </c>
      <c r="EK753" s="1460"/>
      <c r="EL753" s="1460"/>
      <c r="EM753" s="1460"/>
      <c r="EN753" s="1460"/>
      <c r="EO753" s="1460">
        <f>SUM(EO718:ES752)</f>
        <v>4</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0</v>
      </c>
      <c r="FF753" s="1460"/>
      <c r="FG753" s="1460"/>
      <c r="FH753" s="1460"/>
      <c r="FI753" s="1460"/>
      <c r="FJ753" s="1460">
        <f>SUM(FJ718:FN752)</f>
        <v>5969</v>
      </c>
      <c r="FK753" s="1460"/>
      <c r="FL753" s="1460"/>
      <c r="FM753" s="1460"/>
      <c r="FN753" s="1460"/>
      <c r="FO753" s="1460">
        <f>SUM(FO718:FS752)</f>
        <v>5454</v>
      </c>
      <c r="FP753" s="1460"/>
      <c r="FQ753" s="1460"/>
      <c r="FR753" s="1460"/>
      <c r="FS753" s="1460"/>
      <c r="FT753" s="1460">
        <f>SUM(FT718:FX752)</f>
        <v>7913</v>
      </c>
      <c r="FU753" s="1460"/>
      <c r="FV753" s="1460"/>
      <c r="FW753" s="1460"/>
      <c r="FX753" s="1460"/>
      <c r="FY753" s="1460">
        <f>SUM(FY718:GC752)</f>
        <v>0</v>
      </c>
      <c r="FZ753" s="1460"/>
      <c r="GA753" s="1460"/>
      <c r="GB753" s="1460"/>
      <c r="GC753" s="1460"/>
    </row>
    <row r="754" spans="1:185" s="3" customFormat="1" ht="13.15" customHeight="1">
      <c r="A754"/>
      <c r="B754" s="1619" t="s">
        <v>1892</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1859</v>
      </c>
      <c r="DO754" s="1462">
        <f>CP753+CU753+CZ753+DE753+DJ753+DO753</f>
        <v>143</v>
      </c>
      <c r="DP754" s="1464"/>
      <c r="DQ754" s="1464"/>
      <c r="DR754" s="1464"/>
      <c r="DS754" s="146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0</v>
      </c>
      <c r="CZ755" s="3"/>
      <c r="DA755" s="3"/>
      <c r="DB755" s="3"/>
      <c r="DC755" s="3"/>
      <c r="DD755" s="861">
        <f>CZ753*2</f>
        <v>90</v>
      </c>
      <c r="DE755" s="3"/>
      <c r="DF755" s="3"/>
      <c r="DG755" s="3"/>
      <c r="DH755" s="3"/>
      <c r="DI755" s="861">
        <f>DE753*3</f>
        <v>165</v>
      </c>
      <c r="DJ755" s="3"/>
      <c r="DK755" s="3"/>
      <c r="DL755" s="3"/>
      <c r="DM755" s="3"/>
      <c r="DN755" s="861">
        <f>DJ753*4</f>
        <v>172</v>
      </c>
      <c r="DO755" s="3"/>
      <c r="DP755" s="3"/>
      <c r="DQ755" s="3"/>
      <c r="DR755" s="3"/>
      <c r="DS755" s="861">
        <f>DO753*5</f>
        <v>0</v>
      </c>
      <c r="DU755" s="861">
        <f>CT755+CY755+DD755+DI755+DN755+DS755</f>
        <v>427</v>
      </c>
      <c r="DV755" s="57" t="s">
        <v>1861</v>
      </c>
      <c r="DW755" s="3"/>
      <c r="DX755" s="3"/>
      <c r="DY755" s="3"/>
      <c r="DZ755" s="3"/>
      <c r="EA755" s="3"/>
      <c r="EB755" s="3"/>
      <c r="EC755" s="3"/>
      <c r="ED755" s="3"/>
      <c r="EE755" s="3"/>
      <c r="EF755" s="3"/>
      <c r="EG755" s="3"/>
      <c r="EH755" s="3"/>
    </row>
    <row r="756" spans="1:185" ht="13.15" customHeight="1">
      <c r="A756" s="3"/>
      <c r="B756" s="3"/>
      <c r="C756" s="118" t="s">
        <v>1890</v>
      </c>
      <c r="D756" s="1032"/>
      <c r="E756" s="1032"/>
      <c r="F756" s="1032"/>
      <c r="G756" s="1033"/>
      <c r="H756" s="1033"/>
      <c r="I756" s="1033"/>
      <c r="J756" s="1033"/>
      <c r="K756" s="1032"/>
      <c r="L756" s="1032"/>
      <c r="M756" s="1032"/>
      <c r="N756" s="1032"/>
      <c r="O756" s="1460">
        <f>DU755</f>
        <v>427</v>
      </c>
      <c r="P756" s="1460"/>
      <c r="Q756" s="1460"/>
      <c r="R756" s="1460"/>
      <c r="S756" s="969"/>
      <c r="T756" s="969"/>
      <c r="U756" s="118" t="s">
        <v>1891</v>
      </c>
      <c r="V756" s="1032"/>
      <c r="W756" s="1032"/>
      <c r="X756" s="1032"/>
      <c r="Y756" s="1033"/>
      <c r="Z756" s="1033"/>
      <c r="AA756" s="1033"/>
      <c r="AB756" s="1033"/>
      <c r="AC756" s="1032"/>
      <c r="AD756" s="1032"/>
      <c r="AE756" s="1032"/>
      <c r="AF756" s="1032"/>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3" t="s">
        <v>591</v>
      </c>
      <c r="AE759" s="1623"/>
      <c r="AF759" s="16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362" t="s">
        <v>389</v>
      </c>
      <c r="K769" s="1363"/>
      <c r="L769" s="1363"/>
      <c r="M769" s="1363"/>
      <c r="N769" s="1364"/>
      <c r="O769" s="1618" t="s">
        <v>285</v>
      </c>
      <c r="P769" s="1618"/>
      <c r="Q769" s="1618"/>
      <c r="R769" s="1618"/>
      <c r="S769" s="1618"/>
      <c r="T769" s="1718" t="s">
        <v>1678</v>
      </c>
      <c r="U769" s="1719"/>
      <c r="V769" s="1719"/>
      <c r="W769" s="1720"/>
      <c r="X769" s="1362" t="s">
        <v>447</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365"/>
      <c r="K770" s="1366"/>
      <c r="L770" s="1366"/>
      <c r="M770" s="1366"/>
      <c r="N770" s="1367"/>
      <c r="O770" s="1618"/>
      <c r="P770" s="1618"/>
      <c r="Q770" s="1618"/>
      <c r="R770" s="1618"/>
      <c r="S770" s="1618"/>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365"/>
      <c r="K771" s="1366"/>
      <c r="L771" s="1366"/>
      <c r="M771" s="1366"/>
      <c r="N771" s="1367"/>
      <c r="O771" s="1618"/>
      <c r="P771" s="1618"/>
      <c r="Q771" s="1618"/>
      <c r="R771" s="1618"/>
      <c r="S771" s="1618"/>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368"/>
      <c r="K772" s="1369"/>
      <c r="L772" s="1369"/>
      <c r="M772" s="1369"/>
      <c r="N772" s="1370"/>
      <c r="O772" s="1618"/>
      <c r="P772" s="1618"/>
      <c r="Q772" s="1618"/>
      <c r="R772" s="1618"/>
      <c r="S772" s="1618"/>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37" t="s">
        <v>164</v>
      </c>
      <c r="K773" s="1338"/>
      <c r="L773" s="1338"/>
      <c r="M773" s="1338"/>
      <c r="N773" s="1339"/>
      <c r="O773" s="1612">
        <v>2</v>
      </c>
      <c r="P773" s="1612"/>
      <c r="Q773" s="1612"/>
      <c r="R773" s="1612"/>
      <c r="S773" s="1612"/>
      <c r="T773" s="1343">
        <v>1245</v>
      </c>
      <c r="U773" s="1344"/>
      <c r="V773" s="1344"/>
      <c r="W773" s="1345"/>
      <c r="X773" s="1340">
        <v>0</v>
      </c>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0</v>
      </c>
      <c r="DA773" s="1442"/>
      <c r="DB773" s="1442"/>
      <c r="DC773" s="1442"/>
      <c r="DD773" s="1442"/>
      <c r="DE773" s="1442">
        <f>IF(J773="3 Bedrooms",O773,0)</f>
        <v>2</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3.1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3.1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2"/>
    </row>
    <row r="776" spans="1:126" ht="13.1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3.15" customHeight="1">
      <c r="J777" s="1448" t="s">
        <v>125</v>
      </c>
      <c r="K777" s="1449"/>
      <c r="L777" s="1449"/>
      <c r="M777" s="1449"/>
      <c r="N777" s="1450"/>
      <c r="O777" s="1468">
        <f>SUM(O773:S776)</f>
        <v>2</v>
      </c>
      <c r="P777" s="1470"/>
      <c r="Q777" s="1470"/>
      <c r="R777" s="1470"/>
      <c r="S777" s="1469"/>
      <c r="X777" s="1448" t="s">
        <v>124</v>
      </c>
      <c r="Y777" s="1449"/>
      <c r="Z777" s="1449"/>
      <c r="AA777" s="1449"/>
      <c r="AB777" s="1450"/>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0</v>
      </c>
      <c r="DA777" s="1472"/>
      <c r="DB777" s="1472"/>
      <c r="DC777" s="1472"/>
      <c r="DD777" s="1473"/>
      <c r="DE777" s="1471">
        <f>SUM(DE773:DI776)</f>
        <v>2</v>
      </c>
      <c r="DF777" s="1472"/>
      <c r="DG777" s="1472"/>
      <c r="DH777" s="1472"/>
      <c r="DI777" s="1473"/>
      <c r="DJ777" s="1471">
        <f>SUM(DJ773:DN776)</f>
        <v>0</v>
      </c>
      <c r="DK777" s="1472"/>
      <c r="DL777" s="1472"/>
      <c r="DM777" s="1472"/>
      <c r="DN777" s="1473"/>
      <c r="DO777" s="1471">
        <f>SUM(DO773:DS776)</f>
        <v>0</v>
      </c>
      <c r="DP777" s="1472"/>
      <c r="DQ777" s="1472"/>
      <c r="DR777" s="1472"/>
      <c r="DS777" s="1473"/>
      <c r="DU777" s="861">
        <f>CP777+CU777+CZ777+DE777+DJ777+DO777</f>
        <v>2</v>
      </c>
      <c r="DV777" s="57" t="s">
        <v>1858</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6</v>
      </c>
      <c r="DJ778" s="3"/>
      <c r="DK778" s="3"/>
      <c r="DL778" s="3"/>
      <c r="DM778" s="3"/>
      <c r="DN778" s="861">
        <f>DJ777*4</f>
        <v>0</v>
      </c>
      <c r="DO778" s="3"/>
      <c r="DP778" s="3"/>
      <c r="DQ778" s="3"/>
      <c r="DR778" s="3"/>
      <c r="DS778" s="861">
        <f>DO777*5</f>
        <v>0</v>
      </c>
      <c r="DU778" s="861">
        <f>CT778+CY778+DD778+DI778+DN778+DS778</f>
        <v>6</v>
      </c>
      <c r="DV778" s="57" t="s">
        <v>1860</v>
      </c>
    </row>
    <row r="779" spans="1:126" ht="13.15" customHeight="1">
      <c r="B779" s="56"/>
      <c r="C779" s="56"/>
      <c r="D779" s="56"/>
      <c r="E779" s="56"/>
      <c r="F779" s="56"/>
      <c r="G779" s="6"/>
      <c r="H779" s="6"/>
      <c r="I779" s="6"/>
      <c r="J779" s="1662" t="s">
        <v>669</v>
      </c>
      <c r="K779" s="1662"/>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362" t="s">
        <v>389</v>
      </c>
      <c r="K783" s="1363"/>
      <c r="L783" s="1363"/>
      <c r="M783" s="1363"/>
      <c r="N783" s="1364"/>
      <c r="O783" s="1618" t="s">
        <v>285</v>
      </c>
      <c r="P783" s="1618"/>
      <c r="Q783" s="1618"/>
      <c r="R783" s="1618"/>
      <c r="S783" s="1618"/>
      <c r="T783" s="1718" t="s">
        <v>1678</v>
      </c>
      <c r="U783" s="1719"/>
      <c r="V783" s="1719"/>
      <c r="W783" s="1720"/>
      <c r="X783" s="1362" t="s">
        <v>447</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365"/>
      <c r="K784" s="1366"/>
      <c r="L784" s="1366"/>
      <c r="M784" s="1366"/>
      <c r="N784" s="1367"/>
      <c r="O784" s="1618"/>
      <c r="P784" s="1618"/>
      <c r="Q784" s="1618"/>
      <c r="R784" s="1618"/>
      <c r="S784" s="1618"/>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365"/>
      <c r="K785" s="1366"/>
      <c r="L785" s="1366"/>
      <c r="M785" s="1366"/>
      <c r="N785" s="1367"/>
      <c r="O785" s="1618"/>
      <c r="P785" s="1618"/>
      <c r="Q785" s="1618"/>
      <c r="R785" s="1618"/>
      <c r="S785" s="1618"/>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368"/>
      <c r="K786" s="1369"/>
      <c r="L786" s="1369"/>
      <c r="M786" s="1369"/>
      <c r="N786" s="1370"/>
      <c r="O786" s="1618"/>
      <c r="P786" s="1618"/>
      <c r="Q786" s="1618"/>
      <c r="R786" s="1618"/>
      <c r="S786" s="1618"/>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1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3.1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3.1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3.1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3.1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3.1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3.1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3.1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3.1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3.1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3.15" customHeight="1">
      <c r="A797"/>
      <c r="B797"/>
      <c r="C797"/>
      <c r="D797"/>
      <c r="E797"/>
      <c r="F797"/>
      <c r="G797"/>
      <c r="H797"/>
      <c r="I797"/>
      <c r="J797" s="1448" t="s">
        <v>125</v>
      </c>
      <c r="K797" s="1449"/>
      <c r="L797" s="1449"/>
      <c r="M797" s="1449"/>
      <c r="N797" s="1450"/>
      <c r="O797" s="1728">
        <f>SUM(O787:S796)</f>
        <v>0</v>
      </c>
      <c r="P797" s="1728"/>
      <c r="Q797" s="1728"/>
      <c r="R797" s="1728"/>
      <c r="S797" s="1728"/>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2"/>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3.15" customHeight="1">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5">
        <f>SUM(DU797:EX797)</f>
        <v>0</v>
      </c>
      <c r="EU799" s="1856"/>
      <c r="EV799" s="1856"/>
      <c r="EW799" s="1856"/>
      <c r="EX799" s="1857"/>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275295</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3303540</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0</v>
      </c>
      <c r="CV802" s="1472"/>
      <c r="CW802" s="1472"/>
      <c r="CX802" s="1472"/>
      <c r="CY802" s="1473"/>
      <c r="CZ802" s="1471">
        <f>CZ753+CZ777+CZ797</f>
        <v>45</v>
      </c>
      <c r="DA802" s="1472"/>
      <c r="DB802" s="1472"/>
      <c r="DC802" s="1472"/>
      <c r="DD802" s="1473"/>
      <c r="DE802" s="1471">
        <f>DE753+DE777+DE797</f>
        <v>57</v>
      </c>
      <c r="DF802" s="1472"/>
      <c r="DG802" s="1472"/>
      <c r="DH802" s="1472"/>
      <c r="DI802" s="1473"/>
      <c r="DJ802" s="1471">
        <f>DJ753+DJ777+DJ797</f>
        <v>43</v>
      </c>
      <c r="DK802" s="1472"/>
      <c r="DL802" s="1472"/>
      <c r="DM802" s="1472"/>
      <c r="DN802" s="1473"/>
      <c r="DO802" s="1462">
        <f>DO797+DO777+DO753</f>
        <v>0</v>
      </c>
      <c r="DP802" s="1464"/>
      <c r="DQ802" s="1464"/>
      <c r="DR802" s="1464"/>
      <c r="DS802" s="1463"/>
      <c r="DT802" s="3"/>
      <c r="DU802" s="861">
        <f>DU755+DU800</f>
        <v>427</v>
      </c>
      <c r="DV802" s="57" t="s">
        <v>1862</v>
      </c>
    </row>
    <row r="803" spans="1:126" s="4" customFormat="1" ht="13.1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9">
        <v>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10550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592" t="s">
        <v>2756</v>
      </c>
      <c r="Q816" s="1593"/>
      <c r="R816" s="1593"/>
      <c r="S816" s="1593"/>
      <c r="T816" s="1593"/>
      <c r="U816" s="1593"/>
      <c r="V816" s="1593"/>
      <c r="W816" s="1593"/>
      <c r="X816" s="1593"/>
      <c r="Y816" s="1594"/>
      <c r="Z816" s="1465">
        <v>9788</v>
      </c>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20338</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3323878</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584" t="s">
        <v>126</v>
      </c>
      <c r="N823" s="1584"/>
      <c r="O823" s="1584"/>
      <c r="P823" s="1652"/>
      <c r="Q823" s="1613" t="s">
        <v>290</v>
      </c>
      <c r="R823" s="1613"/>
      <c r="S823" s="1613"/>
      <c r="T823" s="1613"/>
      <c r="U823" s="1613" t="s">
        <v>291</v>
      </c>
      <c r="V823" s="1613"/>
      <c r="W823" s="1613"/>
      <c r="X823" s="1613"/>
      <c r="Y823" s="1613" t="s">
        <v>292</v>
      </c>
      <c r="Z823" s="1613"/>
      <c r="AA823" s="1613"/>
      <c r="AB823" s="1613"/>
      <c r="AC823" s="1613" t="s">
        <v>361</v>
      </c>
      <c r="AD823" s="1613"/>
      <c r="AE823" s="1613"/>
      <c r="AF823" s="1613"/>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v>26</v>
      </c>
      <c r="V825" s="1641"/>
      <c r="W825" s="1641"/>
      <c r="X825" s="1641"/>
      <c r="Y825" s="1641">
        <v>28</v>
      </c>
      <c r="Z825" s="1641"/>
      <c r="AA825" s="1641"/>
      <c r="AB825" s="1641"/>
      <c r="AC825" s="1474">
        <v>31</v>
      </c>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v>17</v>
      </c>
      <c r="V826" s="1641"/>
      <c r="W826" s="1641"/>
      <c r="X826" s="1641"/>
      <c r="Y826" s="1641">
        <v>23</v>
      </c>
      <c r="Z826" s="1641"/>
      <c r="AA826" s="1641"/>
      <c r="AB826" s="1641"/>
      <c r="AC826" s="1474">
        <v>28</v>
      </c>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v>9</v>
      </c>
      <c r="V827" s="1641"/>
      <c r="W827" s="1641"/>
      <c r="X827" s="1641"/>
      <c r="Y827" s="1641">
        <v>10</v>
      </c>
      <c r="Z827" s="1641"/>
      <c r="AA827" s="1641"/>
      <c r="AB827" s="1641"/>
      <c r="AC827" s="1474">
        <v>14</v>
      </c>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624" t="s">
        <v>459</v>
      </c>
      <c r="D829" s="1625"/>
      <c r="E829" s="1625"/>
      <c r="F829" s="1625"/>
      <c r="G829" s="1625"/>
      <c r="H829" s="1625"/>
      <c r="I829" s="60"/>
      <c r="J829" s="60"/>
      <c r="K829" s="60"/>
      <c r="L829" s="61"/>
      <c r="M829" s="1641"/>
      <c r="N829" s="1641"/>
      <c r="O829" s="1641"/>
      <c r="P829" s="1641"/>
      <c r="Q829" s="1641"/>
      <c r="R829" s="1641"/>
      <c r="S829" s="1641"/>
      <c r="T829" s="1641"/>
      <c r="U829" s="1641">
        <v>45</v>
      </c>
      <c r="V829" s="1641"/>
      <c r="W829" s="1641"/>
      <c r="X829" s="1641"/>
      <c r="Y829" s="1641">
        <v>59</v>
      </c>
      <c r="Z829" s="1641"/>
      <c r="AA829" s="1641"/>
      <c r="AB829" s="1641"/>
      <c r="AC829" s="1474">
        <v>73</v>
      </c>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293</v>
      </c>
      <c r="D831" s="60"/>
      <c r="E831" s="60"/>
      <c r="F831" s="1592" t="s">
        <v>334</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0</v>
      </c>
      <c r="R832" s="1635"/>
      <c r="S832" s="1635"/>
      <c r="T832" s="1635"/>
      <c r="U832" s="1635">
        <f>SUM(U825:X831)</f>
        <v>97</v>
      </c>
      <c r="V832" s="1635"/>
      <c r="W832" s="1635"/>
      <c r="X832" s="1635"/>
      <c r="Y832" s="1635">
        <f>SUM(Y825:AB831)</f>
        <v>120</v>
      </c>
      <c r="Z832" s="1635"/>
      <c r="AA832" s="1635"/>
      <c r="AB832" s="1635"/>
      <c r="AC832" s="1635">
        <f>SUM(AC825:AF831)</f>
        <v>146</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705" t="s">
        <v>2721</v>
      </c>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3.15" customHeight="1">
      <c r="A842"/>
      <c r="B842"/>
      <c r="C842" s="2" t="s">
        <v>343</v>
      </c>
      <c r="D842"/>
      <c r="E842"/>
      <c r="F842"/>
      <c r="G842"/>
      <c r="H842"/>
      <c r="I842"/>
      <c r="J842" s="45" t="s">
        <v>356</v>
      </c>
      <c r="K842" s="5"/>
      <c r="L842" s="5"/>
      <c r="M842" s="5"/>
      <c r="N842" s="5"/>
      <c r="O842" s="5"/>
      <c r="P842" s="5"/>
      <c r="Q842" s="5"/>
      <c r="R842" s="5"/>
      <c r="S842" s="5"/>
      <c r="T842" s="5"/>
      <c r="U842" s="5"/>
      <c r="V842" s="46"/>
      <c r="W842" s="1480">
        <v>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355</v>
      </c>
      <c r="K843" s="5"/>
      <c r="L843" s="5"/>
      <c r="M843" s="5"/>
      <c r="N843" s="5"/>
      <c r="O843" s="5"/>
      <c r="P843" s="5"/>
      <c r="Q843" s="5"/>
      <c r="R843" s="5"/>
      <c r="S843" s="5"/>
      <c r="T843" s="5"/>
      <c r="U843" s="5"/>
      <c r="V843" s="46"/>
      <c r="W843" s="1480">
        <v>2500</v>
      </c>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354</v>
      </c>
      <c r="K844" s="5"/>
      <c r="L844" s="5"/>
      <c r="M844" s="5"/>
      <c r="N844" s="5"/>
      <c r="O844" s="5"/>
      <c r="P844" s="5"/>
      <c r="Q844" s="5"/>
      <c r="R844" s="5"/>
      <c r="S844" s="5"/>
      <c r="T844" s="5"/>
      <c r="U844" s="5"/>
      <c r="V844" s="46"/>
      <c r="W844" s="1480">
        <v>29870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3.15" customHeight="1">
      <c r="J845" s="45" t="s">
        <v>353</v>
      </c>
      <c r="K845" s="5"/>
      <c r="L845" s="5"/>
      <c r="M845" s="5"/>
      <c r="N845" s="5"/>
      <c r="O845" s="5"/>
      <c r="P845" s="5"/>
      <c r="Q845" s="5"/>
      <c r="R845" s="5"/>
      <c r="S845" s="5"/>
      <c r="T845" s="5"/>
      <c r="U845" s="5"/>
      <c r="V845" s="46"/>
      <c r="W845" s="1480">
        <v>56350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3.15" customHeight="1">
      <c r="J846" s="45" t="s">
        <v>170</v>
      </c>
      <c r="K846" s="5"/>
      <c r="L846" s="5"/>
      <c r="M846" s="1592" t="s">
        <v>2757</v>
      </c>
      <c r="N846" s="1593"/>
      <c r="O846" s="1593"/>
      <c r="P846" s="1593"/>
      <c r="Q846" s="1593"/>
      <c r="R846" s="1593"/>
      <c r="S846" s="1593"/>
      <c r="T846" s="1593"/>
      <c r="U846" s="1593"/>
      <c r="V846" s="1594"/>
      <c r="W846" s="1480">
        <v>87031</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342</v>
      </c>
      <c r="W847" s="1614">
        <f>SUM(W842:W846)</f>
        <v>175751</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27"/>
      <c r="BH848" s="1627"/>
      <c r="BI848" s="1627"/>
      <c r="BJ848" s="1627"/>
      <c r="BK848" s="1627"/>
      <c r="BL848" s="1627"/>
    </row>
    <row r="849" spans="3:55" ht="13.15" customHeight="1">
      <c r="C849" s="2" t="s">
        <v>344</v>
      </c>
      <c r="J849" s="1448" t="s">
        <v>345</v>
      </c>
      <c r="K849" s="1449"/>
      <c r="L849" s="1449"/>
      <c r="M849" s="1449"/>
      <c r="N849" s="1449"/>
      <c r="O849" s="1449"/>
      <c r="P849" s="1449"/>
      <c r="Q849" s="1449"/>
      <c r="R849" s="1449"/>
      <c r="S849" s="1449"/>
      <c r="T849" s="1449"/>
      <c r="U849" s="1449"/>
      <c r="V849" s="1450"/>
      <c r="W849" s="1465">
        <v>137763</v>
      </c>
      <c r="X849" s="1466"/>
      <c r="Y849" s="1466"/>
      <c r="Z849" s="1466"/>
      <c r="AA849" s="1466"/>
      <c r="AB849" s="1466"/>
      <c r="AC849" s="1467"/>
      <c r="AD849" s="533"/>
      <c r="AZ849" s="30"/>
      <c r="BA849" s="30"/>
      <c r="BB849" s="14"/>
      <c r="BC849" s="14"/>
    </row>
    <row r="850" spans="3:55" ht="13.15" customHeight="1">
      <c r="AD850" s="533"/>
      <c r="AZ850" s="30"/>
      <c r="BA850" s="30"/>
      <c r="BB850" s="14"/>
      <c r="BC850" s="14"/>
    </row>
    <row r="851" spans="3:55" ht="13.15" customHeight="1">
      <c r="C851" s="2" t="s">
        <v>561</v>
      </c>
      <c r="J851" s="45" t="s">
        <v>352</v>
      </c>
      <c r="K851" s="5"/>
      <c r="L851" s="5"/>
      <c r="M851" s="5"/>
      <c r="N851" s="5"/>
      <c r="O851" s="5"/>
      <c r="P851" s="5"/>
      <c r="Q851" s="5"/>
      <c r="R851" s="5"/>
      <c r="S851" s="5"/>
      <c r="T851" s="5"/>
      <c r="U851" s="5"/>
      <c r="V851" s="46"/>
      <c r="W851" s="1650">
        <v>0</v>
      </c>
      <c r="X851" s="1650"/>
      <c r="Y851" s="1650"/>
      <c r="Z851" s="1650"/>
      <c r="AA851" s="1650"/>
      <c r="AB851" s="1650"/>
      <c r="AC851" s="1650"/>
      <c r="AZ851" s="1717"/>
      <c r="BA851" s="1717"/>
      <c r="BB851" s="14"/>
      <c r="BC851" s="14"/>
    </row>
    <row r="852" spans="3:55" ht="13.15" customHeight="1">
      <c r="J852" s="45" t="s">
        <v>351</v>
      </c>
      <c r="K852" s="5"/>
      <c r="L852" s="5"/>
      <c r="M852" s="5"/>
      <c r="N852" s="5"/>
      <c r="O852" s="5"/>
      <c r="P852" s="5"/>
      <c r="Q852" s="5"/>
      <c r="R852" s="5"/>
      <c r="S852" s="5"/>
      <c r="T852" s="5"/>
      <c r="U852" s="5"/>
      <c r="V852" s="46"/>
      <c r="W852" s="1650">
        <v>6239</v>
      </c>
      <c r="X852" s="1650"/>
      <c r="Y852" s="1650"/>
      <c r="Z852" s="1650"/>
      <c r="AA852" s="1650"/>
      <c r="AB852" s="1650"/>
      <c r="AC852" s="1650"/>
      <c r="AZ852" s="30"/>
      <c r="BA852" s="30"/>
      <c r="BB852" s="14"/>
      <c r="BC852" s="14"/>
    </row>
    <row r="853" spans="3:55" ht="13.15" customHeight="1">
      <c r="J853" s="45" t="s">
        <v>459</v>
      </c>
      <c r="K853" s="5"/>
      <c r="L853" s="5"/>
      <c r="M853" s="5"/>
      <c r="N853" s="5"/>
      <c r="O853" s="5"/>
      <c r="P853" s="5"/>
      <c r="Q853" s="5"/>
      <c r="R853" s="5"/>
      <c r="S853" s="5"/>
      <c r="T853" s="5"/>
      <c r="U853" s="5"/>
      <c r="V853" s="46"/>
      <c r="W853" s="1650">
        <v>6254</v>
      </c>
      <c r="X853" s="1650"/>
      <c r="Y853" s="1650"/>
      <c r="Z853" s="1650"/>
      <c r="AA853" s="1650"/>
      <c r="AB853" s="1650"/>
      <c r="AC853" s="1650"/>
      <c r="AZ853" s="30"/>
      <c r="BA853" s="30"/>
      <c r="BB853" s="14"/>
      <c r="BC853" s="14"/>
    </row>
    <row r="854" spans="3:55" ht="13.15" customHeight="1">
      <c r="J854" s="62" t="s">
        <v>620</v>
      </c>
      <c r="K854" s="5"/>
      <c r="L854" s="5"/>
      <c r="M854" s="5"/>
      <c r="N854" s="5"/>
      <c r="O854" s="5"/>
      <c r="P854" s="5"/>
      <c r="Q854" s="5"/>
      <c r="R854" s="5"/>
      <c r="S854" s="5"/>
      <c r="T854" s="5"/>
      <c r="U854" s="5"/>
      <c r="V854" s="46"/>
      <c r="W854" s="1650">
        <v>184665</v>
      </c>
      <c r="X854" s="1650"/>
      <c r="Y854" s="1650"/>
      <c r="Z854" s="1650"/>
      <c r="AA854" s="1650"/>
      <c r="AB854" s="1650"/>
      <c r="AC854" s="1650"/>
      <c r="AZ854" s="34"/>
      <c r="BA854" s="34"/>
      <c r="BB854" s="34"/>
      <c r="BC854" s="34"/>
    </row>
    <row r="855" spans="3:55" ht="13.15" customHeight="1">
      <c r="J855" s="63"/>
      <c r="K855" s="48"/>
      <c r="L855" s="48"/>
      <c r="M855" s="48"/>
      <c r="N855" s="48"/>
      <c r="O855" s="48"/>
      <c r="P855" s="48"/>
      <c r="Q855" s="48"/>
      <c r="R855" s="48"/>
      <c r="S855" s="48"/>
      <c r="T855" s="48"/>
      <c r="U855" s="48"/>
      <c r="V855" s="54" t="s">
        <v>272</v>
      </c>
      <c r="W855" s="1704">
        <f>SUM(W851:W854)</f>
        <v>197158</v>
      </c>
      <c r="X855" s="1704"/>
      <c r="Y855" s="1704"/>
      <c r="Z855" s="1704"/>
      <c r="AA855" s="1704"/>
      <c r="AB855" s="1704"/>
      <c r="AC855" s="1704"/>
      <c r="AZ855" s="34"/>
      <c r="BA855" s="34"/>
      <c r="BB855" s="34"/>
      <c r="BC855" s="34"/>
    </row>
    <row r="856" spans="3:55" ht="13.15" customHeight="1">
      <c r="AZ856" s="34"/>
      <c r="BA856" s="34"/>
      <c r="BB856" s="34"/>
      <c r="BC856" s="34"/>
    </row>
    <row r="857" spans="3:55" ht="13.15" customHeight="1">
      <c r="C857" s="2" t="s">
        <v>346</v>
      </c>
      <c r="J857" s="45" t="s">
        <v>619</v>
      </c>
      <c r="K857" s="5"/>
      <c r="L857" s="5"/>
      <c r="M857" s="5"/>
      <c r="N857" s="5"/>
      <c r="O857" s="5"/>
      <c r="P857" s="5"/>
      <c r="Q857" s="5"/>
      <c r="R857" s="5"/>
      <c r="S857" s="5"/>
      <c r="T857" s="5"/>
      <c r="U857" s="5"/>
      <c r="V857" s="46"/>
      <c r="W857" s="1629">
        <v>142233</v>
      </c>
      <c r="X857" s="1630"/>
      <c r="Y857" s="1630"/>
      <c r="Z857" s="1630"/>
      <c r="AA857" s="1630"/>
      <c r="AB857" s="1630"/>
      <c r="AC857" s="1631"/>
      <c r="AD857" s="528"/>
      <c r="AZ857" s="34"/>
      <c r="BA857" s="34"/>
      <c r="BB857" s="34"/>
      <c r="BC857" s="34"/>
    </row>
    <row r="858" spans="3:55" ht="13.15" customHeight="1">
      <c r="C858" s="2" t="s">
        <v>347</v>
      </c>
      <c r="J858" s="121" t="s">
        <v>1654</v>
      </c>
      <c r="K858" s="5"/>
      <c r="L858" s="5"/>
      <c r="M858" s="5"/>
      <c r="N858" s="5"/>
      <c r="O858" s="5"/>
      <c r="P858" s="5"/>
      <c r="Q858" s="5"/>
      <c r="R858" s="5"/>
      <c r="S858" s="5"/>
      <c r="T858" s="1708">
        <v>4</v>
      </c>
      <c r="U858" s="1695"/>
      <c r="V858" s="1709"/>
      <c r="W858" s="874"/>
      <c r="X858" s="875"/>
      <c r="Y858" s="875"/>
      <c r="Z858" s="875"/>
      <c r="AA858" s="875"/>
      <c r="AB858" s="875"/>
      <c r="AC858" s="876"/>
      <c r="AD858" s="528"/>
      <c r="AZ858" s="34"/>
      <c r="BA858" s="34"/>
      <c r="BB858" s="34"/>
      <c r="BC858" s="34"/>
    </row>
    <row r="859" spans="3:55" ht="13.15" customHeight="1">
      <c r="C859" s="2"/>
      <c r="J859" s="45" t="s">
        <v>618</v>
      </c>
      <c r="K859" s="5"/>
      <c r="L859" s="5"/>
      <c r="M859" s="5"/>
      <c r="N859" s="5"/>
      <c r="O859" s="5"/>
      <c r="P859" s="5"/>
      <c r="Q859" s="5"/>
      <c r="R859" s="5"/>
      <c r="S859" s="5"/>
      <c r="T859" s="5"/>
      <c r="U859" s="5"/>
      <c r="V859" s="46"/>
      <c r="W859" s="1629">
        <v>145716</v>
      </c>
      <c r="X859" s="1630"/>
      <c r="Y859" s="1630"/>
      <c r="Z859" s="1630"/>
      <c r="AA859" s="1630"/>
      <c r="AB859" s="1630"/>
      <c r="AC859" s="1631"/>
      <c r="AD859" s="533"/>
      <c r="AZ859" s="34"/>
      <c r="BA859" s="34"/>
      <c r="BB859" s="34"/>
      <c r="BC859" s="34"/>
    </row>
    <row r="860" spans="3:55" ht="13.15" customHeight="1">
      <c r="C860" s="2"/>
      <c r="J860" s="121" t="s">
        <v>1655</v>
      </c>
      <c r="K860" s="5"/>
      <c r="L860" s="5"/>
      <c r="M860" s="5"/>
      <c r="N860" s="5"/>
      <c r="O860" s="5"/>
      <c r="P860" s="5"/>
      <c r="Q860" s="5"/>
      <c r="R860" s="5"/>
      <c r="S860" s="5"/>
      <c r="T860" s="1708">
        <v>2</v>
      </c>
      <c r="U860" s="1695"/>
      <c r="V860" s="1709"/>
      <c r="W860" s="874"/>
      <c r="X860" s="875"/>
      <c r="Y860" s="875"/>
      <c r="Z860" s="875"/>
      <c r="AA860" s="875"/>
      <c r="AB860" s="875"/>
      <c r="AC860" s="876"/>
      <c r="AD860" s="533"/>
      <c r="AZ860" s="34"/>
      <c r="BA860" s="34"/>
      <c r="BB860" s="34"/>
      <c r="BC860" s="34"/>
    </row>
    <row r="861" spans="3:55" ht="13.15" customHeight="1">
      <c r="J861" s="45" t="s">
        <v>170</v>
      </c>
      <c r="K861" s="5"/>
      <c r="L861" s="5"/>
      <c r="M861" s="1592" t="s">
        <v>2736</v>
      </c>
      <c r="N861" s="1593"/>
      <c r="O861" s="1593"/>
      <c r="P861" s="1593"/>
      <c r="Q861" s="1593"/>
      <c r="R861" s="1593"/>
      <c r="S861" s="1593"/>
      <c r="T861" s="1593"/>
      <c r="U861" s="1593"/>
      <c r="V861" s="1594"/>
      <c r="W861" s="1629">
        <v>107152</v>
      </c>
      <c r="X861" s="1630"/>
      <c r="Y861" s="1630"/>
      <c r="Z861" s="1630"/>
      <c r="AA861" s="1630"/>
      <c r="AB861" s="1630"/>
      <c r="AC861" s="1631"/>
      <c r="AD861" s="528"/>
      <c r="AU861" s="14"/>
      <c r="AZ861" s="34"/>
      <c r="BA861" s="34"/>
      <c r="BB861" s="34"/>
      <c r="BC861" s="34"/>
    </row>
    <row r="862" spans="3:55" ht="13.15" customHeight="1">
      <c r="J862" s="45"/>
      <c r="K862" s="5"/>
      <c r="L862" s="5"/>
      <c r="M862" s="5"/>
      <c r="N862" s="5"/>
      <c r="O862" s="5"/>
      <c r="P862" s="5"/>
      <c r="Q862" s="5"/>
      <c r="R862" s="5"/>
      <c r="S862" s="5"/>
      <c r="T862" s="5"/>
      <c r="U862" s="5"/>
      <c r="V862" s="54" t="s">
        <v>273</v>
      </c>
      <c r="W862" s="1710">
        <f>SUM(W857:W861)</f>
        <v>395101</v>
      </c>
      <c r="X862" s="1711"/>
      <c r="Y862" s="1711"/>
      <c r="Z862" s="1711"/>
      <c r="AA862" s="1711"/>
      <c r="AB862" s="1711"/>
      <c r="AC862" s="1712"/>
      <c r="AD862" s="533"/>
      <c r="AU862" s="14"/>
      <c r="AZ862" s="34"/>
      <c r="BA862" s="34"/>
      <c r="BB862" s="34"/>
      <c r="BC862" s="34"/>
    </row>
    <row r="863" spans="3:55" ht="13.15" customHeight="1">
      <c r="J863" s="45"/>
      <c r="K863" s="5"/>
      <c r="L863" s="5"/>
      <c r="M863" s="5"/>
      <c r="N863" s="5"/>
      <c r="O863" s="5"/>
      <c r="P863" s="5"/>
      <c r="Q863" s="5"/>
      <c r="R863" s="5"/>
      <c r="S863" s="5"/>
      <c r="T863" s="5"/>
      <c r="U863" s="5"/>
      <c r="V863" s="54" t="s">
        <v>274</v>
      </c>
      <c r="W863" s="1629">
        <v>105609</v>
      </c>
      <c r="X863" s="1630"/>
      <c r="Y863" s="1630"/>
      <c r="Z863" s="1630"/>
      <c r="AA863" s="1630"/>
      <c r="AB863" s="1630"/>
      <c r="AC863" s="1631"/>
      <c r="AU863" s="14"/>
      <c r="AZ863" s="34"/>
      <c r="BA863" s="34"/>
      <c r="BB863" s="34"/>
      <c r="BC863" s="34"/>
    </row>
    <row r="864" spans="3:55" ht="13.15" customHeight="1">
      <c r="J864" s="512"/>
      <c r="AU864" s="14"/>
      <c r="AZ864" s="34"/>
      <c r="BA864" s="34"/>
      <c r="BB864" s="34"/>
      <c r="BC864" s="34"/>
    </row>
    <row r="865" spans="3:55" ht="13.15" customHeight="1">
      <c r="C865" s="2" t="s">
        <v>390</v>
      </c>
      <c r="J865" s="45" t="s">
        <v>617</v>
      </c>
      <c r="K865" s="5"/>
      <c r="L865" s="5"/>
      <c r="M865" s="5"/>
      <c r="N865" s="5"/>
      <c r="O865" s="5"/>
      <c r="P865" s="5"/>
      <c r="Q865" s="5"/>
      <c r="R865" s="5"/>
      <c r="S865" s="5"/>
      <c r="T865" s="5"/>
      <c r="U865" s="5"/>
      <c r="V865" s="46"/>
      <c r="W865" s="1480">
        <v>18407</v>
      </c>
      <c r="X865" s="1480"/>
      <c r="Y865" s="1480"/>
      <c r="Z865" s="1480"/>
      <c r="AA865" s="1480"/>
      <c r="AB865" s="1480"/>
      <c r="AC865" s="1480"/>
      <c r="AU865" s="14"/>
      <c r="AZ865" s="34"/>
      <c r="BA865" s="34"/>
      <c r="BB865" s="34"/>
      <c r="BC865" s="34"/>
    </row>
    <row r="866" spans="3:55" ht="13.15" customHeight="1">
      <c r="J866" s="45" t="s">
        <v>522</v>
      </c>
      <c r="K866" s="5"/>
      <c r="L866" s="5"/>
      <c r="M866" s="5"/>
      <c r="N866" s="5"/>
      <c r="O866" s="5"/>
      <c r="P866" s="5"/>
      <c r="Q866" s="5"/>
      <c r="R866" s="5"/>
      <c r="S866" s="5"/>
      <c r="T866" s="5"/>
      <c r="U866" s="5"/>
      <c r="V866" s="46"/>
      <c r="W866" s="1480">
        <v>160269</v>
      </c>
      <c r="X866" s="1480"/>
      <c r="Y866" s="1480"/>
      <c r="Z866" s="1480"/>
      <c r="AA866" s="1480"/>
      <c r="AB866" s="1480"/>
      <c r="AC866" s="1480"/>
      <c r="AU866" s="4"/>
      <c r="AZ866" s="34"/>
      <c r="BA866" s="34"/>
      <c r="BB866" s="34"/>
      <c r="BC866" s="34"/>
    </row>
    <row r="867" spans="3:55" ht="13.15" customHeight="1">
      <c r="J867" s="45" t="s">
        <v>521</v>
      </c>
      <c r="K867" s="5"/>
      <c r="L867" s="5"/>
      <c r="M867" s="5"/>
      <c r="N867" s="5"/>
      <c r="O867" s="5"/>
      <c r="P867" s="5"/>
      <c r="Q867" s="5"/>
      <c r="R867" s="5"/>
      <c r="S867" s="5"/>
      <c r="T867" s="5"/>
      <c r="U867" s="5"/>
      <c r="V867" s="46"/>
      <c r="W867" s="1480">
        <v>85113</v>
      </c>
      <c r="X867" s="1480"/>
      <c r="Y867" s="1480"/>
      <c r="Z867" s="1480"/>
      <c r="AA867" s="1480"/>
      <c r="AB867" s="1480"/>
      <c r="AC867" s="1480"/>
      <c r="AU867" s="4"/>
      <c r="AZ867" s="34"/>
      <c r="BA867" s="34"/>
      <c r="BB867" s="34"/>
      <c r="BC867" s="34"/>
    </row>
    <row r="868" spans="3:55" ht="13.15" customHeight="1">
      <c r="J868" s="45" t="s">
        <v>520</v>
      </c>
      <c r="K868" s="5"/>
      <c r="L868" s="5"/>
      <c r="M868" s="5"/>
      <c r="N868" s="5"/>
      <c r="O868" s="5"/>
      <c r="P868" s="5"/>
      <c r="Q868" s="5"/>
      <c r="R868" s="5"/>
      <c r="S868" s="5"/>
      <c r="T868" s="5"/>
      <c r="U868" s="5"/>
      <c r="V868" s="46"/>
      <c r="W868" s="1480">
        <v>6600</v>
      </c>
      <c r="X868" s="1480"/>
      <c r="Y868" s="1480"/>
      <c r="Z868" s="1480"/>
      <c r="AA868" s="1480"/>
      <c r="AB868" s="1480"/>
      <c r="AC868" s="1480"/>
      <c r="AU868" s="4"/>
      <c r="AZ868" s="34"/>
      <c r="BA868" s="34"/>
      <c r="BB868" s="34"/>
      <c r="BC868" s="34"/>
    </row>
    <row r="869" spans="3:55" ht="13.15" customHeight="1">
      <c r="J869" s="45" t="s">
        <v>519</v>
      </c>
      <c r="K869" s="5"/>
      <c r="L869" s="5"/>
      <c r="M869" s="5"/>
      <c r="N869" s="5"/>
      <c r="O869" s="5"/>
      <c r="P869" s="5"/>
      <c r="Q869" s="5"/>
      <c r="R869" s="5"/>
      <c r="S869" s="5"/>
      <c r="T869" s="5"/>
      <c r="U869" s="5"/>
      <c r="V869" s="46"/>
      <c r="W869" s="1480">
        <v>76856</v>
      </c>
      <c r="X869" s="1480"/>
      <c r="Y869" s="1480"/>
      <c r="Z869" s="1480"/>
      <c r="AA869" s="1480"/>
      <c r="AB869" s="1480"/>
      <c r="AC869" s="1480"/>
      <c r="AU869" s="4"/>
      <c r="AZ869" s="34"/>
      <c r="BA869" s="34"/>
      <c r="BB869" s="34"/>
      <c r="BC869" s="34"/>
    </row>
    <row r="870" spans="3:55" ht="13.15" customHeight="1">
      <c r="J870" s="45" t="s">
        <v>518</v>
      </c>
      <c r="K870" s="5"/>
      <c r="L870" s="5"/>
      <c r="M870" s="5"/>
      <c r="N870" s="5"/>
      <c r="O870" s="5"/>
      <c r="P870" s="5"/>
      <c r="Q870" s="5"/>
      <c r="R870" s="5"/>
      <c r="S870" s="5"/>
      <c r="T870" s="5"/>
      <c r="U870" s="5"/>
      <c r="V870" s="46"/>
      <c r="W870" s="1480">
        <v>0</v>
      </c>
      <c r="X870" s="1480"/>
      <c r="Y870" s="1480"/>
      <c r="Z870" s="1480"/>
      <c r="AA870" s="1480"/>
      <c r="AB870" s="1480"/>
      <c r="AC870" s="1480"/>
      <c r="AU870" s="4"/>
      <c r="AZ870" s="34"/>
      <c r="BA870" s="34"/>
      <c r="BB870" s="34"/>
      <c r="BC870" s="34"/>
    </row>
    <row r="871" spans="3:55" ht="13.15" customHeight="1">
      <c r="J871" s="45" t="s">
        <v>170</v>
      </c>
      <c r="K871" s="5"/>
      <c r="L871" s="5"/>
      <c r="M871" s="1592" t="s">
        <v>2737</v>
      </c>
      <c r="N871" s="1593"/>
      <c r="O871" s="1593"/>
      <c r="P871" s="1593"/>
      <c r="Q871" s="1593"/>
      <c r="R871" s="1593"/>
      <c r="S871" s="1593"/>
      <c r="T871" s="1593"/>
      <c r="U871" s="1593"/>
      <c r="V871" s="1594"/>
      <c r="W871" s="1480">
        <v>31798</v>
      </c>
      <c r="X871" s="1480"/>
      <c r="Y871" s="1480"/>
      <c r="Z871" s="1480"/>
      <c r="AA871" s="1480"/>
      <c r="AB871" s="1480"/>
      <c r="AC871" s="1480"/>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275</v>
      </c>
      <c r="W872" s="1702">
        <f>SUM(W865:W871)</f>
        <v>379043</v>
      </c>
      <c r="X872" s="1702"/>
      <c r="Y872" s="1702"/>
      <c r="Z872" s="1702"/>
      <c r="AA872" s="1702"/>
      <c r="AB872" s="1702"/>
      <c r="AC872" s="1702"/>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1242</v>
      </c>
      <c r="J874" s="45" t="s">
        <v>170</v>
      </c>
      <c r="K874" s="5"/>
      <c r="L874" s="5"/>
      <c r="M874" s="1592" t="s">
        <v>2738</v>
      </c>
      <c r="N874" s="1593"/>
      <c r="O874" s="1593"/>
      <c r="P874" s="1593"/>
      <c r="Q874" s="1593"/>
      <c r="R874" s="1593"/>
      <c r="S874" s="1593"/>
      <c r="T874" s="1593"/>
      <c r="U874" s="1593"/>
      <c r="V874" s="1594"/>
      <c r="W874" s="1465">
        <v>15225</v>
      </c>
      <c r="X874" s="1466"/>
      <c r="Y874" s="1466"/>
      <c r="Z874" s="1466"/>
      <c r="AA874" s="1466"/>
      <c r="AB874" s="1466"/>
      <c r="AC874" s="1467"/>
      <c r="AD874" s="533"/>
      <c r="AV874" s="14"/>
      <c r="AW874" s="14"/>
      <c r="AX874" s="14"/>
      <c r="AY874" s="14"/>
      <c r="AZ874" s="34"/>
      <c r="BA874" s="34"/>
      <c r="BB874" s="34"/>
      <c r="BC874" s="34"/>
    </row>
    <row r="875" spans="3:55" ht="13.15" customHeight="1">
      <c r="C875" s="2" t="s">
        <v>1243</v>
      </c>
      <c r="J875" s="45" t="s">
        <v>170</v>
      </c>
      <c r="K875" s="5"/>
      <c r="L875" s="5"/>
      <c r="M875" s="1592" t="s">
        <v>2739</v>
      </c>
      <c r="N875" s="1593"/>
      <c r="O875" s="1593"/>
      <c r="P875" s="1593"/>
      <c r="Q875" s="1593"/>
      <c r="R875" s="1593"/>
      <c r="S875" s="1593"/>
      <c r="T875" s="1593"/>
      <c r="U875" s="1593"/>
      <c r="V875" s="1594"/>
      <c r="W875" s="1465">
        <v>13175</v>
      </c>
      <c r="X875" s="1466"/>
      <c r="Y875" s="1466"/>
      <c r="Z875" s="1466"/>
      <c r="AA875" s="1466"/>
      <c r="AB875" s="1466"/>
      <c r="AC875" s="1467"/>
      <c r="AD875" s="533"/>
      <c r="AV875" s="14"/>
      <c r="AW875" s="14"/>
      <c r="AX875" s="14"/>
      <c r="AY875" s="14"/>
      <c r="AZ875" s="34"/>
      <c r="BA875" s="34"/>
      <c r="BB875" s="34"/>
      <c r="BC875" s="34"/>
    </row>
    <row r="876" spans="3:55" ht="13.15" customHeight="1">
      <c r="J876" s="45" t="s">
        <v>170</v>
      </c>
      <c r="K876" s="5"/>
      <c r="L876" s="5"/>
      <c r="M876" s="1592" t="s">
        <v>334</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3.15" customHeight="1">
      <c r="J877" s="45" t="s">
        <v>170</v>
      </c>
      <c r="K877" s="5"/>
      <c r="L877" s="5"/>
      <c r="M877" s="1592" t="s">
        <v>334</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3.15" customHeight="1">
      <c r="J878" s="45" t="s">
        <v>170</v>
      </c>
      <c r="K878" s="5"/>
      <c r="L878" s="5"/>
      <c r="M878" s="1592" t="s">
        <v>334</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276</v>
      </c>
      <c r="W879" s="1614">
        <f>SUM(W874:W878)</f>
        <v>28400</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5">
        <f>W847+W855+W862+W863+W872+W879+W849</f>
        <v>1418825</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713">
        <f>O797+O777+G753</f>
        <v>145</v>
      </c>
      <c r="AD884" s="1713"/>
      <c r="AE884" s="1713"/>
      <c r="AF884" s="1713"/>
      <c r="AG884" s="1713"/>
      <c r="AH884" s="1714"/>
      <c r="AL884" s="4"/>
      <c r="AM884" s="4"/>
      <c r="AN884" s="4"/>
      <c r="AO884" s="4"/>
      <c r="AP884" s="4"/>
      <c r="AQ884" s="4"/>
      <c r="AR884" s="4"/>
      <c r="AS884" s="4"/>
      <c r="AT884" s="4"/>
      <c r="AZ884" s="34"/>
      <c r="BA884" s="34"/>
      <c r="BB884" s="34"/>
      <c r="BC884" s="34"/>
    </row>
    <row r="885" spans="3:55" ht="13.1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2">
        <f>IF(ISERROR((ROUNDDOWN(AC883/AC884,0))),0,(ROUNDDOWN(AC883/AC884,0)))</f>
        <v>9785</v>
      </c>
      <c r="AD885" s="1702"/>
      <c r="AE885" s="1702"/>
      <c r="AF885" s="1702"/>
      <c r="AG885" s="1702"/>
      <c r="AH885" s="1702"/>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5">
        <f>'Sources and Uses Budget'!B75</f>
        <v>738859</v>
      </c>
      <c r="AD886" s="1716"/>
      <c r="AE886" s="1716"/>
      <c r="AF886" s="1716"/>
      <c r="AG886" s="1716"/>
      <c r="AH886" s="1716"/>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7"/>
      <c r="AD887" s="1480"/>
      <c r="AE887" s="1480"/>
      <c r="AF887" s="1480"/>
      <c r="AG887" s="1480"/>
      <c r="AH887" s="1480"/>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105546</v>
      </c>
      <c r="AD888" s="1466"/>
      <c r="AE888" s="1466"/>
      <c r="AF888" s="1466"/>
      <c r="AG888" s="1466"/>
      <c r="AH888" s="1467"/>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72500</v>
      </c>
      <c r="AD889" s="1466"/>
      <c r="AE889" s="1466"/>
      <c r="AF889" s="1466"/>
      <c r="AG889" s="1466"/>
      <c r="AH889" s="1467"/>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4"/>
      <c r="AD890" s="1475"/>
      <c r="AE890" s="1475"/>
      <c r="AF890" s="1475"/>
      <c r="AG890" s="1475"/>
      <c r="AH890" s="1476"/>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10676</v>
      </c>
      <c r="AD891" s="1466"/>
      <c r="AE891" s="1466"/>
      <c r="AF891" s="1466"/>
      <c r="AG891" s="1466"/>
      <c r="AH891" s="1467"/>
      <c r="AZ891" s="34"/>
      <c r="BA891" s="34"/>
      <c r="BB891" s="34"/>
      <c r="BC891" s="34"/>
    </row>
    <row r="892" spans="3:55" ht="13.15" hidden="1" customHeight="1">
      <c r="C892" s="1448" t="s">
        <v>2231</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6"/>
      <c r="AD893" s="1466"/>
      <c r="AE893" s="1466"/>
      <c r="AF893" s="1466"/>
      <c r="AG893" s="1466"/>
      <c r="AH893" s="1467"/>
      <c r="AZ893" s="34"/>
      <c r="BA893" s="34"/>
      <c r="BB893" s="34"/>
      <c r="BC893" s="34"/>
    </row>
    <row r="894" spans="3:55" ht="13.15" customHeight="1">
      <c r="C894" s="1632" t="s">
        <v>2740</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9129</v>
      </c>
      <c r="AD894" s="1480"/>
      <c r="AE894" s="1480"/>
      <c r="AF894" s="1480"/>
      <c r="AG894" s="1480"/>
      <c r="AH894" s="1480"/>
      <c r="AZ894" s="34"/>
      <c r="BA894" s="34"/>
      <c r="BB894" s="34"/>
      <c r="BC894" s="34"/>
    </row>
    <row r="895" spans="3:55" ht="13.1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613</v>
      </c>
      <c r="C897" s="2" t="s">
        <v>237</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238</v>
      </c>
      <c r="I899" s="5"/>
      <c r="J899" s="5"/>
      <c r="K899" s="5"/>
      <c r="L899" s="5"/>
      <c r="M899" s="5"/>
      <c r="N899" s="5"/>
      <c r="O899" s="5"/>
      <c r="P899" s="5"/>
      <c r="Q899" s="5"/>
      <c r="R899" s="5"/>
      <c r="S899" s="5"/>
      <c r="T899" s="5"/>
      <c r="U899" s="5"/>
      <c r="V899" s="5"/>
      <c r="W899" s="5"/>
      <c r="X899" s="5"/>
      <c r="Y899" s="46"/>
      <c r="Z899" s="1465">
        <v>0</v>
      </c>
      <c r="AA899" s="1466"/>
      <c r="AB899" s="1466"/>
      <c r="AC899" s="1466"/>
      <c r="AD899" s="1466"/>
      <c r="AE899" s="1467"/>
      <c r="AF899" s="533"/>
      <c r="AZ899" s="34"/>
      <c r="BB899" s="30"/>
      <c r="BC899" s="816"/>
      <c r="BD899" s="1628"/>
      <c r="BE899" s="1628"/>
      <c r="BF899" s="14"/>
    </row>
    <row r="900" spans="1:58" ht="13.15" customHeight="1">
      <c r="H900" s="121" t="s">
        <v>239</v>
      </c>
      <c r="I900" s="5"/>
      <c r="J900" s="5"/>
      <c r="K900" s="5"/>
      <c r="L900" s="5"/>
      <c r="M900" s="5"/>
      <c r="N900" s="5"/>
      <c r="O900" s="5"/>
      <c r="P900" s="5"/>
      <c r="Q900" s="5"/>
      <c r="R900" s="5"/>
      <c r="S900" s="5"/>
      <c r="T900" s="5"/>
      <c r="U900" s="5"/>
      <c r="V900" s="5"/>
      <c r="W900" s="5"/>
      <c r="X900" s="5"/>
      <c r="Y900" s="5"/>
      <c r="Z900" s="1465">
        <v>0</v>
      </c>
      <c r="AA900" s="1466"/>
      <c r="AB900" s="1466"/>
      <c r="AC900" s="1466"/>
      <c r="AD900" s="1466"/>
      <c r="AE900" s="1467"/>
      <c r="AZ900" s="34"/>
      <c r="BB900" s="30"/>
      <c r="BC900" s="816"/>
      <c r="BD900" s="1628"/>
      <c r="BE900" s="1628"/>
      <c r="BF900" s="14"/>
    </row>
    <row r="901" spans="1:58" ht="13.15" customHeight="1">
      <c r="H901" s="121" t="s">
        <v>240</v>
      </c>
      <c r="I901" s="5"/>
      <c r="J901" s="5"/>
      <c r="K901" s="5"/>
      <c r="L901" s="5"/>
      <c r="M901" s="5"/>
      <c r="N901" s="5"/>
      <c r="O901" s="5"/>
      <c r="P901" s="5"/>
      <c r="Q901" s="5"/>
      <c r="R901" s="5"/>
      <c r="S901" s="5"/>
      <c r="T901" s="5"/>
      <c r="U901" s="5"/>
      <c r="V901" s="5"/>
      <c r="W901" s="5"/>
      <c r="X901" s="5"/>
      <c r="Y901" s="5"/>
      <c r="Z901" s="1465">
        <v>0</v>
      </c>
      <c r="AA901" s="1466"/>
      <c r="AB901" s="1466"/>
      <c r="AC901" s="1466"/>
      <c r="AD901" s="1466"/>
      <c r="AE901" s="1467"/>
      <c r="AZ901" s="34"/>
      <c r="BB901" s="30"/>
      <c r="BC901" s="816"/>
      <c r="BD901" s="1627"/>
      <c r="BE901" s="1627"/>
      <c r="BF901" s="14"/>
    </row>
    <row r="902" spans="1:58" ht="13.15" customHeight="1">
      <c r="H902" s="45"/>
      <c r="I902" s="5"/>
      <c r="J902" s="5"/>
      <c r="K902" s="5"/>
      <c r="L902" s="5"/>
      <c r="M902" s="5"/>
      <c r="N902" s="5"/>
      <c r="O902" s="5"/>
      <c r="P902" s="5"/>
      <c r="Q902" s="5"/>
      <c r="R902" s="5"/>
      <c r="S902" s="5"/>
      <c r="T902" s="5"/>
      <c r="U902" s="5"/>
      <c r="V902" s="5"/>
      <c r="W902" s="5"/>
      <c r="X902" s="5"/>
      <c r="Y902" s="181" t="s">
        <v>241</v>
      </c>
      <c r="Z902" s="1614">
        <f>Z899-(Z900+Z901)</f>
        <v>0</v>
      </c>
      <c r="AA902" s="1615"/>
      <c r="AB902" s="1615"/>
      <c r="AC902" s="1615"/>
      <c r="AD902" s="1615"/>
      <c r="AE902" s="1616"/>
      <c r="AZ902" s="34"/>
      <c r="BB902" s="30"/>
      <c r="BC902" s="816"/>
      <c r="BD902" s="1627"/>
      <c r="BE902" s="1627"/>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7"/>
      <c r="BE903" s="1627"/>
      <c r="BF903" s="14"/>
    </row>
    <row r="904" spans="1:58" ht="13.1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8"/>
      <c r="BE904" s="1627"/>
      <c r="BF904" s="14"/>
    </row>
    <row r="905" spans="1:58" ht="13.1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3"/>
      <c r="BE905" s="1703"/>
      <c r="BF905" s="1703"/>
    </row>
    <row r="906" spans="1:58" ht="13.1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59"/>
      <c r="BE906" s="1659"/>
      <c r="BF906" s="1659"/>
    </row>
    <row r="907" spans="1:58" ht="13.1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7"/>
      <c r="BE907" s="1627"/>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8"/>
      <c r="BE908" s="1627"/>
      <c r="BF908" s="14"/>
    </row>
    <row r="909" spans="1:58" ht="13.15" customHeight="1">
      <c r="AZ909" s="34"/>
      <c r="BB909" s="30"/>
      <c r="BC909" s="816"/>
    </row>
    <row r="910" spans="1:58" ht="13.1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1"/>
    </row>
    <row r="911" spans="1:58" ht="13.1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3.15"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3.1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391</v>
      </c>
      <c r="AC917" s="1636"/>
      <c r="AD917" s="1636"/>
      <c r="AE917" s="1636"/>
      <c r="AF917" s="109"/>
      <c r="AZ917" s="34"/>
      <c r="BA917" s="34"/>
      <c r="BB917" s="34"/>
      <c r="BC917" s="34"/>
    </row>
    <row r="918" spans="1:58" ht="13.1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f>+AM554+AM557</f>
        <v>28000000</v>
      </c>
      <c r="AB918" s="1408"/>
      <c r="AC918" s="1408"/>
      <c r="AD918" s="1408"/>
      <c r="AE918" s="1408"/>
      <c r="AF918" s="1409"/>
      <c r="AZ918" s="34"/>
      <c r="BA918" s="34"/>
      <c r="BB918" s="34"/>
      <c r="BC918" s="34"/>
    </row>
    <row r="919" spans="1:58" ht="13.15" customHeight="1">
      <c r="B919" s="2"/>
      <c r="F919" s="66" t="s">
        <v>675</v>
      </c>
      <c r="G919" s="48"/>
      <c r="H919" s="48"/>
      <c r="I919" s="48"/>
      <c r="J919" s="48"/>
      <c r="K919" s="48"/>
      <c r="L919" s="48"/>
      <c r="M919" s="48"/>
      <c r="N919" s="48"/>
      <c r="O919" s="48"/>
      <c r="P919" s="48"/>
      <c r="Q919" s="48"/>
      <c r="R919" s="48"/>
      <c r="S919" s="48"/>
      <c r="T919" s="49"/>
      <c r="U919" s="1401" t="s">
        <v>545</v>
      </c>
      <c r="V919" s="1402"/>
      <c r="W919" s="1402"/>
      <c r="X919" s="1402"/>
      <c r="Y919" s="1402"/>
      <c r="Z919" s="1403"/>
      <c r="AA919" s="1407">
        <f>AM555</f>
        <v>9998294</v>
      </c>
      <c r="AB919" s="1408"/>
      <c r="AC919" s="1408"/>
      <c r="AD919" s="1408"/>
      <c r="AE919" s="1408"/>
      <c r="AF919" s="1409"/>
      <c r="AZ919" s="34"/>
      <c r="BA919" s="34"/>
      <c r="BB919" s="34"/>
      <c r="BC919" s="34"/>
    </row>
    <row r="920" spans="1:58" ht="13.1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3.1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3.1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3.1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3.1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3.1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3.15" customHeight="1">
      <c r="F926" s="1600" t="s">
        <v>2191</v>
      </c>
      <c r="G926" s="1601"/>
      <c r="H926" s="1601"/>
      <c r="I926" s="1601"/>
      <c r="J926" s="1601"/>
      <c r="K926" s="1601"/>
      <c r="L926" s="1601"/>
      <c r="M926" s="1601"/>
      <c r="N926" s="1601"/>
      <c r="O926" s="1601"/>
      <c r="P926" s="1601"/>
      <c r="Q926" s="1601"/>
      <c r="R926" s="1601"/>
      <c r="S926" s="1601"/>
      <c r="T926" s="1602"/>
      <c r="U926" s="1401" t="s">
        <v>591</v>
      </c>
      <c r="V926" s="1402"/>
      <c r="W926" s="1402"/>
      <c r="X926" s="1402"/>
      <c r="Y926" s="1402"/>
      <c r="Z926" s="1403"/>
      <c r="AA926" s="1407"/>
      <c r="AB926" s="1408"/>
      <c r="AC926" s="1408"/>
      <c r="AD926" s="1408"/>
      <c r="AE926" s="1408"/>
      <c r="AF926" s="1409"/>
      <c r="AZ926" s="34"/>
      <c r="BA926" s="34"/>
      <c r="BB926" s="34"/>
      <c r="BC926" s="34"/>
    </row>
    <row r="927" spans="1:58" ht="13.15" customHeight="1">
      <c r="F927" s="1600" t="s">
        <v>679</v>
      </c>
      <c r="G927" s="1601"/>
      <c r="H927" s="1601"/>
      <c r="I927" s="1601"/>
      <c r="J927" s="1601"/>
      <c r="K927" s="1601"/>
      <c r="L927" s="1601"/>
      <c r="M927" s="1601"/>
      <c r="N927" s="1601"/>
      <c r="O927" s="1601"/>
      <c r="P927" s="1601"/>
      <c r="Q927" s="1601"/>
      <c r="R927" s="1601"/>
      <c r="S927" s="1601"/>
      <c r="T927" s="1602"/>
      <c r="U927" s="1401" t="s">
        <v>591</v>
      </c>
      <c r="V927" s="1402"/>
      <c r="W927" s="1402"/>
      <c r="X927" s="1402"/>
      <c r="Y927" s="1402"/>
      <c r="Z927" s="1403"/>
      <c r="AA927" s="1407"/>
      <c r="AB927" s="1408"/>
      <c r="AC927" s="1408"/>
      <c r="AD927" s="1408"/>
      <c r="AE927" s="1408"/>
      <c r="AF927" s="1409"/>
      <c r="AU927" s="2"/>
      <c r="AZ927" s="34"/>
      <c r="BA927" s="34"/>
      <c r="BB927" s="34"/>
      <c r="BC927" s="34"/>
    </row>
    <row r="928" spans="1:58" ht="13.15" customHeight="1">
      <c r="F928" s="1600" t="s">
        <v>2192</v>
      </c>
      <c r="G928" s="1601"/>
      <c r="H928" s="1601"/>
      <c r="I928" s="1601"/>
      <c r="J928" s="1601"/>
      <c r="K928" s="1601"/>
      <c r="L928" s="1601"/>
      <c r="M928" s="1601"/>
      <c r="N928" s="1601"/>
      <c r="O928" s="1601"/>
      <c r="P928" s="1601"/>
      <c r="Q928" s="1601"/>
      <c r="R928" s="1601"/>
      <c r="S928" s="1601"/>
      <c r="T928" s="1602"/>
      <c r="U928" s="1401" t="s">
        <v>591</v>
      </c>
      <c r="V928" s="1402"/>
      <c r="W928" s="1402"/>
      <c r="X928" s="1402"/>
      <c r="Y928" s="1402"/>
      <c r="Z928" s="1403"/>
      <c r="AA928" s="1407"/>
      <c r="AB928" s="1408"/>
      <c r="AC928" s="1408"/>
      <c r="AD928" s="1408"/>
      <c r="AE928" s="1408"/>
      <c r="AF928" s="1409"/>
      <c r="AU928" s="2"/>
      <c r="AZ928" s="34"/>
      <c r="BA928" s="34"/>
      <c r="BB928" s="34"/>
      <c r="BC928" s="34"/>
    </row>
    <row r="929" spans="6:55" ht="13.15" customHeight="1">
      <c r="F929" s="1600" t="s">
        <v>2193</v>
      </c>
      <c r="G929" s="1601"/>
      <c r="H929" s="1601"/>
      <c r="I929" s="1601"/>
      <c r="J929" s="1601"/>
      <c r="K929" s="1601"/>
      <c r="L929" s="1601"/>
      <c r="M929" s="1601"/>
      <c r="N929" s="1601"/>
      <c r="O929" s="1601"/>
      <c r="P929" s="1601"/>
      <c r="Q929" s="1601"/>
      <c r="R929" s="1601"/>
      <c r="S929" s="1601"/>
      <c r="T929" s="1602"/>
      <c r="U929" s="1401" t="s">
        <v>591</v>
      </c>
      <c r="V929" s="1402"/>
      <c r="W929" s="1402"/>
      <c r="X929" s="1402"/>
      <c r="Y929" s="1402"/>
      <c r="Z929" s="1403"/>
      <c r="AA929" s="1407"/>
      <c r="AB929" s="1408"/>
      <c r="AC929" s="1408"/>
      <c r="AD929" s="1408"/>
      <c r="AE929" s="1408"/>
      <c r="AF929" s="1409"/>
      <c r="AU929" s="2"/>
      <c r="AZ929" s="34"/>
      <c r="BA929" s="34"/>
      <c r="BB929" s="34"/>
      <c r="BC929" s="34"/>
    </row>
    <row r="930" spans="6:55" ht="13.15" customHeight="1">
      <c r="F930" s="1600" t="s">
        <v>2194</v>
      </c>
      <c r="G930" s="1601"/>
      <c r="H930" s="1601"/>
      <c r="I930" s="1601"/>
      <c r="J930" s="1601"/>
      <c r="K930" s="1601"/>
      <c r="L930" s="1601"/>
      <c r="M930" s="1601"/>
      <c r="N930" s="1601"/>
      <c r="O930" s="1601"/>
      <c r="P930" s="1601"/>
      <c r="Q930" s="1601"/>
      <c r="R930" s="1601"/>
      <c r="S930" s="1601"/>
      <c r="T930" s="1602"/>
      <c r="U930" s="1401" t="s">
        <v>591</v>
      </c>
      <c r="V930" s="1402"/>
      <c r="W930" s="1402"/>
      <c r="X930" s="1402"/>
      <c r="Y930" s="1402"/>
      <c r="Z930" s="1403"/>
      <c r="AA930" s="1407"/>
      <c r="AB930" s="1408"/>
      <c r="AC930" s="1408"/>
      <c r="AD930" s="1408"/>
      <c r="AE930" s="1408"/>
      <c r="AF930" s="1409"/>
      <c r="AU930" s="2"/>
      <c r="AZ930" s="34"/>
      <c r="BA930" s="34"/>
      <c r="BB930" s="34"/>
      <c r="BC930" s="34"/>
    </row>
    <row r="931" spans="6:55" ht="13.15" customHeight="1">
      <c r="F931" s="1600" t="s">
        <v>2195</v>
      </c>
      <c r="G931" s="1601"/>
      <c r="H931" s="1601"/>
      <c r="I931" s="1601"/>
      <c r="J931" s="1601"/>
      <c r="K931" s="1601"/>
      <c r="L931" s="1601"/>
      <c r="M931" s="1601"/>
      <c r="N931" s="1601"/>
      <c r="O931" s="1601"/>
      <c r="P931" s="1601"/>
      <c r="Q931" s="1601"/>
      <c r="R931" s="1601"/>
      <c r="S931" s="1601"/>
      <c r="T931" s="1602"/>
      <c r="U931" s="1401" t="s">
        <v>591</v>
      </c>
      <c r="V931" s="1402"/>
      <c r="W931" s="1402"/>
      <c r="X931" s="1402"/>
      <c r="Y931" s="1402"/>
      <c r="Z931" s="1403"/>
      <c r="AA931" s="1407"/>
      <c r="AB931" s="1408"/>
      <c r="AC931" s="1408"/>
      <c r="AD931" s="1408"/>
      <c r="AE931" s="1408"/>
      <c r="AF931" s="1409"/>
      <c r="AU931" s="2"/>
      <c r="AZ931" s="34"/>
      <c r="BA931" s="34"/>
      <c r="BB931" s="34"/>
      <c r="BC931" s="34"/>
    </row>
    <row r="932" spans="6:55" ht="13.15" customHeight="1">
      <c r="F932" s="1600" t="s">
        <v>2196</v>
      </c>
      <c r="G932" s="1601"/>
      <c r="H932" s="1601"/>
      <c r="I932" s="1601"/>
      <c r="J932" s="1601"/>
      <c r="K932" s="1601"/>
      <c r="L932" s="1601"/>
      <c r="M932" s="1601"/>
      <c r="N932" s="1601"/>
      <c r="O932" s="1601"/>
      <c r="P932" s="1601"/>
      <c r="Q932" s="1601"/>
      <c r="R932" s="1601"/>
      <c r="S932" s="1601"/>
      <c r="T932" s="1602"/>
      <c r="U932" s="1401" t="s">
        <v>591</v>
      </c>
      <c r="V932" s="1402"/>
      <c r="W932" s="1402"/>
      <c r="X932" s="1402"/>
      <c r="Y932" s="1402"/>
      <c r="Z932" s="1403"/>
      <c r="AA932" s="1407"/>
      <c r="AB932" s="1408"/>
      <c r="AC932" s="1408"/>
      <c r="AD932" s="1408"/>
      <c r="AE932" s="1408"/>
      <c r="AF932" s="1409"/>
      <c r="AZ932" s="30"/>
      <c r="BA932" s="30"/>
    </row>
    <row r="933" spans="6:55" ht="13.1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3.15" customHeight="1">
      <c r="F934" s="121" t="s">
        <v>1276</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3.1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3.15" customHeight="1">
      <c r="F936" s="1638" t="s">
        <v>2200</v>
      </c>
      <c r="G936" s="1639"/>
      <c r="H936" s="1639"/>
      <c r="I936" s="1639"/>
      <c r="J936" s="1639"/>
      <c r="K936" s="1639"/>
      <c r="L936" s="1639"/>
      <c r="M936" s="1639"/>
      <c r="N936" s="1639"/>
      <c r="O936" s="1639"/>
      <c r="P936" s="1639"/>
      <c r="Q936" s="1639"/>
      <c r="R936" s="1639"/>
      <c r="S936" s="1639"/>
      <c r="T936" s="1640"/>
      <c r="U936" s="1401" t="s">
        <v>591</v>
      </c>
      <c r="V936" s="1402"/>
      <c r="W936" s="1402"/>
      <c r="X936" s="1402"/>
      <c r="Y936" s="1402"/>
      <c r="Z936" s="1403"/>
      <c r="AA936" s="1407"/>
      <c r="AB936" s="1408"/>
      <c r="AC936" s="1408"/>
      <c r="AD936" s="1408"/>
      <c r="AE936" s="1408"/>
      <c r="AF936" s="1409"/>
      <c r="AZ936" s="30"/>
      <c r="BA936" s="14"/>
    </row>
    <row r="937" spans="6:55" ht="13.15" customHeight="1">
      <c r="F937" s="1638" t="s">
        <v>2201</v>
      </c>
      <c r="G937" s="1639"/>
      <c r="H937" s="1639"/>
      <c r="I937" s="1639"/>
      <c r="J937" s="1639"/>
      <c r="K937" s="1639"/>
      <c r="L937" s="1639"/>
      <c r="M937" s="1639"/>
      <c r="N937" s="1639"/>
      <c r="O937" s="1639"/>
      <c r="P937" s="1639"/>
      <c r="Q937" s="1639"/>
      <c r="R937" s="1639"/>
      <c r="S937" s="1639"/>
      <c r="T937" s="1640"/>
      <c r="U937" s="1401" t="s">
        <v>591</v>
      </c>
      <c r="V937" s="1402"/>
      <c r="W937" s="1402"/>
      <c r="X937" s="1402"/>
      <c r="Y937" s="1402"/>
      <c r="Z937" s="1403"/>
      <c r="AA937" s="1407"/>
      <c r="AB937" s="1408"/>
      <c r="AC937" s="1408"/>
      <c r="AD937" s="1408"/>
      <c r="AE937" s="1408"/>
      <c r="AF937" s="1409"/>
      <c r="AZ937" s="30"/>
      <c r="BA937" s="30"/>
    </row>
    <row r="938" spans="6:55" ht="13.15" customHeight="1">
      <c r="F938" s="1600" t="s">
        <v>2197</v>
      </c>
      <c r="G938" s="1601"/>
      <c r="H938" s="1601"/>
      <c r="I938" s="1601"/>
      <c r="J938" s="1601"/>
      <c r="K938" s="1601"/>
      <c r="L938" s="1601"/>
      <c r="M938" s="1601"/>
      <c r="N938" s="1601"/>
      <c r="O938" s="1601"/>
      <c r="P938" s="1601"/>
      <c r="Q938" s="1601"/>
      <c r="R938" s="1601"/>
      <c r="S938" s="1601"/>
      <c r="T938" s="1602"/>
      <c r="U938" s="1401" t="s">
        <v>591</v>
      </c>
      <c r="V938" s="1402"/>
      <c r="W938" s="1402"/>
      <c r="X938" s="1402"/>
      <c r="Y938" s="1402"/>
      <c r="Z938" s="1403"/>
      <c r="AA938" s="1407"/>
      <c r="AB938" s="1408"/>
      <c r="AC938" s="1408"/>
      <c r="AD938" s="1408"/>
      <c r="AE938" s="1408"/>
      <c r="AF938" s="1409"/>
      <c r="AZ938" s="30"/>
      <c r="BA938" s="30"/>
    </row>
    <row r="939" spans="6:55" ht="13.15" customHeight="1">
      <c r="F939" s="1600" t="s">
        <v>2198</v>
      </c>
      <c r="G939" s="1601"/>
      <c r="H939" s="1601"/>
      <c r="I939" s="1601"/>
      <c r="J939" s="1601"/>
      <c r="K939" s="1601"/>
      <c r="L939" s="1601"/>
      <c r="M939" s="1601"/>
      <c r="N939" s="1601"/>
      <c r="O939" s="1601"/>
      <c r="P939" s="1601"/>
      <c r="Q939" s="1601"/>
      <c r="R939" s="1601"/>
      <c r="S939" s="1601"/>
      <c r="T939" s="1602"/>
      <c r="U939" s="1401" t="s">
        <v>591</v>
      </c>
      <c r="V939" s="1402"/>
      <c r="W939" s="1402"/>
      <c r="X939" s="1402"/>
      <c r="Y939" s="1402"/>
      <c r="Z939" s="1403"/>
      <c r="AA939" s="1407"/>
      <c r="AB939" s="1408"/>
      <c r="AC939" s="1408"/>
      <c r="AD939" s="1408"/>
      <c r="AE939" s="1408"/>
      <c r="AF939" s="1409"/>
      <c r="AZ939" s="30"/>
      <c r="BA939" s="30"/>
    </row>
    <row r="940" spans="6:55" ht="13.15" customHeight="1">
      <c r="F940" s="1600" t="s">
        <v>2199</v>
      </c>
      <c r="G940" s="1601"/>
      <c r="H940" s="1601"/>
      <c r="I940" s="1601"/>
      <c r="J940" s="1601"/>
      <c r="K940" s="1601"/>
      <c r="L940" s="1601"/>
      <c r="M940" s="1601"/>
      <c r="N940" s="1601"/>
      <c r="O940" s="1601"/>
      <c r="P940" s="1601"/>
      <c r="Q940" s="1601"/>
      <c r="R940" s="1601"/>
      <c r="S940" s="1601"/>
      <c r="T940" s="1602"/>
      <c r="U940" s="1401" t="s">
        <v>591</v>
      </c>
      <c r="V940" s="1402"/>
      <c r="W940" s="1402"/>
      <c r="X940" s="1402"/>
      <c r="Y940" s="1402"/>
      <c r="Z940" s="1403"/>
      <c r="AA940" s="1407"/>
      <c r="AB940" s="1408"/>
      <c r="AC940" s="1408"/>
      <c r="AD940" s="1408"/>
      <c r="AE940" s="1408"/>
      <c r="AF940" s="1409"/>
      <c r="AZ940" s="34"/>
      <c r="BA940" s="34"/>
      <c r="BB940" s="14"/>
      <c r="BC940" s="14"/>
    </row>
    <row r="941" spans="6:55" ht="13.15" customHeight="1">
      <c r="F941" s="121" t="s">
        <v>1260</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3.15" customHeight="1">
      <c r="F942" s="1638" t="s">
        <v>2202</v>
      </c>
      <c r="G942" s="1639"/>
      <c r="H942" s="1639"/>
      <c r="I942" s="1639"/>
      <c r="J942" s="1639"/>
      <c r="K942" s="1639"/>
      <c r="L942" s="1639"/>
      <c r="M942" s="1639"/>
      <c r="N942" s="1639"/>
      <c r="O942" s="1639"/>
      <c r="P942" s="1639"/>
      <c r="Q942" s="1639"/>
      <c r="R942" s="1639"/>
      <c r="S942" s="1639"/>
      <c r="T942" s="1640"/>
      <c r="U942" s="1401" t="s">
        <v>591</v>
      </c>
      <c r="V942" s="1402"/>
      <c r="W942" s="1402"/>
      <c r="X942" s="1402"/>
      <c r="Y942" s="1402"/>
      <c r="Z942" s="1403"/>
      <c r="AA942" s="1407"/>
      <c r="AB942" s="1408"/>
      <c r="AC942" s="1408"/>
      <c r="AD942" s="1408"/>
      <c r="AE942" s="1408"/>
      <c r="AF942" s="1409"/>
      <c r="AZ942" s="34"/>
      <c r="BA942" s="34"/>
      <c r="BB942" s="34"/>
      <c r="BC942" s="34"/>
    </row>
    <row r="943" spans="6:55" ht="13.15" customHeight="1">
      <c r="F943" s="121" t="s">
        <v>1261</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3.15" customHeight="1">
      <c r="F944" s="1638" t="s">
        <v>2203</v>
      </c>
      <c r="G944" s="1639"/>
      <c r="H944" s="1639"/>
      <c r="I944" s="1639"/>
      <c r="J944" s="1639"/>
      <c r="K944" s="1639"/>
      <c r="L944" s="1639"/>
      <c r="M944" s="1639"/>
      <c r="N944" s="1639"/>
      <c r="O944" s="1639"/>
      <c r="P944" s="1639"/>
      <c r="Q944" s="1639"/>
      <c r="R944" s="1639"/>
      <c r="S944" s="1639"/>
      <c r="T944" s="1640"/>
      <c r="U944" s="1401" t="s">
        <v>591</v>
      </c>
      <c r="V944" s="1402"/>
      <c r="W944" s="1402"/>
      <c r="X944" s="1402"/>
      <c r="Y944" s="1402"/>
      <c r="Z944" s="1403"/>
      <c r="AA944" s="1407"/>
      <c r="AB944" s="1408"/>
      <c r="AC944" s="1408"/>
      <c r="AD944" s="1408"/>
      <c r="AE944" s="1408"/>
      <c r="AF944" s="1409"/>
      <c r="AZ944" s="34"/>
      <c r="BA944" s="34"/>
      <c r="BB944" s="34"/>
      <c r="BC944" s="34"/>
    </row>
    <row r="945" spans="1:55" ht="13.1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3.15" customHeight="1">
      <c r="F946" s="1600" t="s">
        <v>2190</v>
      </c>
      <c r="G946" s="1601"/>
      <c r="H946" s="1602"/>
      <c r="I946" s="1592" t="s">
        <v>334</v>
      </c>
      <c r="J946" s="1593"/>
      <c r="K946" s="1593"/>
      <c r="L946" s="1593"/>
      <c r="M946" s="1593"/>
      <c r="N946" s="1593"/>
      <c r="O946" s="1593"/>
      <c r="P946" s="1593"/>
      <c r="Q946" s="1593"/>
      <c r="R946" s="1593"/>
      <c r="S946" s="1593"/>
      <c r="T946" s="1594"/>
      <c r="U946" s="1401" t="s">
        <v>591</v>
      </c>
      <c r="V946" s="1402"/>
      <c r="W946" s="1402"/>
      <c r="X946" s="1402"/>
      <c r="Y946" s="1402"/>
      <c r="Z946" s="1403"/>
      <c r="AA946" s="1407"/>
      <c r="AB946" s="1408"/>
      <c r="AC946" s="1408"/>
      <c r="AD946" s="1408"/>
      <c r="AE946" s="1408"/>
      <c r="AF946" s="1409"/>
      <c r="AZ946" s="34"/>
      <c r="BA946" s="34"/>
      <c r="BB946" s="34"/>
      <c r="BC946" s="34"/>
    </row>
    <row r="947" spans="1:55" ht="13.15" customHeight="1">
      <c r="F947" s="45" t="s">
        <v>86</v>
      </c>
      <c r="G947" s="48"/>
      <c r="H947" s="48"/>
      <c r="I947" s="1592" t="s">
        <v>334</v>
      </c>
      <c r="J947" s="1593"/>
      <c r="K947" s="1593"/>
      <c r="L947" s="1593"/>
      <c r="M947" s="1593"/>
      <c r="N947" s="1593"/>
      <c r="O947" s="1593"/>
      <c r="P947" s="1593"/>
      <c r="Q947" s="1593"/>
      <c r="R947" s="1593"/>
      <c r="S947" s="1593"/>
      <c r="T947" s="1594"/>
      <c r="U947" s="1401" t="s">
        <v>591</v>
      </c>
      <c r="V947" s="1402"/>
      <c r="W947" s="1402"/>
      <c r="X947" s="1402"/>
      <c r="Y947" s="1402"/>
      <c r="Z947" s="1403"/>
      <c r="AA947" s="1407"/>
      <c r="AB947" s="1408"/>
      <c r="AC947" s="1408"/>
      <c r="AD947" s="1408"/>
      <c r="AE947" s="1408"/>
      <c r="AF947" s="1409"/>
      <c r="AZ947" s="34"/>
      <c r="BA947" s="34"/>
      <c r="BB947" s="34"/>
      <c r="BC947" s="34"/>
    </row>
    <row r="948" spans="1:55" ht="13.15" customHeight="1">
      <c r="F948" s="45" t="s">
        <v>10</v>
      </c>
      <c r="G948" s="48"/>
      <c r="H948" s="48"/>
      <c r="I948" s="1535" t="s">
        <v>334</v>
      </c>
      <c r="J948" s="1536"/>
      <c r="K948" s="1536"/>
      <c r="L948" s="1536"/>
      <c r="M948" s="1536"/>
      <c r="N948" s="1536"/>
      <c r="O948" s="1536"/>
      <c r="P948" s="1536"/>
      <c r="Q948" s="1536"/>
      <c r="R948" s="1536"/>
      <c r="S948" s="1536"/>
      <c r="T948" s="1537"/>
      <c r="U948" s="1401" t="s">
        <v>591</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3.15" customHeight="1">
      <c r="F949" s="47" t="s">
        <v>170</v>
      </c>
      <c r="G949" s="48"/>
      <c r="H949" s="48"/>
      <c r="I949" s="1535" t="s">
        <v>2722</v>
      </c>
      <c r="J949" s="1536"/>
      <c r="K949" s="1536"/>
      <c r="L949" s="1536"/>
      <c r="M949" s="1536"/>
      <c r="N949" s="1536"/>
      <c r="O949" s="1536"/>
      <c r="P949" s="1536"/>
      <c r="Q949" s="1536"/>
      <c r="R949" s="1536"/>
      <c r="S949" s="1536"/>
      <c r="T949" s="1537"/>
      <c r="U949" s="1401" t="s">
        <v>545</v>
      </c>
      <c r="V949" s="1402"/>
      <c r="W949" s="1402"/>
      <c r="X949" s="1402"/>
      <c r="Y949" s="1402"/>
      <c r="Z949" s="1403"/>
      <c r="AA949" s="1407">
        <f>AM556</f>
        <v>27455593</v>
      </c>
      <c r="AB949" s="1408"/>
      <c r="AC949" s="1408"/>
      <c r="AD949" s="1408"/>
      <c r="AE949" s="1408"/>
      <c r="AF949" s="1409"/>
      <c r="AU949" s="2"/>
      <c r="AZ949" s="34"/>
      <c r="BA949" s="34"/>
      <c r="BB949" s="34"/>
      <c r="BC949" s="34"/>
    </row>
    <row r="950" spans="1:55" ht="13.15" customHeight="1">
      <c r="F950" s="47" t="s">
        <v>170</v>
      </c>
      <c r="G950" s="48"/>
      <c r="H950" s="48"/>
      <c r="I950" s="1535" t="s">
        <v>334</v>
      </c>
      <c r="J950" s="1536"/>
      <c r="K950" s="1536"/>
      <c r="L950" s="1536"/>
      <c r="M950" s="1536"/>
      <c r="N950" s="1536"/>
      <c r="O950" s="1536"/>
      <c r="P950" s="1536"/>
      <c r="Q950" s="1536"/>
      <c r="R950" s="1536"/>
      <c r="S950" s="1536"/>
      <c r="T950" s="1537"/>
      <c r="U950" s="1401" t="s">
        <v>591</v>
      </c>
      <c r="V950" s="1402"/>
      <c r="W950" s="1402"/>
      <c r="X950" s="1402"/>
      <c r="Y950" s="1402"/>
      <c r="Z950" s="1403"/>
      <c r="AA950" s="1407"/>
      <c r="AB950" s="1408"/>
      <c r="AC950" s="1408"/>
      <c r="AD950" s="1408"/>
      <c r="AE950" s="1408"/>
      <c r="AF950" s="1409"/>
      <c r="AU950" s="2"/>
      <c r="AZ950" s="34"/>
      <c r="BA950" s="34"/>
      <c r="BB950" s="34"/>
      <c r="BC950" s="34"/>
    </row>
    <row r="951" spans="1:55" ht="13.15" customHeight="1">
      <c r="AU951" s="2"/>
      <c r="AZ951" s="34"/>
      <c r="BA951" s="34"/>
      <c r="BB951" s="34"/>
      <c r="BC951" s="34"/>
    </row>
    <row r="952" spans="1:55" ht="13.15" customHeight="1">
      <c r="A952" s="2" t="s">
        <v>576</v>
      </c>
      <c r="C952" s="2" t="s">
        <v>751</v>
      </c>
      <c r="AZ952" s="34"/>
      <c r="BA952" s="34"/>
      <c r="BB952" s="34"/>
      <c r="BC952" s="34"/>
    </row>
    <row r="953" spans="1:55" ht="13.1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532"/>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3.15" customHeight="1">
      <c r="C956" s="66" t="s">
        <v>12</v>
      </c>
      <c r="D956" s="5"/>
      <c r="E956" s="5"/>
      <c r="F956" s="5"/>
      <c r="G956" s="5"/>
      <c r="H956" s="5"/>
      <c r="I956" s="5"/>
      <c r="J956" s="5"/>
      <c r="K956" s="5"/>
      <c r="L956" s="46"/>
      <c r="M956" s="1544"/>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3.15" customHeight="1">
      <c r="C957" s="66" t="s">
        <v>880</v>
      </c>
      <c r="D957" s="5"/>
      <c r="E957" s="5"/>
      <c r="J957" s="1552" t="s">
        <v>307</v>
      </c>
      <c r="K957" s="1553"/>
      <c r="L957" s="1553"/>
      <c r="M957" s="1553"/>
      <c r="N957" s="1553"/>
      <c r="O957" s="1553"/>
      <c r="P957" s="1553"/>
      <c r="Q957" s="1553"/>
      <c r="R957" s="1553"/>
      <c r="S957" s="1554"/>
      <c r="U957" s="66" t="s">
        <v>880</v>
      </c>
      <c r="V957" s="5"/>
      <c r="W957" s="5"/>
      <c r="AB957" s="1552" t="s">
        <v>307</v>
      </c>
      <c r="AC957" s="1553"/>
      <c r="AD957" s="1553"/>
      <c r="AE957" s="1553"/>
      <c r="AF957" s="1553"/>
      <c r="AG957" s="1553"/>
      <c r="AH957" s="1553"/>
      <c r="AI957" s="1553"/>
      <c r="AJ957" s="1553"/>
      <c r="AK957" s="1554"/>
      <c r="AZ957" s="34"/>
      <c r="BA957" s="34"/>
      <c r="BB957" s="34"/>
      <c r="BC957" s="34"/>
    </row>
    <row r="958" spans="1:55" ht="13.15" customHeight="1">
      <c r="C958" s="66" t="s">
        <v>13</v>
      </c>
      <c r="D958" s="5"/>
      <c r="E958" s="5"/>
      <c r="F958" s="5"/>
      <c r="G958" s="5"/>
      <c r="H958" s="5"/>
      <c r="I958" s="5"/>
      <c r="J958" s="5"/>
      <c r="K958" s="5"/>
      <c r="L958" s="46"/>
      <c r="M958" s="1637"/>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3.15" customHeight="1">
      <c r="C959" s="66" t="s">
        <v>14</v>
      </c>
      <c r="D959" s="5"/>
      <c r="E959" s="5"/>
      <c r="F959" s="5"/>
      <c r="G959" s="5"/>
      <c r="H959" s="5"/>
      <c r="I959" s="5"/>
      <c r="J959" s="5"/>
      <c r="K959" s="5"/>
      <c r="L959" s="46"/>
      <c r="M959" s="1559"/>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3.15" customHeight="1">
      <c r="C960" s="66" t="s">
        <v>15</v>
      </c>
      <c r="D960" s="5"/>
      <c r="E960" s="5"/>
      <c r="F960" s="5"/>
      <c r="G960" s="5"/>
      <c r="H960" s="5"/>
      <c r="I960" s="5"/>
      <c r="J960" s="5"/>
      <c r="K960" s="5"/>
      <c r="L960" s="46"/>
      <c r="M960" s="1407"/>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15" customHeight="1">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15" customHeight="1">
      <c r="C962" s="121" t="s">
        <v>1660</v>
      </c>
      <c r="D962" s="5"/>
      <c r="E962" s="5"/>
      <c r="F962" s="5"/>
      <c r="G962" s="5"/>
      <c r="H962" s="5"/>
      <c r="I962" s="5"/>
      <c r="J962" s="5"/>
      <c r="K962" s="5"/>
      <c r="L962" s="46"/>
      <c r="M962" s="1404"/>
      <c r="N962" s="1405"/>
      <c r="O962" s="1405"/>
      <c r="P962" s="1405"/>
      <c r="Q962" s="1405"/>
      <c r="R962" s="1405"/>
      <c r="S962" s="1406"/>
      <c r="U962" s="121" t="s">
        <v>1660</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901</v>
      </c>
      <c r="G969" s="5"/>
      <c r="H969" s="5"/>
      <c r="I969" s="5"/>
      <c r="J969" s="5"/>
      <c r="K969" s="5"/>
      <c r="L969" s="46"/>
      <c r="M969" s="1642" t="s">
        <v>591</v>
      </c>
      <c r="N969" s="1643"/>
      <c r="O969" s="1643"/>
      <c r="P969" s="1643"/>
      <c r="Q969" s="1643"/>
      <c r="R969" s="1643"/>
      <c r="S969" s="1644"/>
      <c r="T969" s="45" t="s">
        <v>337</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573</v>
      </c>
      <c r="G970" s="5"/>
      <c r="H970" s="5"/>
      <c r="I970" s="5"/>
      <c r="J970" s="5"/>
      <c r="K970" s="5"/>
      <c r="L970" s="46"/>
      <c r="M970" s="1529"/>
      <c r="N970" s="1530"/>
      <c r="O970" s="1530"/>
      <c r="P970" s="1530"/>
      <c r="Q970" s="1530"/>
      <c r="R970" s="1530"/>
      <c r="S970" s="1531"/>
      <c r="T970" s="45" t="s">
        <v>338</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464</v>
      </c>
      <c r="G971" s="5"/>
      <c r="H971" s="5"/>
      <c r="I971" s="5"/>
      <c r="J971" s="5"/>
      <c r="K971" s="5"/>
      <c r="L971" s="46"/>
      <c r="M971" s="1529"/>
      <c r="N971" s="1530"/>
      <c r="O971" s="1530"/>
      <c r="P971" s="1530"/>
      <c r="Q971" s="1530"/>
      <c r="R971" s="1530"/>
      <c r="S971" s="1531"/>
      <c r="T971" s="45" t="s">
        <v>376</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880</v>
      </c>
      <c r="G972" s="42"/>
      <c r="H972" s="42"/>
      <c r="I972" s="42"/>
      <c r="J972" s="42"/>
      <c r="K972" s="42"/>
      <c r="L972" s="58"/>
      <c r="M972" s="1552" t="s">
        <v>307</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336</v>
      </c>
      <c r="G974" s="42"/>
      <c r="H974" s="42"/>
      <c r="I974" s="42"/>
      <c r="J974" s="42"/>
      <c r="K974" s="42"/>
      <c r="L974" s="42"/>
      <c r="M974" s="42"/>
      <c r="N974" s="42"/>
      <c r="O974" s="1576" t="s">
        <v>669</v>
      </c>
      <c r="P974" s="1577"/>
      <c r="Q974" s="92"/>
      <c r="R974" s="92"/>
      <c r="S974" s="93"/>
      <c r="T974" s="41" t="s">
        <v>170</v>
      </c>
      <c r="U974" s="42"/>
      <c r="V974" s="42"/>
      <c r="W974" s="1562" t="s">
        <v>334</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3.1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2"/>
      <c r="BC979" s="912"/>
    </row>
    <row r="980" spans="1:64" ht="13.1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1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3.15" customHeight="1">
      <c r="A986" s="14"/>
      <c r="B986" s="73"/>
      <c r="C986" s="929"/>
      <c r="D986" s="1386" t="s">
        <v>633</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532060</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3.15" customHeight="1">
      <c r="A987" s="14"/>
      <c r="B987" s="73"/>
      <c r="C987" s="83"/>
      <c r="D987" s="1386" t="s">
        <v>325</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613460</v>
      </c>
      <c r="S987" s="1551"/>
      <c r="T987" s="1551"/>
      <c r="U987" s="1551"/>
      <c r="V987" s="1551"/>
      <c r="W987" s="1551"/>
      <c r="X987" s="1551"/>
      <c r="Y987" s="1551"/>
      <c r="Z987" s="1551"/>
      <c r="AA987" s="1551"/>
      <c r="AB987" s="1389">
        <f>CU802</f>
        <v>0</v>
      </c>
      <c r="AC987" s="1390"/>
      <c r="AD987" s="1390"/>
      <c r="AE987" s="1390"/>
      <c r="AF987" s="1390"/>
      <c r="AG987" s="1390"/>
      <c r="AH987" s="1390"/>
      <c r="AI987" s="1391"/>
      <c r="AJ987" s="1487">
        <f>IF(ISERROR((R987*AB987)),0,(R987*AB987))</f>
        <v>0</v>
      </c>
      <c r="AK987" s="1488"/>
      <c r="AL987" s="1488"/>
      <c r="AM987" s="1488"/>
      <c r="AN987" s="1488"/>
      <c r="AO987" s="1488"/>
      <c r="AP987" s="1488"/>
      <c r="AQ987" s="1489"/>
      <c r="AR987" s="68"/>
      <c r="AS987" s="68"/>
      <c r="AT987" s="68"/>
      <c r="AU987" s="68"/>
      <c r="AV987" s="68"/>
      <c r="AW987" s="68"/>
      <c r="AX987" s="68"/>
      <c r="AY987" s="68"/>
      <c r="AZ987" s="30"/>
      <c r="BB987" s="14"/>
      <c r="BC987" s="14"/>
    </row>
    <row r="988" spans="1:64" ht="13.1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740000</v>
      </c>
      <c r="S988" s="1551"/>
      <c r="T988" s="1551"/>
      <c r="U988" s="1551"/>
      <c r="V988" s="1551"/>
      <c r="W988" s="1551"/>
      <c r="X988" s="1551"/>
      <c r="Y988" s="1551"/>
      <c r="Z988" s="1551"/>
      <c r="AA988" s="1551"/>
      <c r="AB988" s="1389">
        <f>CZ802</f>
        <v>45</v>
      </c>
      <c r="AC988" s="1390"/>
      <c r="AD988" s="1390"/>
      <c r="AE988" s="1390"/>
      <c r="AF988" s="1390"/>
      <c r="AG988" s="1390"/>
      <c r="AH988" s="1390"/>
      <c r="AI988" s="1391"/>
      <c r="AJ988" s="1487">
        <f>IF(ISERROR((R988*AB988)),0,(R988*AB988))</f>
        <v>33300000</v>
      </c>
      <c r="AK988" s="1488"/>
      <c r="AL988" s="1488"/>
      <c r="AM988" s="1488"/>
      <c r="AN988" s="1488"/>
      <c r="AO988" s="1488"/>
      <c r="AP988" s="1488"/>
      <c r="AQ988" s="1489"/>
      <c r="AR988" s="68"/>
      <c r="AS988" s="68"/>
      <c r="AT988" s="68"/>
      <c r="AU988" s="68"/>
      <c r="AV988" s="68"/>
      <c r="AW988" s="68"/>
      <c r="AX988" s="68"/>
      <c r="AY988" s="68"/>
      <c r="AZ988" s="30"/>
      <c r="BB988" s="14"/>
      <c r="BC988" s="14"/>
    </row>
    <row r="989" spans="1:64" ht="13.1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947200</v>
      </c>
      <c r="S989" s="1551"/>
      <c r="T989" s="1551"/>
      <c r="U989" s="1551"/>
      <c r="V989" s="1551"/>
      <c r="W989" s="1551"/>
      <c r="X989" s="1551"/>
      <c r="Y989" s="1551"/>
      <c r="Z989" s="1551"/>
      <c r="AA989" s="1551"/>
      <c r="AB989" s="1389">
        <f>DE802</f>
        <v>57</v>
      </c>
      <c r="AC989" s="1390"/>
      <c r="AD989" s="1390"/>
      <c r="AE989" s="1390"/>
      <c r="AF989" s="1390"/>
      <c r="AG989" s="1390"/>
      <c r="AH989" s="1390"/>
      <c r="AI989" s="1391"/>
      <c r="AJ989" s="1487">
        <f>IF(ISERROR((R989*AB989)),0,(R989*AB989))</f>
        <v>53990400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3.15" customHeight="1">
      <c r="A990" s="14"/>
      <c r="B990" s="47"/>
      <c r="C990" s="78"/>
      <c r="D990" s="1386" t="s">
        <v>460</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1055240</v>
      </c>
      <c r="S990" s="1551"/>
      <c r="T990" s="1551"/>
      <c r="U990" s="1551"/>
      <c r="V990" s="1551"/>
      <c r="W990" s="1551"/>
      <c r="X990" s="1551"/>
      <c r="Y990" s="1551"/>
      <c r="Z990" s="1551"/>
      <c r="AA990" s="1551"/>
      <c r="AB990" s="1389">
        <f>DO802+DJ802</f>
        <v>43</v>
      </c>
      <c r="AC990" s="1390"/>
      <c r="AD990" s="1390"/>
      <c r="AE990" s="1390"/>
      <c r="AF990" s="1390"/>
      <c r="AG990" s="1390"/>
      <c r="AH990" s="1390"/>
      <c r="AI990" s="1391"/>
      <c r="AJ990" s="1487">
        <f>IF(ISERROR((R990*AB990)),0,(R990*AB990))</f>
        <v>45375320</v>
      </c>
      <c r="AK990" s="1488"/>
      <c r="AL990" s="1488"/>
      <c r="AM990" s="1488"/>
      <c r="AN990" s="1488"/>
      <c r="AO990" s="1488"/>
      <c r="AP990" s="1488"/>
      <c r="AQ990" s="1489"/>
      <c r="AR990" s="68"/>
      <c r="AS990" s="68"/>
      <c r="AT990" s="68"/>
      <c r="AU990" s="68"/>
      <c r="AV990" s="68"/>
      <c r="AW990" s="68"/>
      <c r="AX990" s="68"/>
      <c r="AY990" s="68"/>
      <c r="AZ990" s="30"/>
      <c r="BB990" s="14"/>
      <c r="BC990" s="14"/>
    </row>
    <row r="991" spans="1:64" ht="13.1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145</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3.15"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132665720</v>
      </c>
      <c r="AK992" s="1488"/>
      <c r="AL992" s="1488"/>
      <c r="AM992" s="1488"/>
      <c r="AN992" s="1488"/>
      <c r="AO992" s="1488"/>
      <c r="AP992" s="1488"/>
      <c r="AQ992" s="1489"/>
      <c r="AR992" s="68"/>
      <c r="AS992" s="68"/>
      <c r="AT992" s="68"/>
      <c r="AU992" s="68"/>
      <c r="AV992" s="68"/>
      <c r="AW992" s="68"/>
      <c r="AX992" s="68"/>
      <c r="AY992" s="68"/>
      <c r="AZ992" s="34"/>
      <c r="BB992" s="34"/>
      <c r="BC992" s="34"/>
    </row>
    <row r="993" spans="1:55" ht="13.1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3.15" customHeight="1">
      <c r="A994" s="14"/>
      <c r="B994" s="73"/>
      <c r="C994" s="927" t="s">
        <v>668</v>
      </c>
      <c r="D994" s="1503" t="s">
        <v>1219</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15" customHeight="1">
      <c r="A995" s="14"/>
      <c r="B995" s="257"/>
      <c r="C995" s="256"/>
      <c r="D995" s="1538" t="s">
        <v>2233</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1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1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1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15" customHeight="1">
      <c r="A999" s="14"/>
      <c r="B999" s="257"/>
      <c r="C999" s="256"/>
      <c r="D999" s="1541" t="s">
        <v>2204</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1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15" customHeight="1">
      <c r="A1001" s="14"/>
      <c r="B1001" s="255"/>
      <c r="C1001" s="318"/>
      <c r="D1001" s="1493" t="s">
        <v>1285</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15" customHeight="1">
      <c r="A1002" s="14"/>
      <c r="B1002" s="257"/>
      <c r="C1002" s="82"/>
      <c r="D1002" s="1538" t="s">
        <v>1283</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1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4">
        <f>G753+O797</f>
        <v>143</v>
      </c>
      <c r="AZ1003" s="34"/>
      <c r="BB1003" s="34"/>
    </row>
    <row r="1004" spans="1:55" ht="13.1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1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3">
        <f>ROUNDDOWN(X1048/I1048,2)</f>
        <v>0.62</v>
      </c>
      <c r="AZ1005" s="34"/>
      <c r="BB1005" s="34"/>
    </row>
    <row r="1006" spans="1:55" ht="13.1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3">
        <f>ROUNDDOWN(X1052/I1052,2)</f>
        <v>0.13</v>
      </c>
      <c r="AZ1006" s="34"/>
      <c r="BB1006" s="34"/>
    </row>
    <row r="1007" spans="1:55" ht="13.15" customHeight="1">
      <c r="A1007" s="14"/>
      <c r="B1007" s="255"/>
      <c r="C1007" s="80" t="s">
        <v>672</v>
      </c>
      <c r="D1007" s="1493" t="s">
        <v>1682</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669</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15" customHeight="1">
      <c r="A1008" s="14"/>
      <c r="B1008" s="73"/>
      <c r="C1008" s="74"/>
      <c r="D1008" s="1506" t="s">
        <v>1284</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3.1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3.1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3.15" customHeight="1">
      <c r="A1011" s="14"/>
      <c r="B1011" s="79"/>
      <c r="C1011" s="80" t="s">
        <v>212</v>
      </c>
      <c r="D1011" s="1493" t="s">
        <v>1286</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545</v>
      </c>
      <c r="AH1011" s="1502"/>
      <c r="AI1011" s="87"/>
      <c r="AJ1011" s="1392">
        <f>ROUND(IF(AG1011="yes",AJ992*0.02,0),0)</f>
        <v>2653314</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1287</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1840</v>
      </c>
      <c r="AZ1012" s="3" t="s">
        <v>2605</v>
      </c>
    </row>
    <row r="1013" spans="1:52" ht="13.15" customHeight="1">
      <c r="A1013" s="14"/>
      <c r="B1013" s="79"/>
      <c r="C1013" s="80" t="s">
        <v>215</v>
      </c>
      <c r="D1013" s="1493" t="s">
        <v>1288</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5">
        <v>0.2</v>
      </c>
    </row>
    <row r="1014" spans="1:52" ht="13.15" customHeight="1">
      <c r="A1014" s="14"/>
      <c r="B1014" s="73"/>
      <c r="C1014" s="74"/>
      <c r="D1014" s="1506" t="s">
        <v>1289</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5">
        <v>0.05</v>
      </c>
    </row>
    <row r="1016" spans="1:52" ht="13.15" customHeight="1">
      <c r="A1016" s="14"/>
      <c r="B1016" s="79"/>
      <c r="C1016" s="80" t="s">
        <v>218</v>
      </c>
      <c r="D1016" s="1503" t="s">
        <v>2234</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5">
        <v>0.02</v>
      </c>
    </row>
    <row r="1017" spans="1:52" ht="13.15" customHeight="1">
      <c r="A1017" s="14"/>
      <c r="B1017" s="73"/>
      <c r="C1017" s="74"/>
      <c r="D1017" s="1506" t="s">
        <v>1290</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5">
        <v>0.04</v>
      </c>
    </row>
    <row r="1018" spans="1:52" ht="13.1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5">
        <v>0.04</v>
      </c>
    </row>
    <row r="1019" spans="1:52" ht="13.1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5">
        <v>0.01</v>
      </c>
    </row>
    <row r="1020" spans="1:52" ht="13.15" customHeight="1">
      <c r="A1020" s="14"/>
      <c r="B1020" s="79"/>
      <c r="C1020" s="80" t="s">
        <v>223</v>
      </c>
      <c r="D1020" s="1520" t="s">
        <v>1291</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545</v>
      </c>
      <c r="AH1020" s="1502"/>
      <c r="AI1020" s="87"/>
      <c r="AJ1020" s="1392">
        <f>ROUND(IF(AND(AG1020="Yes",J1024&lt;&gt;"N/A",AF1023&lt;&gt;""),MIN(AF1023,(0.15*AJ992)),0),0)</f>
        <v>740800</v>
      </c>
      <c r="AK1020" s="1393"/>
      <c r="AL1020" s="1393"/>
      <c r="AM1020" s="1393"/>
      <c r="AN1020" s="1393"/>
      <c r="AO1020" s="1393"/>
      <c r="AP1020" s="1393"/>
      <c r="AQ1020" s="1394"/>
      <c r="AR1020" s="68"/>
      <c r="AS1020" s="68"/>
      <c r="AT1020" s="68"/>
      <c r="AU1020" s="68"/>
      <c r="AV1020" s="68"/>
      <c r="AW1020" s="68"/>
      <c r="AX1020" s="3">
        <v>8</v>
      </c>
      <c r="AY1020" s="200">
        <f t="shared" si="53"/>
        <v>0</v>
      </c>
      <c r="AZ1020" s="1255">
        <v>0.01</v>
      </c>
    </row>
    <row r="1021" spans="1:52" ht="13.1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Please Select Type and Enter Amount:</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5">
        <v>0.01</v>
      </c>
    </row>
    <row r="1022" spans="1:52" ht="13.15" customHeight="1">
      <c r="A1022" s="14"/>
      <c r="B1022" s="81"/>
      <c r="C1022" s="84"/>
      <c r="D1022" s="1506" t="s">
        <v>1292</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5">
        <v>0.02</v>
      </c>
    </row>
    <row r="1023" spans="1:52" ht="13.1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v>740800</v>
      </c>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5">
        <v>0.02</v>
      </c>
    </row>
    <row r="1024" spans="1:52" ht="13.15" customHeight="1">
      <c r="A1024" s="14"/>
      <c r="B1024" s="81"/>
      <c r="C1024" s="84"/>
      <c r="D1024" s="526" t="s">
        <v>359</v>
      </c>
      <c r="E1024" s="90"/>
      <c r="F1024" s="90"/>
      <c r="G1024" s="104"/>
      <c r="H1024" s="104"/>
      <c r="I1024" s="49"/>
      <c r="J1024" s="1484" t="s">
        <v>2723</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2" t="s">
        <v>2604</v>
      </c>
      <c r="AY1024" s="201">
        <f>IF(SUM(AY1013:AY1023)&lt;=0.2,SUM(AY1013:AY1023),0.2)</f>
        <v>0</v>
      </c>
    </row>
    <row r="1025" spans="1:57" ht="13.15" customHeight="1">
      <c r="A1025" s="14"/>
      <c r="B1025" s="79"/>
      <c r="C1025" s="80" t="s">
        <v>229</v>
      </c>
      <c r="D1025" s="1493" t="s">
        <v>1293</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669</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15" customHeight="1">
      <c r="A1026" s="14"/>
      <c r="B1026" s="73"/>
      <c r="C1026" s="74"/>
      <c r="D1026" s="1506" t="s">
        <v>1689</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3.1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f>'Sources and Uses Budget'!B85</f>
        <v>0</v>
      </c>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3.15" customHeight="1">
      <c r="A1029" s="14"/>
      <c r="B1029" s="79"/>
      <c r="C1029" s="80" t="s">
        <v>234</v>
      </c>
      <c r="D1029" s="1503" t="s">
        <v>1294</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669</v>
      </c>
      <c r="AH1029" s="1502"/>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3.15" customHeight="1">
      <c r="A1030" s="14"/>
      <c r="B1030" s="73"/>
      <c r="C1030" s="74"/>
      <c r="D1030" s="1506" t="s">
        <v>1295</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1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15" customHeight="1">
      <c r="A1032" s="14"/>
      <c r="B1032" s="73"/>
      <c r="C1032" s="339" t="s">
        <v>687</v>
      </c>
      <c r="D1032" s="1493" t="s">
        <v>1685</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669</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15" customHeight="1">
      <c r="A1033" s="14"/>
      <c r="B1033" s="73"/>
      <c r="C1033" s="74"/>
      <c r="D1033" s="1515"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5"/>
      <c r="AG1033" s="916"/>
      <c r="AH1033" s="916"/>
      <c r="AI1033" s="917"/>
      <c r="AJ1033" s="1395"/>
      <c r="AK1033" s="1396"/>
      <c r="AL1033" s="1396"/>
      <c r="AM1033" s="1396"/>
      <c r="AN1033" s="1396"/>
      <c r="AO1033" s="1396"/>
      <c r="AP1033" s="1396"/>
      <c r="AQ1033" s="1397"/>
      <c r="AR1033" s="68"/>
      <c r="AS1033" s="68"/>
      <c r="AT1033" s="68"/>
      <c r="AU1033" s="68"/>
      <c r="AV1033" s="68"/>
      <c r="AW1033" s="68"/>
      <c r="AX1033" s="68"/>
      <c r="AY1033" s="68"/>
    </row>
    <row r="1034" spans="1:57" ht="13.1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5"/>
      <c r="AG1034" s="916"/>
      <c r="AH1034" s="916"/>
      <c r="AI1034" s="917"/>
      <c r="AJ1034" s="1395"/>
      <c r="AK1034" s="1396"/>
      <c r="AL1034" s="1396"/>
      <c r="AM1034" s="1396"/>
      <c r="AN1034" s="1396"/>
      <c r="AO1034" s="1396"/>
      <c r="AP1034" s="1396"/>
      <c r="AQ1034" s="1397"/>
      <c r="AR1034" s="68"/>
      <c r="AS1034" s="68"/>
      <c r="AT1034" s="68"/>
      <c r="AU1034" s="68"/>
      <c r="AV1034" s="68"/>
      <c r="AW1034" s="68"/>
      <c r="AX1034" s="68"/>
      <c r="AY1034" s="68"/>
    </row>
    <row r="1035" spans="1:57" ht="13.1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8"/>
      <c r="AG1035" s="919"/>
      <c r="AH1035" s="919"/>
      <c r="AI1035" s="920"/>
      <c r="AJ1035" s="1398"/>
      <c r="AK1035" s="1399"/>
      <c r="AL1035" s="1399"/>
      <c r="AM1035" s="1399"/>
      <c r="AN1035" s="1399"/>
      <c r="AO1035" s="1399"/>
      <c r="AP1035" s="1399"/>
      <c r="AQ1035" s="1400"/>
      <c r="AR1035" s="68"/>
      <c r="AS1035" s="68"/>
      <c r="AT1035" s="68"/>
      <c r="AU1035" s="68"/>
      <c r="AV1035" s="68"/>
      <c r="AW1035" s="68"/>
      <c r="AX1035" s="68"/>
      <c r="AY1035" s="68"/>
    </row>
    <row r="1036" spans="1:57" ht="13.15" customHeight="1">
      <c r="A1036" s="14"/>
      <c r="B1036" s="73"/>
      <c r="C1036" s="339" t="s">
        <v>687</v>
      </c>
      <c r="D1036" s="1503" t="s">
        <v>1687</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669</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15" customHeight="1">
      <c r="A1037" s="14"/>
      <c r="B1037" s="73"/>
      <c r="C1037" s="74"/>
      <c r="D1037" s="1515"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1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3">
        <f>IFERROR(('Sources and Uses Budget'!$C$17+'Sources and Uses Budget'!$C$18+'Sources and Uses Budget'!$C$22)/$AG$437,0)</f>
        <v>85012.993103448272</v>
      </c>
      <c r="BB1038" s="1183" t="s">
        <v>2487</v>
      </c>
      <c r="BC1038" s="1183"/>
      <c r="BD1038" s="1183"/>
      <c r="BE1038" s="1183"/>
    </row>
    <row r="1039" spans="1:57" ht="13.1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0.75524475524475521</v>
      </c>
      <c r="BB1039" s="3" t="s">
        <v>2491</v>
      </c>
    </row>
    <row r="1040" spans="1:57" ht="13.1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2488</v>
      </c>
    </row>
    <row r="1041" spans="1:56" ht="13.15" customHeight="1">
      <c r="A1041" s="14"/>
      <c r="B1041" s="79"/>
      <c r="C1041" s="131" t="s">
        <v>1009</v>
      </c>
      <c r="D1041" s="1493" t="s">
        <v>1296</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2489</v>
      </c>
    </row>
    <row r="1042" spans="1:56" ht="13.15" customHeight="1">
      <c r="A1042" s="14"/>
      <c r="B1042" s="73"/>
      <c r="C1042" s="74"/>
      <c r="D1042" s="1506" t="s">
        <v>2143</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4">
        <f>T212</f>
        <v>0</v>
      </c>
      <c r="BB1042" s="3" t="s">
        <v>2490</v>
      </c>
    </row>
    <row r="1043" spans="1:56" ht="13.1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1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15" customHeight="1">
      <c r="A1045" s="14"/>
      <c r="B1045" s="79"/>
      <c r="C1045" s="131" t="s">
        <v>1683</v>
      </c>
      <c r="D1045" s="1503" t="s">
        <v>1863</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82252746.400000006</v>
      </c>
      <c r="AK1045" s="1393"/>
      <c r="AL1045" s="1393"/>
      <c r="AM1045" s="1393"/>
      <c r="AN1045" s="1393"/>
      <c r="AO1045" s="1393"/>
      <c r="AP1045" s="1393"/>
      <c r="AQ1045" s="1394"/>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3.15" customHeight="1">
      <c r="A1046" s="14"/>
      <c r="B1046" s="73"/>
      <c r="C1046" s="442"/>
      <c r="D1046" s="1506" t="s">
        <v>1298</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3"/>
      <c r="AH1046" s="443"/>
      <c r="AI1046" s="83"/>
      <c r="AJ1046" s="1395"/>
      <c r="AK1046" s="1396"/>
      <c r="AL1046" s="1396"/>
      <c r="AM1046" s="1396"/>
      <c r="AN1046" s="1396"/>
      <c r="AO1046" s="1396"/>
      <c r="AP1046" s="1396"/>
      <c r="AQ1046" s="1397"/>
      <c r="AR1046" s="68"/>
      <c r="AS1046" s="68"/>
      <c r="AT1046" s="68"/>
      <c r="AU1046" s="13"/>
      <c r="AV1046" s="68"/>
      <c r="AW1046" s="68"/>
      <c r="AX1046" s="68"/>
      <c r="AY1046" s="68"/>
      <c r="AZ1046" s="962">
        <f>'Sources and Uses Budget'!S97*BA1046</f>
        <v>3566734.1999999997</v>
      </c>
      <c r="BA1046" s="1182">
        <f>IF(BA1040,20%,15%)</f>
        <v>0.15</v>
      </c>
      <c r="BB1046" s="3" t="s">
        <v>2477</v>
      </c>
      <c r="BC1046" s="3" t="s">
        <v>2478</v>
      </c>
      <c r="BD1046" s="3"/>
    </row>
    <row r="1047" spans="1:56" ht="13.15" customHeight="1">
      <c r="A1047" s="14"/>
      <c r="B1047" s="73"/>
      <c r="C1047" s="442"/>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3"/>
      <c r="AH1047" s="443"/>
      <c r="AI1047" s="83"/>
      <c r="AJ1047" s="1395"/>
      <c r="AK1047" s="1396"/>
      <c r="AL1047" s="1396"/>
      <c r="AM1047" s="1396"/>
      <c r="AN1047" s="1396"/>
      <c r="AO1047" s="1396"/>
      <c r="AP1047" s="1396"/>
      <c r="AQ1047" s="1397"/>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3.15" customHeight="1">
      <c r="A1048" s="14"/>
      <c r="B1048" s="77"/>
      <c r="C1048" s="78"/>
      <c r="D1048" s="132" t="s">
        <v>971</v>
      </c>
      <c r="E1048" s="133"/>
      <c r="F1048" s="133"/>
      <c r="G1048" s="133"/>
      <c r="H1048" s="133"/>
      <c r="I1048" s="1569">
        <f>AY1003</f>
        <v>143</v>
      </c>
      <c r="J1048" s="1570"/>
      <c r="K1048" s="7"/>
      <c r="L1048" s="133"/>
      <c r="M1048" s="133"/>
      <c r="N1048" s="133"/>
      <c r="O1048" s="133"/>
      <c r="P1048" s="133"/>
      <c r="Q1048" s="133"/>
      <c r="R1048" s="133"/>
      <c r="S1048" s="133"/>
      <c r="T1048" s="133"/>
      <c r="U1048" s="133"/>
      <c r="V1048" s="134" t="s">
        <v>972</v>
      </c>
      <c r="W1048" s="48"/>
      <c r="X1048" s="1567">
        <f>CI753</f>
        <v>89</v>
      </c>
      <c r="Y1048" s="1568"/>
      <c r="Z1048" s="48"/>
      <c r="AA1048" s="48"/>
      <c r="AB1048" s="48"/>
      <c r="AC1048" s="48"/>
      <c r="AD1048" s="48"/>
      <c r="AE1048" s="49"/>
      <c r="AF1048" s="924"/>
      <c r="AG1048" s="925"/>
      <c r="AH1048" s="925"/>
      <c r="AI1048" s="926"/>
      <c r="AJ1048" s="1398"/>
      <c r="AK1048" s="1399"/>
      <c r="AL1048" s="1399"/>
      <c r="AM1048" s="1399"/>
      <c r="AN1048" s="1399"/>
      <c r="AO1048" s="1399"/>
      <c r="AP1048" s="1399"/>
      <c r="AQ1048" s="1400"/>
      <c r="AR1048" s="68"/>
      <c r="AS1048" s="68"/>
      <c r="AT1048" s="68"/>
      <c r="AU1048" s="14"/>
      <c r="AV1048" s="68"/>
      <c r="AW1048" s="68"/>
      <c r="AX1048" s="68"/>
      <c r="AY1048" s="68"/>
      <c r="AZ1048" s="962">
        <f>IF(M358="N/A",0,'Sources and Uses Budget'!T97*BA1048)</f>
        <v>1776110.75</v>
      </c>
      <c r="BA1048" s="1182" cm="1">
        <f t="array" ref="BA1048">_xlfn.IFS(X180="Yes",5%,$BA$1038&gt;50000,15%,BA1039&gt;=30%,15%,TRUE,5%)</f>
        <v>0.05</v>
      </c>
      <c r="BB1048" s="3" t="s">
        <v>2477</v>
      </c>
      <c r="BC1048" s="3" t="s">
        <v>2480</v>
      </c>
      <c r="BD1048" s="3"/>
    </row>
    <row r="1049" spans="1:56" ht="13.15" customHeight="1">
      <c r="A1049" s="14"/>
      <c r="B1049" s="79"/>
      <c r="C1049" s="131" t="s">
        <v>1684</v>
      </c>
      <c r="D1049" s="1493" t="s">
        <v>2169</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34493087.200000003</v>
      </c>
      <c r="AK1049" s="1393"/>
      <c r="AL1049" s="1393"/>
      <c r="AM1049" s="1393"/>
      <c r="AN1049" s="1393"/>
      <c r="AO1049" s="1393"/>
      <c r="AP1049" s="1393"/>
      <c r="AQ1049" s="1394"/>
      <c r="AR1049" s="68"/>
      <c r="AS1049" s="68"/>
      <c r="AT1049" s="68"/>
      <c r="AU1049" s="14"/>
      <c r="AV1049" s="68"/>
      <c r="AW1049" s="68"/>
      <c r="AX1049" s="68"/>
      <c r="AY1049" s="68"/>
      <c r="AZ1049" s="962">
        <f>AZ1045*BA1049</f>
        <v>0</v>
      </c>
      <c r="BA1049" s="1182">
        <v>0.15</v>
      </c>
      <c r="BB1049" s="3" t="s">
        <v>2477</v>
      </c>
      <c r="BC1049" s="3" t="s">
        <v>2481</v>
      </c>
      <c r="BD1049" s="3"/>
    </row>
    <row r="1050" spans="1:56" ht="13.15" customHeight="1">
      <c r="A1050" s="14"/>
      <c r="B1050" s="73"/>
      <c r="C1050" s="442"/>
      <c r="D1050" s="1506" t="s">
        <v>1297</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3"/>
      <c r="AH1050" s="443"/>
      <c r="AI1050" s="83"/>
      <c r="AJ1050" s="1395"/>
      <c r="AK1050" s="1396"/>
      <c r="AL1050" s="1396"/>
      <c r="AM1050" s="1396"/>
      <c r="AN1050" s="1396"/>
      <c r="AO1050" s="1396"/>
      <c r="AP1050" s="1396"/>
      <c r="AQ1050" s="1397"/>
      <c r="AR1050" s="68"/>
      <c r="AS1050" s="68"/>
      <c r="AT1050" s="68"/>
      <c r="AU1050" s="68"/>
      <c r="AV1050" s="68"/>
      <c r="AW1050" s="68"/>
      <c r="AX1050" s="68"/>
      <c r="AY1050" s="68"/>
      <c r="AZ1050" s="962"/>
      <c r="BA1050" s="3"/>
      <c r="BB1050" s="3"/>
      <c r="BC1050" s="3"/>
      <c r="BD1050" s="3"/>
    </row>
    <row r="1051" spans="1:56" ht="13.1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1"/>
      <c r="AG1051" s="922"/>
      <c r="AH1051" s="922"/>
      <c r="AI1051" s="923"/>
      <c r="AJ1051" s="1395"/>
      <c r="AK1051" s="1396"/>
      <c r="AL1051" s="1396"/>
      <c r="AM1051" s="1396"/>
      <c r="AN1051" s="1396"/>
      <c r="AO1051" s="1396"/>
      <c r="AP1051" s="1396"/>
      <c r="AQ1051" s="1397"/>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3.15" customHeight="1">
      <c r="A1052" s="14"/>
      <c r="B1052" s="77"/>
      <c r="C1052" s="78"/>
      <c r="D1052" s="132" t="s">
        <v>971</v>
      </c>
      <c r="E1052" s="133"/>
      <c r="F1052" s="133"/>
      <c r="G1052" s="133"/>
      <c r="H1052" s="133"/>
      <c r="I1052" s="1569">
        <f>AY1003</f>
        <v>143</v>
      </c>
      <c r="J1052" s="1570"/>
      <c r="K1052" s="14"/>
      <c r="L1052" s="133"/>
      <c r="M1052" s="133"/>
      <c r="N1052" s="133"/>
      <c r="O1052" s="133"/>
      <c r="P1052" s="133"/>
      <c r="Q1052" s="133"/>
      <c r="R1052" s="133"/>
      <c r="S1052" s="133"/>
      <c r="T1052" s="133"/>
      <c r="U1052" s="133"/>
      <c r="V1052" s="134" t="s">
        <v>973</v>
      </c>
      <c r="X1052" s="1567">
        <f>CM753</f>
        <v>19</v>
      </c>
      <c r="Y1052" s="1568"/>
      <c r="AF1052" s="924"/>
      <c r="AG1052" s="925"/>
      <c r="AH1052" s="925"/>
      <c r="AI1052" s="926"/>
      <c r="AJ1052" s="1398"/>
      <c r="AK1052" s="1399"/>
      <c r="AL1052" s="1399"/>
      <c r="AM1052" s="1399"/>
      <c r="AN1052" s="1399"/>
      <c r="AO1052" s="1399"/>
      <c r="AP1052" s="1399"/>
      <c r="AQ1052" s="1400"/>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3.15"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252805667.60000002</v>
      </c>
      <c r="AK1053" s="1579"/>
      <c r="AL1053" s="1579"/>
      <c r="AM1053" s="1579"/>
      <c r="AN1053" s="1579"/>
      <c r="AO1053" s="1579"/>
      <c r="AP1053" s="1579"/>
      <c r="AQ1053" s="1580"/>
      <c r="AR1053" s="68"/>
      <c r="AS1053" s="68"/>
      <c r="AT1053" s="68"/>
      <c r="AU1053" s="68"/>
      <c r="AV1053" s="68"/>
      <c r="AW1053" s="68"/>
      <c r="AX1053" s="68"/>
      <c r="AY1053" s="68"/>
      <c r="AZ1053" s="1181">
        <v>6000000</v>
      </c>
      <c r="BA1053" s="3" t="s">
        <v>2484</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3.1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64643287</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5342844.9499999993</v>
      </c>
      <c r="BB1056" s="3" t="s">
        <v>2486</v>
      </c>
      <c r="BC1056" s="3"/>
      <c r="BD1056" s="3"/>
    </row>
    <row r="1057" spans="1:54" ht="13.1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0.45421518741526612</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5342844</v>
      </c>
      <c r="BB1058" s="3" t="s">
        <v>2492</v>
      </c>
    </row>
    <row r="1059" spans="1:54" ht="13.1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2842844</v>
      </c>
      <c r="BB1059" s="3" t="s">
        <v>2493</v>
      </c>
    </row>
    <row r="1060" spans="1:54" ht="13.1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3.1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332" t="s">
        <v>591</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332" t="s">
        <v>591</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1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1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332" t="s">
        <v>591</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1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1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1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1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332" t="s">
        <v>591</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1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1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1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1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1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332" t="s">
        <v>591</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1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1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1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332" t="s">
        <v>591</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1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1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1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332" t="s">
        <v>591</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1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1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1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332" t="s">
        <v>591</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1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1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332" t="s">
        <v>591</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1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1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332" t="s">
        <v>591</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1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332" t="s">
        <v>591</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1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591</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15"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31" zoomScaleNormal="100" workbookViewId="0">
      <selection activeCell="A25" sqref="A2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7109375" style="158" hidden="1"/>
    <col min="16384" max="16384" width="0.140625" style="158" customWidth="1"/>
  </cols>
  <sheetData>
    <row r="1" spans="1:21" s="110" customFormat="1" ht="13.5">
      <c r="A1" s="168" t="s">
        <v>549</v>
      </c>
      <c r="B1" s="125"/>
      <c r="C1" s="125"/>
      <c r="D1" s="125"/>
      <c r="E1" s="126"/>
      <c r="F1" s="1858" t="s">
        <v>621</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 xml:space="preserve">1)JP Morgan Chase Permanent Loan </v>
      </c>
      <c r="G2" s="139" t="str">
        <f>Application!B628&amp;Application!C628</f>
        <v>2)Seller Carryback Loan</v>
      </c>
      <c r="H2" s="139" t="str">
        <f>Application!B629&amp;Application!C629</f>
        <v>3)Accrued Interest</v>
      </c>
      <c r="I2" s="139" t="str">
        <f>Application!B630&amp;Application!C630</f>
        <v>4)Income from Operations</v>
      </c>
      <c r="J2" s="139" t="str">
        <f>Application!B631&amp;Application!C631</f>
        <v>5)Deferred Developer Fee</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5717000</v>
      </c>
      <c r="C4" s="147">
        <v>5717000</v>
      </c>
      <c r="D4" s="147">
        <v>0</v>
      </c>
      <c r="E4" s="147">
        <f>B4-SUM(F4:Q4)</f>
        <v>0</v>
      </c>
      <c r="F4" s="147"/>
      <c r="G4" s="147">
        <f>B4</f>
        <v>5717000</v>
      </c>
      <c r="H4" s="147"/>
      <c r="I4" s="147"/>
      <c r="J4" s="147"/>
      <c r="K4" s="147"/>
      <c r="L4" s="147"/>
      <c r="M4" s="147"/>
      <c r="N4" s="147"/>
      <c r="O4" s="147"/>
      <c r="P4" s="147"/>
      <c r="Q4" s="147"/>
      <c r="R4" s="516">
        <f>SUM(E4:Q4)</f>
        <v>5717000</v>
      </c>
      <c r="S4" s="148"/>
      <c r="T4" s="148"/>
      <c r="U4" s="143"/>
    </row>
    <row r="5" spans="1:21" s="144" customFormat="1">
      <c r="A5" s="145" t="s">
        <v>28</v>
      </c>
      <c r="B5" s="146">
        <f>SUM(C5+D5)</f>
        <v>0</v>
      </c>
      <c r="C5" s="147">
        <v>0</v>
      </c>
      <c r="D5" s="147">
        <v>0</v>
      </c>
      <c r="E5" s="147">
        <f>B5-SUM(F5:Q5)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9063</v>
      </c>
      <c r="C6" s="147">
        <f>65000-C94</f>
        <v>9063</v>
      </c>
      <c r="D6" s="147">
        <v>0</v>
      </c>
      <c r="E6" s="147">
        <f>B6-SUM(F6:Q6)</f>
        <v>9063</v>
      </c>
      <c r="F6" s="147"/>
      <c r="G6" s="147"/>
      <c r="H6" s="147"/>
      <c r="I6" s="147"/>
      <c r="J6" s="147"/>
      <c r="K6" s="147"/>
      <c r="L6" s="147"/>
      <c r="M6" s="147"/>
      <c r="N6" s="147"/>
      <c r="O6" s="147"/>
      <c r="P6" s="147"/>
      <c r="Q6" s="147"/>
      <c r="R6" s="516">
        <f>SUM(E6:Q6)</f>
        <v>9063</v>
      </c>
      <c r="S6" s="148"/>
      <c r="T6" s="148"/>
      <c r="U6" s="143"/>
    </row>
    <row r="7" spans="1:21" s="144" customFormat="1">
      <c r="A7" s="145" t="s">
        <v>97</v>
      </c>
      <c r="B7" s="146">
        <f>SUM(C7+D7)</f>
        <v>0</v>
      </c>
      <c r="C7" s="147"/>
      <c r="D7" s="147"/>
      <c r="E7" s="147">
        <f>B7-SUM(F7:Q7)</f>
        <v>0</v>
      </c>
      <c r="F7" s="147"/>
      <c r="G7" s="147"/>
      <c r="H7" s="147"/>
      <c r="I7" s="147"/>
      <c r="J7" s="147"/>
      <c r="K7" s="147"/>
      <c r="L7" s="147"/>
      <c r="M7" s="147"/>
      <c r="N7" s="147"/>
      <c r="O7" s="147"/>
      <c r="P7" s="147"/>
      <c r="Q7" s="147"/>
      <c r="R7" s="516">
        <f>SUM(E7:Q7)</f>
        <v>0</v>
      </c>
      <c r="S7" s="148"/>
      <c r="T7" s="148"/>
      <c r="U7" s="143"/>
    </row>
    <row r="8" spans="1:21" s="144" customFormat="1">
      <c r="A8" s="149" t="s">
        <v>593</v>
      </c>
      <c r="B8" s="146">
        <f>SUM(C8:D8)</f>
        <v>5726063</v>
      </c>
      <c r="C8" s="146">
        <f t="shared" ref="C8:Q8" si="0">SUM(C4:C7)</f>
        <v>5726063</v>
      </c>
      <c r="D8" s="146">
        <f t="shared" si="0"/>
        <v>0</v>
      </c>
      <c r="E8" s="146">
        <f t="shared" si="0"/>
        <v>9063</v>
      </c>
      <c r="F8" s="146">
        <f t="shared" si="0"/>
        <v>0</v>
      </c>
      <c r="G8" s="146">
        <f t="shared" si="0"/>
        <v>5717000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5726063</v>
      </c>
      <c r="S8" s="148"/>
      <c r="T8" s="148"/>
      <c r="U8" s="143"/>
    </row>
    <row r="9" spans="1:21" s="144" customFormat="1">
      <c r="A9" s="145" t="s">
        <v>594</v>
      </c>
      <c r="B9" s="146">
        <f>SUM(C9+D9)</f>
        <v>35283000</v>
      </c>
      <c r="C9" s="147">
        <v>35283000</v>
      </c>
      <c r="D9" s="147">
        <v>0</v>
      </c>
      <c r="E9" s="147">
        <f>B9-SUM(F9:Q9)</f>
        <v>0</v>
      </c>
      <c r="F9" s="147">
        <f>ROUND(B9-G9,0)</f>
        <v>13544407</v>
      </c>
      <c r="G9" s="147">
        <f>Application!AO628-G4</f>
        <v>21738593</v>
      </c>
      <c r="H9" s="147"/>
      <c r="I9" s="147"/>
      <c r="J9" s="147"/>
      <c r="K9" s="147"/>
      <c r="L9" s="147"/>
      <c r="M9" s="147"/>
      <c r="N9" s="147"/>
      <c r="O9" s="147"/>
      <c r="P9" s="147"/>
      <c r="Q9" s="147"/>
      <c r="R9" s="516">
        <f>SUM(E9:Q9)</f>
        <v>35283000</v>
      </c>
      <c r="S9" s="148"/>
      <c r="T9" s="147">
        <v>35283000</v>
      </c>
      <c r="U9" s="143"/>
    </row>
    <row r="10" spans="1:21" s="144" customFormat="1">
      <c r="A10" s="145" t="s">
        <v>595</v>
      </c>
      <c r="B10" s="146">
        <f>SUM(C10+D10)</f>
        <v>0</v>
      </c>
      <c r="C10" s="147">
        <v>0</v>
      </c>
      <c r="D10" s="147">
        <v>0</v>
      </c>
      <c r="E10" s="147">
        <f>B10-SUM(F10:Q10)</f>
        <v>0</v>
      </c>
      <c r="F10" s="147"/>
      <c r="G10" s="147"/>
      <c r="H10" s="147"/>
      <c r="I10" s="147"/>
      <c r="J10" s="147"/>
      <c r="K10" s="147"/>
      <c r="L10" s="147"/>
      <c r="M10" s="147"/>
      <c r="N10" s="147"/>
      <c r="O10" s="147"/>
      <c r="P10" s="147"/>
      <c r="Q10" s="147"/>
      <c r="R10" s="516">
        <f>SUM(E10:Q10)</f>
        <v>0</v>
      </c>
      <c r="S10" s="147">
        <f>C10</f>
        <v>0</v>
      </c>
      <c r="T10" s="147">
        <v>0</v>
      </c>
      <c r="U10" s="143"/>
    </row>
    <row r="11" spans="1:21" s="144" customFormat="1">
      <c r="A11" s="149" t="s">
        <v>596</v>
      </c>
      <c r="B11" s="146">
        <f>SUM(C11:D11)</f>
        <v>35283000</v>
      </c>
      <c r="C11" s="146">
        <f t="shared" ref="C11:Q11" si="1">SUM(C9:C10)</f>
        <v>35283000</v>
      </c>
      <c r="D11" s="146">
        <f t="shared" si="1"/>
        <v>0</v>
      </c>
      <c r="E11" s="146">
        <f t="shared" si="1"/>
        <v>0</v>
      </c>
      <c r="F11" s="146">
        <f t="shared" si="1"/>
        <v>13544407</v>
      </c>
      <c r="G11" s="146">
        <f t="shared" si="1"/>
        <v>21738593</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35283000</v>
      </c>
      <c r="S11" s="148"/>
      <c r="T11" s="150">
        <f>SUM(T9:T10)</f>
        <v>35283000</v>
      </c>
      <c r="U11" s="143"/>
    </row>
    <row r="12" spans="1:21" s="144" customFormat="1">
      <c r="A12" s="149" t="s">
        <v>84</v>
      </c>
      <c r="B12" s="146">
        <f t="shared" ref="B12:Q12" si="2">SUM(B8+B11)</f>
        <v>41009063</v>
      </c>
      <c r="C12" s="146">
        <f t="shared" si="2"/>
        <v>41009063</v>
      </c>
      <c r="D12" s="146">
        <f t="shared" si="2"/>
        <v>0</v>
      </c>
      <c r="E12" s="146">
        <f t="shared" si="2"/>
        <v>9063</v>
      </c>
      <c r="F12" s="146">
        <f t="shared" si="2"/>
        <v>13544407</v>
      </c>
      <c r="G12" s="146">
        <f t="shared" si="2"/>
        <v>27455593</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41009063</v>
      </c>
      <c r="S12" s="148"/>
      <c r="T12" s="148"/>
      <c r="U12" s="143"/>
    </row>
    <row r="13" spans="1:21" s="144" customFormat="1">
      <c r="A13" s="287" t="s">
        <v>902</v>
      </c>
      <c r="B13" s="146">
        <f>SUM(C13+D13)</f>
        <v>0</v>
      </c>
      <c r="C13" s="147">
        <v>0</v>
      </c>
      <c r="D13" s="147">
        <v>0</v>
      </c>
      <c r="E13" s="147">
        <f>B13-SUM(F13:Q13)</f>
        <v>0</v>
      </c>
      <c r="F13" s="147"/>
      <c r="G13" s="147"/>
      <c r="H13" s="147"/>
      <c r="I13" s="147"/>
      <c r="J13" s="147"/>
      <c r="K13" s="147"/>
      <c r="L13" s="147"/>
      <c r="M13" s="147"/>
      <c r="N13" s="147"/>
      <c r="O13" s="147"/>
      <c r="P13" s="147"/>
      <c r="Q13" s="147"/>
      <c r="R13" s="516">
        <f>SUM(E13:Q13)</f>
        <v>0</v>
      </c>
      <c r="S13" s="147">
        <f>C13</f>
        <v>0</v>
      </c>
      <c r="T13" s="147">
        <v>0</v>
      </c>
      <c r="U13" s="143"/>
    </row>
    <row r="14" spans="1:21" s="144" customFormat="1" ht="24">
      <c r="A14" s="288" t="s">
        <v>1642</v>
      </c>
      <c r="B14" s="146">
        <f>SUM(C14+D14)</f>
        <v>0</v>
      </c>
      <c r="C14" s="147"/>
      <c r="D14" s="147"/>
      <c r="E14" s="147">
        <f>B14-SUM(F14:Q14)</f>
        <v>0</v>
      </c>
      <c r="F14" s="147"/>
      <c r="G14" s="147"/>
      <c r="H14" s="147"/>
      <c r="I14" s="147"/>
      <c r="J14" s="147"/>
      <c r="K14" s="147"/>
      <c r="L14" s="147"/>
      <c r="M14" s="147"/>
      <c r="N14" s="147"/>
      <c r="O14" s="147"/>
      <c r="P14" s="147"/>
      <c r="Q14" s="147"/>
      <c r="R14" s="516">
        <f>SUM(E14:Q14)</f>
        <v>0</v>
      </c>
      <c r="S14" s="147">
        <f>C14</f>
        <v>0</v>
      </c>
      <c r="T14" s="147"/>
      <c r="U14" s="143"/>
    </row>
    <row r="15" spans="1:21" s="144" customFormat="1">
      <c r="A15" s="288" t="s">
        <v>1160</v>
      </c>
      <c r="B15" s="146">
        <f>SUM(C15+D15)</f>
        <v>0</v>
      </c>
      <c r="C15" s="147"/>
      <c r="D15" s="147"/>
      <c r="E15" s="147">
        <f>B15-SUM(F15:Q15)</f>
        <v>0</v>
      </c>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1200000</v>
      </c>
      <c r="C17" s="147">
        <v>1200000</v>
      </c>
      <c r="D17" s="147">
        <v>0</v>
      </c>
      <c r="E17" s="147">
        <f t="shared" ref="E17:E25" si="4">B17-SUM(F17:Q17)</f>
        <v>256715</v>
      </c>
      <c r="F17" s="147"/>
      <c r="G17" s="147"/>
      <c r="H17" s="147"/>
      <c r="I17" s="147">
        <f>Application!AO630</f>
        <v>943285</v>
      </c>
      <c r="J17" s="147"/>
      <c r="K17" s="147"/>
      <c r="L17" s="147"/>
      <c r="M17" s="147"/>
      <c r="N17" s="147"/>
      <c r="O17" s="147"/>
      <c r="P17" s="147"/>
      <c r="Q17" s="147"/>
      <c r="R17" s="516">
        <f>SUM(E17:Q17)</f>
        <v>1200000</v>
      </c>
      <c r="S17" s="147">
        <f t="shared" ref="S17:S25" si="5">C17</f>
        <v>1200000</v>
      </c>
      <c r="T17" s="147">
        <v>0</v>
      </c>
      <c r="U17" s="143"/>
    </row>
    <row r="18" spans="1:21" s="144" customFormat="1">
      <c r="A18" s="145" t="s">
        <v>599</v>
      </c>
      <c r="B18" s="146">
        <f t="shared" si="3"/>
        <v>11126884</v>
      </c>
      <c r="C18" s="147">
        <v>11126884</v>
      </c>
      <c r="D18" s="147">
        <v>0</v>
      </c>
      <c r="E18" s="147">
        <f t="shared" si="4"/>
        <v>6413291</v>
      </c>
      <c r="F18" s="147">
        <f>Application!AO627-F9</f>
        <v>4713593</v>
      </c>
      <c r="G18" s="147"/>
      <c r="H18" s="147"/>
      <c r="I18" s="147"/>
      <c r="J18" s="147"/>
      <c r="K18" s="147"/>
      <c r="L18" s="147"/>
      <c r="M18" s="147"/>
      <c r="N18" s="147"/>
      <c r="O18" s="147"/>
      <c r="P18" s="147"/>
      <c r="Q18" s="147"/>
      <c r="R18" s="516">
        <f>SUM(E18:Q18)</f>
        <v>11126884</v>
      </c>
      <c r="S18" s="147">
        <f t="shared" si="5"/>
        <v>11126884</v>
      </c>
      <c r="T18" s="147">
        <v>0</v>
      </c>
      <c r="U18" s="143"/>
    </row>
    <row r="19" spans="1:21" s="144" customFormat="1">
      <c r="A19" s="145" t="s">
        <v>600</v>
      </c>
      <c r="B19" s="146">
        <f t="shared" si="3"/>
        <v>695670</v>
      </c>
      <c r="C19" s="147">
        <v>695670</v>
      </c>
      <c r="D19" s="147">
        <v>0</v>
      </c>
      <c r="E19" s="147">
        <f t="shared" si="4"/>
        <v>695670</v>
      </c>
      <c r="F19" s="147"/>
      <c r="G19" s="147"/>
      <c r="H19" s="147"/>
      <c r="I19" s="147"/>
      <c r="J19" s="147"/>
      <c r="K19" s="147"/>
      <c r="L19" s="147"/>
      <c r="M19" s="147"/>
      <c r="N19" s="147"/>
      <c r="O19" s="147"/>
      <c r="P19" s="147"/>
      <c r="Q19" s="147"/>
      <c r="R19" s="516">
        <f>SUM(E19:Q19)</f>
        <v>695670</v>
      </c>
      <c r="S19" s="147">
        <f t="shared" si="5"/>
        <v>695670</v>
      </c>
      <c r="T19" s="147">
        <v>0</v>
      </c>
      <c r="U19" s="143"/>
    </row>
    <row r="20" spans="1:21" s="144" customFormat="1">
      <c r="A20" s="145" t="s">
        <v>137</v>
      </c>
      <c r="B20" s="146">
        <f t="shared" si="3"/>
        <v>347835</v>
      </c>
      <c r="C20" s="147">
        <v>347835</v>
      </c>
      <c r="D20" s="147">
        <v>0</v>
      </c>
      <c r="E20" s="147">
        <f t="shared" si="4"/>
        <v>347835</v>
      </c>
      <c r="F20" s="147"/>
      <c r="G20" s="147"/>
      <c r="H20" s="147"/>
      <c r="I20" s="147"/>
      <c r="J20" s="147"/>
      <c r="K20" s="147"/>
      <c r="L20" s="147"/>
      <c r="M20" s="147"/>
      <c r="N20" s="147"/>
      <c r="O20" s="147"/>
      <c r="P20" s="147"/>
      <c r="Q20" s="147"/>
      <c r="R20" s="516">
        <f t="shared" ref="R20:R27" si="6">SUM(E20:Q20)</f>
        <v>347835</v>
      </c>
      <c r="S20" s="147">
        <f t="shared" si="5"/>
        <v>347835</v>
      </c>
      <c r="T20" s="147">
        <v>0</v>
      </c>
      <c r="U20" s="143"/>
    </row>
    <row r="21" spans="1:21" s="144" customFormat="1">
      <c r="A21" s="145" t="s">
        <v>138</v>
      </c>
      <c r="B21" s="146">
        <f t="shared" si="3"/>
        <v>347835</v>
      </c>
      <c r="C21" s="147">
        <v>347835</v>
      </c>
      <c r="D21" s="147">
        <v>0</v>
      </c>
      <c r="E21" s="147">
        <f t="shared" si="4"/>
        <v>347835</v>
      </c>
      <c r="F21" s="147"/>
      <c r="G21" s="147"/>
      <c r="H21" s="147"/>
      <c r="I21" s="147"/>
      <c r="J21" s="147"/>
      <c r="K21" s="147"/>
      <c r="L21" s="147"/>
      <c r="M21" s="147"/>
      <c r="N21" s="147"/>
      <c r="O21" s="147"/>
      <c r="P21" s="147"/>
      <c r="Q21" s="147"/>
      <c r="R21" s="516">
        <f t="shared" si="6"/>
        <v>347835</v>
      </c>
      <c r="S21" s="147">
        <f t="shared" si="5"/>
        <v>347835</v>
      </c>
      <c r="T21" s="147">
        <v>0</v>
      </c>
      <c r="U21" s="143"/>
    </row>
    <row r="22" spans="1:21" s="144" customFormat="1">
      <c r="A22" s="145" t="s">
        <v>139</v>
      </c>
      <c r="B22" s="146">
        <f t="shared" si="3"/>
        <v>0</v>
      </c>
      <c r="C22" s="147">
        <v>0</v>
      </c>
      <c r="D22" s="147">
        <v>0</v>
      </c>
      <c r="E22" s="147">
        <f t="shared" si="4"/>
        <v>0</v>
      </c>
      <c r="F22" s="147"/>
      <c r="G22" s="147"/>
      <c r="H22" s="147"/>
      <c r="I22" s="147"/>
      <c r="J22" s="147"/>
      <c r="K22" s="147"/>
      <c r="L22" s="147"/>
      <c r="M22" s="147"/>
      <c r="N22" s="147"/>
      <c r="O22" s="147"/>
      <c r="P22" s="147"/>
      <c r="Q22" s="147"/>
      <c r="R22" s="516">
        <f t="shared" si="6"/>
        <v>0</v>
      </c>
      <c r="S22" s="147">
        <f t="shared" si="5"/>
        <v>0</v>
      </c>
      <c r="T22" s="147">
        <v>0</v>
      </c>
      <c r="U22" s="143"/>
    </row>
    <row r="23" spans="1:21" s="144" customFormat="1">
      <c r="A23" s="145" t="s">
        <v>140</v>
      </c>
      <c r="B23" s="146">
        <f t="shared" si="3"/>
        <v>229639</v>
      </c>
      <c r="C23" s="147">
        <v>229639</v>
      </c>
      <c r="D23" s="147">
        <v>0</v>
      </c>
      <c r="E23" s="147">
        <f t="shared" si="4"/>
        <v>229639</v>
      </c>
      <c r="F23" s="147"/>
      <c r="G23" s="147"/>
      <c r="H23" s="147"/>
      <c r="I23" s="147"/>
      <c r="J23" s="147"/>
      <c r="K23" s="147"/>
      <c r="L23" s="147"/>
      <c r="M23" s="147"/>
      <c r="N23" s="147"/>
      <c r="O23" s="147"/>
      <c r="P23" s="147"/>
      <c r="Q23" s="147"/>
      <c r="R23" s="516">
        <f t="shared" si="6"/>
        <v>229639</v>
      </c>
      <c r="S23" s="147">
        <f t="shared" si="5"/>
        <v>229639</v>
      </c>
      <c r="T23" s="147">
        <v>0</v>
      </c>
      <c r="U23" s="143"/>
    </row>
    <row r="24" spans="1:21" s="144" customFormat="1">
      <c r="A24" s="508" t="s">
        <v>1639</v>
      </c>
      <c r="B24" s="146">
        <f t="shared" si="3"/>
        <v>0</v>
      </c>
      <c r="C24" s="147"/>
      <c r="D24" s="147"/>
      <c r="E24" s="147">
        <f t="shared" si="4"/>
        <v>0</v>
      </c>
      <c r="F24" s="147"/>
      <c r="G24" s="147"/>
      <c r="H24" s="147"/>
      <c r="I24" s="147"/>
      <c r="J24" s="147"/>
      <c r="K24" s="147"/>
      <c r="L24" s="147"/>
      <c r="M24" s="147"/>
      <c r="N24" s="147"/>
      <c r="O24" s="147"/>
      <c r="P24" s="147"/>
      <c r="Q24" s="147"/>
      <c r="R24" s="516">
        <f t="shared" si="6"/>
        <v>0</v>
      </c>
      <c r="S24" s="147">
        <f t="shared" si="5"/>
        <v>0</v>
      </c>
      <c r="T24" s="147"/>
      <c r="U24" s="143"/>
    </row>
    <row r="25" spans="1:21" s="144" customFormat="1">
      <c r="A25" s="1149" t="s">
        <v>2742</v>
      </c>
      <c r="B25" s="146">
        <f t="shared" si="3"/>
        <v>229639</v>
      </c>
      <c r="C25" s="147">
        <v>229639</v>
      </c>
      <c r="D25" s="147">
        <v>0</v>
      </c>
      <c r="E25" s="147">
        <f t="shared" si="4"/>
        <v>229639</v>
      </c>
      <c r="F25" s="147"/>
      <c r="G25" s="147"/>
      <c r="H25" s="147"/>
      <c r="I25" s="147"/>
      <c r="J25" s="147"/>
      <c r="K25" s="147"/>
      <c r="L25" s="147"/>
      <c r="M25" s="147"/>
      <c r="N25" s="147"/>
      <c r="O25" s="147"/>
      <c r="P25" s="147"/>
      <c r="Q25" s="147"/>
      <c r="R25" s="516">
        <f t="shared" si="6"/>
        <v>229639</v>
      </c>
      <c r="S25" s="147">
        <f t="shared" si="5"/>
        <v>229639</v>
      </c>
      <c r="T25" s="147">
        <v>0</v>
      </c>
      <c r="U25" s="143"/>
    </row>
    <row r="26" spans="1:21" s="144" customFormat="1">
      <c r="A26" s="149" t="s">
        <v>133</v>
      </c>
      <c r="B26" s="146">
        <f t="shared" si="3"/>
        <v>14177502</v>
      </c>
      <c r="C26" s="146">
        <f>SUM(C17:C25)</f>
        <v>14177502</v>
      </c>
      <c r="D26" s="146">
        <f t="shared" ref="D26:Q26" si="7">SUM(D17:D25)</f>
        <v>0</v>
      </c>
      <c r="E26" s="146">
        <f t="shared" si="7"/>
        <v>8520624</v>
      </c>
      <c r="F26" s="146">
        <f t="shared" si="7"/>
        <v>4713593</v>
      </c>
      <c r="G26" s="146">
        <f t="shared" si="7"/>
        <v>0</v>
      </c>
      <c r="H26" s="146">
        <f t="shared" si="7"/>
        <v>0</v>
      </c>
      <c r="I26" s="146">
        <f t="shared" si="7"/>
        <v>943285</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14177502</v>
      </c>
      <c r="S26" s="150">
        <f>SUM(S17:S25)</f>
        <v>14177502</v>
      </c>
      <c r="T26" s="150">
        <f>SUM(T17:T25)</f>
        <v>0</v>
      </c>
      <c r="U26" s="143"/>
    </row>
    <row r="27" spans="1:21" s="144" customFormat="1">
      <c r="A27" s="149" t="s">
        <v>141</v>
      </c>
      <c r="B27" s="146">
        <f>SUM(C27:D27)</f>
        <v>3600000</v>
      </c>
      <c r="C27" s="147">
        <v>3600000</v>
      </c>
      <c r="D27" s="147">
        <v>0</v>
      </c>
      <c r="E27" s="147">
        <f>B27-SUM(F27:Q27)</f>
        <v>3600000</v>
      </c>
      <c r="F27" s="147"/>
      <c r="G27" s="147"/>
      <c r="H27" s="147"/>
      <c r="I27" s="147"/>
      <c r="J27" s="147"/>
      <c r="K27" s="147"/>
      <c r="L27" s="147"/>
      <c r="M27" s="147"/>
      <c r="N27" s="147"/>
      <c r="O27" s="147"/>
      <c r="P27" s="147"/>
      <c r="Q27" s="147"/>
      <c r="R27" s="516">
        <f t="shared" si="6"/>
        <v>3600000</v>
      </c>
      <c r="S27" s="147">
        <f>C27</f>
        <v>3600000</v>
      </c>
      <c r="T27" s="147">
        <v>0</v>
      </c>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v>0</v>
      </c>
      <c r="D29" s="147">
        <v>0</v>
      </c>
      <c r="E29" s="147">
        <f t="shared" ref="E29:E37" si="9">B29-SUM(F29:Q29)</f>
        <v>0</v>
      </c>
      <c r="F29" s="147"/>
      <c r="G29" s="147"/>
      <c r="H29" s="147"/>
      <c r="I29" s="147"/>
      <c r="J29" s="147"/>
      <c r="K29" s="147"/>
      <c r="L29" s="147"/>
      <c r="M29" s="147"/>
      <c r="N29" s="147"/>
      <c r="O29" s="147"/>
      <c r="P29" s="147"/>
      <c r="Q29" s="147"/>
      <c r="R29" s="516">
        <f t="shared" ref="R29:R37" si="10">SUM(E29:Q29)</f>
        <v>0</v>
      </c>
      <c r="S29" s="147">
        <f t="shared" ref="S29:S37" si="11">C29</f>
        <v>0</v>
      </c>
      <c r="T29" s="147">
        <v>0</v>
      </c>
      <c r="U29" s="143"/>
    </row>
    <row r="30" spans="1:21" s="144" customFormat="1">
      <c r="A30" s="145" t="s">
        <v>599</v>
      </c>
      <c r="B30" s="146">
        <f t="shared" si="8"/>
        <v>0</v>
      </c>
      <c r="C30" s="147">
        <v>0</v>
      </c>
      <c r="D30" s="147">
        <v>0</v>
      </c>
      <c r="E30" s="147">
        <f t="shared" si="9"/>
        <v>0</v>
      </c>
      <c r="F30" s="147"/>
      <c r="G30" s="147"/>
      <c r="H30" s="147"/>
      <c r="I30" s="147"/>
      <c r="J30" s="147"/>
      <c r="K30" s="147"/>
      <c r="L30" s="147"/>
      <c r="M30" s="147"/>
      <c r="N30" s="147"/>
      <c r="O30" s="147"/>
      <c r="P30" s="147"/>
      <c r="Q30" s="147"/>
      <c r="R30" s="516">
        <f t="shared" si="10"/>
        <v>0</v>
      </c>
      <c r="S30" s="147">
        <f t="shared" si="11"/>
        <v>0</v>
      </c>
      <c r="T30" s="147">
        <v>0</v>
      </c>
      <c r="U30" s="143"/>
    </row>
    <row r="31" spans="1:21" s="144" customFormat="1">
      <c r="A31" s="145" t="s">
        <v>600</v>
      </c>
      <c r="B31" s="146">
        <f t="shared" si="8"/>
        <v>0</v>
      </c>
      <c r="C31" s="147">
        <v>0</v>
      </c>
      <c r="D31" s="147">
        <v>0</v>
      </c>
      <c r="E31" s="147">
        <f t="shared" si="9"/>
        <v>0</v>
      </c>
      <c r="F31" s="147"/>
      <c r="G31" s="147"/>
      <c r="H31" s="147"/>
      <c r="I31" s="147"/>
      <c r="J31" s="147"/>
      <c r="K31" s="147"/>
      <c r="L31" s="147"/>
      <c r="M31" s="147"/>
      <c r="N31" s="147"/>
      <c r="O31" s="147"/>
      <c r="P31" s="147"/>
      <c r="Q31" s="147"/>
      <c r="R31" s="516">
        <f t="shared" si="10"/>
        <v>0</v>
      </c>
      <c r="S31" s="147">
        <f t="shared" si="11"/>
        <v>0</v>
      </c>
      <c r="T31" s="147">
        <v>0</v>
      </c>
      <c r="U31" s="143"/>
    </row>
    <row r="32" spans="1:21" s="144" customFormat="1">
      <c r="A32" s="145" t="s">
        <v>137</v>
      </c>
      <c r="B32" s="146">
        <f t="shared" si="8"/>
        <v>0</v>
      </c>
      <c r="C32" s="147">
        <v>0</v>
      </c>
      <c r="D32" s="147">
        <v>0</v>
      </c>
      <c r="E32" s="147">
        <f t="shared" si="9"/>
        <v>0</v>
      </c>
      <c r="F32" s="147"/>
      <c r="G32" s="147"/>
      <c r="H32" s="147"/>
      <c r="I32" s="147"/>
      <c r="J32" s="147"/>
      <c r="K32" s="147"/>
      <c r="L32" s="147"/>
      <c r="M32" s="147"/>
      <c r="N32" s="147"/>
      <c r="O32" s="147"/>
      <c r="P32" s="147"/>
      <c r="Q32" s="147"/>
      <c r="R32" s="516">
        <f t="shared" si="10"/>
        <v>0</v>
      </c>
      <c r="S32" s="147">
        <f t="shared" si="11"/>
        <v>0</v>
      </c>
      <c r="T32" s="147">
        <v>0</v>
      </c>
      <c r="U32" s="143"/>
    </row>
    <row r="33" spans="1:21" s="144" customFormat="1">
      <c r="A33" s="145" t="s">
        <v>138</v>
      </c>
      <c r="B33" s="146">
        <f t="shared" si="8"/>
        <v>0</v>
      </c>
      <c r="C33" s="147">
        <v>0</v>
      </c>
      <c r="D33" s="147">
        <v>0</v>
      </c>
      <c r="E33" s="147">
        <f t="shared" si="9"/>
        <v>0</v>
      </c>
      <c r="F33" s="147"/>
      <c r="G33" s="147"/>
      <c r="H33" s="147"/>
      <c r="I33" s="147"/>
      <c r="J33" s="147"/>
      <c r="K33" s="147"/>
      <c r="L33" s="147"/>
      <c r="M33" s="147"/>
      <c r="N33" s="147"/>
      <c r="O33" s="147"/>
      <c r="P33" s="147"/>
      <c r="Q33" s="147"/>
      <c r="R33" s="516">
        <f t="shared" si="10"/>
        <v>0</v>
      </c>
      <c r="S33" s="147">
        <f t="shared" si="11"/>
        <v>0</v>
      </c>
      <c r="T33" s="147">
        <v>0</v>
      </c>
      <c r="U33" s="143"/>
    </row>
    <row r="34" spans="1:21" s="144" customFormat="1">
      <c r="A34" s="145" t="s">
        <v>139</v>
      </c>
      <c r="B34" s="146">
        <f t="shared" si="8"/>
        <v>0</v>
      </c>
      <c r="C34" s="147">
        <v>0</v>
      </c>
      <c r="D34" s="147">
        <v>0</v>
      </c>
      <c r="E34" s="147">
        <f t="shared" si="9"/>
        <v>0</v>
      </c>
      <c r="F34" s="147"/>
      <c r="G34" s="147"/>
      <c r="H34" s="147"/>
      <c r="I34" s="147"/>
      <c r="J34" s="147"/>
      <c r="K34" s="147"/>
      <c r="L34" s="147"/>
      <c r="M34" s="147"/>
      <c r="N34" s="147"/>
      <c r="O34" s="147"/>
      <c r="P34" s="147"/>
      <c r="Q34" s="147"/>
      <c r="R34" s="516">
        <f t="shared" si="10"/>
        <v>0</v>
      </c>
      <c r="S34" s="147">
        <f t="shared" si="11"/>
        <v>0</v>
      </c>
      <c r="T34" s="147">
        <v>0</v>
      </c>
      <c r="U34" s="143"/>
    </row>
    <row r="35" spans="1:21" s="144" customFormat="1">
      <c r="A35" s="145" t="s">
        <v>140</v>
      </c>
      <c r="B35" s="146">
        <f t="shared" si="8"/>
        <v>0</v>
      </c>
      <c r="C35" s="147">
        <v>0</v>
      </c>
      <c r="D35" s="147">
        <v>0</v>
      </c>
      <c r="E35" s="147">
        <f t="shared" si="9"/>
        <v>0</v>
      </c>
      <c r="F35" s="147"/>
      <c r="G35" s="147"/>
      <c r="H35" s="147"/>
      <c r="I35" s="147"/>
      <c r="J35" s="147"/>
      <c r="K35" s="147"/>
      <c r="L35" s="147"/>
      <c r="M35" s="147"/>
      <c r="N35" s="147"/>
      <c r="O35" s="147"/>
      <c r="P35" s="147"/>
      <c r="Q35" s="147"/>
      <c r="R35" s="516">
        <f t="shared" si="10"/>
        <v>0</v>
      </c>
      <c r="S35" s="147">
        <f t="shared" si="11"/>
        <v>0</v>
      </c>
      <c r="T35" s="147">
        <v>0</v>
      </c>
      <c r="U35" s="143"/>
    </row>
    <row r="36" spans="1:21" s="144" customFormat="1">
      <c r="A36" s="283" t="s">
        <v>1639</v>
      </c>
      <c r="B36" s="146">
        <f t="shared" si="8"/>
        <v>0</v>
      </c>
      <c r="C36" s="147"/>
      <c r="D36" s="147"/>
      <c r="E36" s="147">
        <f t="shared" si="9"/>
        <v>0</v>
      </c>
      <c r="F36" s="147"/>
      <c r="G36" s="147"/>
      <c r="H36" s="147"/>
      <c r="I36" s="147"/>
      <c r="J36" s="147"/>
      <c r="K36" s="147"/>
      <c r="L36" s="147"/>
      <c r="M36" s="147"/>
      <c r="N36" s="147"/>
      <c r="O36" s="147"/>
      <c r="P36" s="147"/>
      <c r="Q36" s="147"/>
      <c r="R36" s="516">
        <f t="shared" si="10"/>
        <v>0</v>
      </c>
      <c r="S36" s="147">
        <f t="shared" si="11"/>
        <v>0</v>
      </c>
      <c r="T36" s="147"/>
      <c r="U36" s="143"/>
    </row>
    <row r="37" spans="1:21" s="144" customFormat="1">
      <c r="A37" s="1149" t="s">
        <v>34</v>
      </c>
      <c r="B37" s="146">
        <f t="shared" si="8"/>
        <v>0</v>
      </c>
      <c r="C37" s="147">
        <v>0</v>
      </c>
      <c r="D37" s="147">
        <v>0</v>
      </c>
      <c r="E37" s="147">
        <f t="shared" si="9"/>
        <v>0</v>
      </c>
      <c r="F37" s="147"/>
      <c r="G37" s="147"/>
      <c r="H37" s="147"/>
      <c r="I37" s="147"/>
      <c r="J37" s="147"/>
      <c r="K37" s="147"/>
      <c r="L37" s="147"/>
      <c r="M37" s="147"/>
      <c r="N37" s="147"/>
      <c r="O37" s="147"/>
      <c r="P37" s="147"/>
      <c r="Q37" s="147"/>
      <c r="R37" s="516">
        <f t="shared" si="10"/>
        <v>0</v>
      </c>
      <c r="S37" s="147">
        <f t="shared" si="11"/>
        <v>0</v>
      </c>
      <c r="T37" s="147">
        <v>0</v>
      </c>
      <c r="U37" s="143"/>
    </row>
    <row r="38" spans="1:21" s="144" customFormat="1">
      <c r="A38" s="149" t="s">
        <v>143</v>
      </c>
      <c r="B38" s="146">
        <f t="shared" si="8"/>
        <v>0</v>
      </c>
      <c r="C38" s="146">
        <f>SUM(C29:C37)</f>
        <v>0</v>
      </c>
      <c r="D38" s="146">
        <f t="shared" ref="D38:Q38" si="12">SUM(D29:D37)</f>
        <v>0</v>
      </c>
      <c r="E38" s="146">
        <f t="shared" si="12"/>
        <v>0</v>
      </c>
      <c r="F38" s="146">
        <f t="shared" si="12"/>
        <v>0</v>
      </c>
      <c r="G38" s="146">
        <f t="shared" si="12"/>
        <v>0</v>
      </c>
      <c r="H38" s="146">
        <f t="shared" si="12"/>
        <v>0</v>
      </c>
      <c r="I38" s="146">
        <f t="shared" si="12"/>
        <v>0</v>
      </c>
      <c r="J38" s="146">
        <f t="shared" si="12"/>
        <v>0</v>
      </c>
      <c r="K38" s="146">
        <f t="shared" si="12"/>
        <v>0</v>
      </c>
      <c r="L38" s="146">
        <f t="shared" si="12"/>
        <v>0</v>
      </c>
      <c r="M38" s="146">
        <f t="shared" si="12"/>
        <v>0</v>
      </c>
      <c r="N38" s="146">
        <f t="shared" si="12"/>
        <v>0</v>
      </c>
      <c r="O38" s="146">
        <f t="shared" si="12"/>
        <v>0</v>
      </c>
      <c r="P38" s="146">
        <f t="shared" si="12"/>
        <v>0</v>
      </c>
      <c r="Q38" s="146">
        <f t="shared" si="12"/>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362500</v>
      </c>
      <c r="C40" s="147">
        <v>362500</v>
      </c>
      <c r="D40" s="147">
        <v>0</v>
      </c>
      <c r="E40" s="147">
        <f>B40-SUM(F40:Q40)</f>
        <v>362500</v>
      </c>
      <c r="F40" s="147"/>
      <c r="G40" s="147"/>
      <c r="H40" s="147"/>
      <c r="I40" s="147"/>
      <c r="J40" s="147"/>
      <c r="K40" s="147"/>
      <c r="L40" s="147"/>
      <c r="M40" s="147"/>
      <c r="N40" s="147"/>
      <c r="O40" s="147"/>
      <c r="P40" s="147"/>
      <c r="Q40" s="147"/>
      <c r="R40" s="516">
        <f>SUM(E40:Q40)</f>
        <v>362500</v>
      </c>
      <c r="S40" s="147">
        <f>C40</f>
        <v>362500</v>
      </c>
      <c r="T40" s="147">
        <v>0</v>
      </c>
      <c r="U40" s="143"/>
    </row>
    <row r="41" spans="1:21" s="144" customFormat="1">
      <c r="A41" s="145" t="s">
        <v>146</v>
      </c>
      <c r="B41" s="146">
        <f>SUM(C41+D41)</f>
        <v>0</v>
      </c>
      <c r="C41" s="147">
        <v>0</v>
      </c>
      <c r="D41" s="147">
        <v>0</v>
      </c>
      <c r="E41" s="147">
        <f>B41-SUM(F41:Q41)</f>
        <v>0</v>
      </c>
      <c r="F41" s="147"/>
      <c r="G41" s="147"/>
      <c r="H41" s="147"/>
      <c r="I41" s="147"/>
      <c r="J41" s="147"/>
      <c r="K41" s="147"/>
      <c r="L41" s="147"/>
      <c r="M41" s="147"/>
      <c r="N41" s="147"/>
      <c r="O41" s="147"/>
      <c r="P41" s="147"/>
      <c r="Q41" s="147"/>
      <c r="R41" s="516">
        <f>SUM(E41:Q41)</f>
        <v>0</v>
      </c>
      <c r="S41" s="147">
        <f>C41</f>
        <v>0</v>
      </c>
      <c r="T41" s="147">
        <v>0</v>
      </c>
      <c r="U41" s="143"/>
    </row>
    <row r="42" spans="1:21" s="144" customFormat="1">
      <c r="A42" s="149" t="s">
        <v>147</v>
      </c>
      <c r="B42" s="146">
        <f>SUM(C42:D42)</f>
        <v>362500</v>
      </c>
      <c r="C42" s="146">
        <f>SUM(C39:C41)</f>
        <v>362500</v>
      </c>
      <c r="D42" s="146">
        <f>SUM(D39:D41)</f>
        <v>0</v>
      </c>
      <c r="E42" s="146">
        <f t="shared" ref="E42:T42" si="13">SUM(E40:E41)</f>
        <v>362500</v>
      </c>
      <c r="F42" s="146">
        <f t="shared" si="13"/>
        <v>0</v>
      </c>
      <c r="G42" s="146">
        <f t="shared" si="13"/>
        <v>0</v>
      </c>
      <c r="H42" s="146">
        <f t="shared" si="13"/>
        <v>0</v>
      </c>
      <c r="I42" s="146">
        <f t="shared" si="13"/>
        <v>0</v>
      </c>
      <c r="J42" s="146">
        <f t="shared" si="13"/>
        <v>0</v>
      </c>
      <c r="K42" s="146">
        <f t="shared" si="13"/>
        <v>0</v>
      </c>
      <c r="L42" s="146">
        <f t="shared" si="13"/>
        <v>0</v>
      </c>
      <c r="M42" s="146">
        <f t="shared" si="13"/>
        <v>0</v>
      </c>
      <c r="N42" s="146">
        <f t="shared" si="13"/>
        <v>0</v>
      </c>
      <c r="O42" s="146">
        <f t="shared" si="13"/>
        <v>0</v>
      </c>
      <c r="P42" s="146">
        <f t="shared" si="13"/>
        <v>0</v>
      </c>
      <c r="Q42" s="146">
        <f t="shared" si="13"/>
        <v>0</v>
      </c>
      <c r="R42" s="342">
        <f>SUM(R40:R41)</f>
        <v>362500</v>
      </c>
      <c r="S42" s="150">
        <f t="shared" si="13"/>
        <v>362500</v>
      </c>
      <c r="T42" s="150">
        <f t="shared" si="13"/>
        <v>0</v>
      </c>
      <c r="U42" s="143"/>
    </row>
    <row r="43" spans="1:21" s="144" customFormat="1">
      <c r="A43" s="149" t="s">
        <v>148</v>
      </c>
      <c r="B43" s="146">
        <f>SUM(C43:D43)</f>
        <v>261000</v>
      </c>
      <c r="C43" s="147">
        <v>261000</v>
      </c>
      <c r="D43" s="147">
        <v>0</v>
      </c>
      <c r="E43" s="147">
        <f>B43-SUM(F43:Q43)</f>
        <v>261000</v>
      </c>
      <c r="F43" s="147"/>
      <c r="G43" s="147"/>
      <c r="H43" s="147"/>
      <c r="I43" s="147"/>
      <c r="J43" s="147"/>
      <c r="K43" s="147"/>
      <c r="L43" s="147"/>
      <c r="M43" s="147"/>
      <c r="N43" s="147"/>
      <c r="O43" s="147"/>
      <c r="P43" s="147"/>
      <c r="Q43" s="147"/>
      <c r="R43" s="516">
        <f>SUM(E43:Q43)</f>
        <v>261000</v>
      </c>
      <c r="S43" s="147">
        <f>C43</f>
        <v>261000</v>
      </c>
      <c r="T43" s="147">
        <v>0</v>
      </c>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6672202</v>
      </c>
      <c r="C45" s="147">
        <v>6672202</v>
      </c>
      <c r="D45" s="147">
        <v>0</v>
      </c>
      <c r="E45" s="147">
        <f t="shared" ref="E45:E53" si="15">B45-SUM(F45:Q45)</f>
        <v>3875453</v>
      </c>
      <c r="F45" s="147"/>
      <c r="G45" s="147"/>
      <c r="H45" s="147">
        <f>Application!AO629</f>
        <v>2796749</v>
      </c>
      <c r="I45" s="147"/>
      <c r="J45" s="147"/>
      <c r="K45" s="147"/>
      <c r="L45" s="147"/>
      <c r="M45" s="147"/>
      <c r="N45" s="147"/>
      <c r="O45" s="147"/>
      <c r="P45" s="147"/>
      <c r="Q45" s="147"/>
      <c r="R45" s="516">
        <f t="shared" ref="R45:R53" si="16">SUM(E45:Q45)</f>
        <v>6672202</v>
      </c>
      <c r="S45" s="147">
        <f>2500355+T53</f>
        <v>2683633</v>
      </c>
      <c r="T45" s="147">
        <v>0</v>
      </c>
      <c r="U45" s="143"/>
    </row>
    <row r="46" spans="1:21" s="144" customFormat="1">
      <c r="A46" s="145" t="s">
        <v>151</v>
      </c>
      <c r="B46" s="146">
        <f t="shared" si="14"/>
        <v>232487</v>
      </c>
      <c r="C46" s="147">
        <v>232487</v>
      </c>
      <c r="D46" s="147">
        <v>0</v>
      </c>
      <c r="E46" s="147">
        <f t="shared" si="15"/>
        <v>232487</v>
      </c>
      <c r="F46" s="147"/>
      <c r="G46" s="147"/>
      <c r="H46" s="147"/>
      <c r="I46" s="147"/>
      <c r="J46" s="147"/>
      <c r="K46" s="147"/>
      <c r="L46" s="147"/>
      <c r="M46" s="147"/>
      <c r="N46" s="147"/>
      <c r="O46" s="147"/>
      <c r="P46" s="147"/>
      <c r="Q46" s="147"/>
      <c r="R46" s="516">
        <f t="shared" si="16"/>
        <v>232487</v>
      </c>
      <c r="S46" s="147">
        <v>148504</v>
      </c>
      <c r="T46" s="147">
        <v>0</v>
      </c>
      <c r="U46" s="143"/>
    </row>
    <row r="47" spans="1:21" s="144" customFormat="1">
      <c r="A47" s="186" t="s">
        <v>152</v>
      </c>
      <c r="B47" s="146">
        <f t="shared" si="14"/>
        <v>0</v>
      </c>
      <c r="C47" s="147"/>
      <c r="D47" s="147"/>
      <c r="E47" s="147">
        <f t="shared" si="15"/>
        <v>0</v>
      </c>
      <c r="F47" s="147"/>
      <c r="G47" s="147"/>
      <c r="H47" s="147"/>
      <c r="I47" s="147"/>
      <c r="J47" s="147"/>
      <c r="K47" s="147"/>
      <c r="L47" s="147"/>
      <c r="M47" s="147"/>
      <c r="N47" s="147"/>
      <c r="O47" s="147"/>
      <c r="P47" s="147"/>
      <c r="Q47" s="147"/>
      <c r="R47" s="516">
        <f t="shared" si="16"/>
        <v>0</v>
      </c>
      <c r="S47" s="147">
        <f>C47</f>
        <v>0</v>
      </c>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16">
        <f t="shared" si="16"/>
        <v>0</v>
      </c>
      <c r="S48" s="147">
        <f>C48</f>
        <v>0</v>
      </c>
      <c r="T48" s="147"/>
      <c r="U48" s="143"/>
    </row>
    <row r="49" spans="1:21" s="144" customFormat="1">
      <c r="A49" s="145" t="s">
        <v>57</v>
      </c>
      <c r="B49" s="146">
        <f t="shared" si="14"/>
        <v>217547</v>
      </c>
      <c r="C49" s="147">
        <v>217547</v>
      </c>
      <c r="D49" s="147">
        <v>0</v>
      </c>
      <c r="E49" s="147">
        <f t="shared" si="15"/>
        <v>217547</v>
      </c>
      <c r="F49" s="147"/>
      <c r="G49" s="147"/>
      <c r="H49" s="147"/>
      <c r="I49" s="147"/>
      <c r="J49" s="147"/>
      <c r="K49" s="147"/>
      <c r="L49" s="147"/>
      <c r="M49" s="147"/>
      <c r="N49" s="147"/>
      <c r="O49" s="147"/>
      <c r="P49" s="147"/>
      <c r="Q49" s="147"/>
      <c r="R49" s="516">
        <f t="shared" si="16"/>
        <v>217547</v>
      </c>
      <c r="S49" s="147">
        <v>15969</v>
      </c>
      <c r="T49" s="147">
        <v>0</v>
      </c>
      <c r="U49" s="143"/>
    </row>
    <row r="50" spans="1:21" s="144" customFormat="1">
      <c r="A50" s="145" t="s">
        <v>156</v>
      </c>
      <c r="B50" s="146">
        <f t="shared" si="14"/>
        <v>30000</v>
      </c>
      <c r="C50" s="147">
        <v>30000</v>
      </c>
      <c r="D50" s="147">
        <v>0</v>
      </c>
      <c r="E50" s="147">
        <f t="shared" si="15"/>
        <v>30000</v>
      </c>
      <c r="F50" s="147"/>
      <c r="G50" s="147"/>
      <c r="H50" s="147"/>
      <c r="I50" s="147"/>
      <c r="J50" s="147"/>
      <c r="K50" s="147"/>
      <c r="L50" s="147"/>
      <c r="M50" s="147"/>
      <c r="N50" s="147"/>
      <c r="O50" s="147"/>
      <c r="P50" s="147"/>
      <c r="Q50" s="147"/>
      <c r="R50" s="516">
        <f t="shared" si="16"/>
        <v>30000</v>
      </c>
      <c r="S50" s="147">
        <f>C50</f>
        <v>30000</v>
      </c>
      <c r="T50" s="147">
        <v>0</v>
      </c>
      <c r="U50" s="143"/>
    </row>
    <row r="51" spans="1:21" s="144" customFormat="1">
      <c r="A51" s="283" t="s">
        <v>154</v>
      </c>
      <c r="B51" s="146">
        <f t="shared" si="14"/>
        <v>0</v>
      </c>
      <c r="C51" s="147">
        <v>0</v>
      </c>
      <c r="D51" s="147">
        <v>0</v>
      </c>
      <c r="E51" s="147">
        <f t="shared" si="15"/>
        <v>0</v>
      </c>
      <c r="F51" s="147"/>
      <c r="G51" s="147"/>
      <c r="H51" s="147"/>
      <c r="I51" s="147"/>
      <c r="J51" s="147"/>
      <c r="K51" s="147"/>
      <c r="L51" s="147"/>
      <c r="M51" s="147"/>
      <c r="N51" s="147"/>
      <c r="O51" s="147"/>
      <c r="P51" s="147"/>
      <c r="Q51" s="147"/>
      <c r="R51" s="516">
        <f t="shared" si="16"/>
        <v>0</v>
      </c>
      <c r="S51" s="147">
        <f>C51</f>
        <v>0</v>
      </c>
      <c r="T51" s="147">
        <v>0</v>
      </c>
      <c r="U51" s="143"/>
    </row>
    <row r="52" spans="1:21" s="144" customFormat="1">
      <c r="A52" s="145" t="s">
        <v>155</v>
      </c>
      <c r="B52" s="146">
        <f t="shared" si="14"/>
        <v>404967</v>
      </c>
      <c r="C52" s="147">
        <v>404967</v>
      </c>
      <c r="D52" s="147">
        <v>0</v>
      </c>
      <c r="E52" s="147">
        <f t="shared" si="15"/>
        <v>404967</v>
      </c>
      <c r="F52" s="147"/>
      <c r="G52" s="147"/>
      <c r="H52" s="147"/>
      <c r="I52" s="147"/>
      <c r="J52" s="147"/>
      <c r="K52" s="147"/>
      <c r="L52" s="147"/>
      <c r="M52" s="147"/>
      <c r="N52" s="147"/>
      <c r="O52" s="147"/>
      <c r="P52" s="147"/>
      <c r="Q52" s="147"/>
      <c r="R52" s="516">
        <f t="shared" si="16"/>
        <v>404967</v>
      </c>
      <c r="S52" s="147">
        <f>C52</f>
        <v>404967</v>
      </c>
      <c r="T52" s="147">
        <v>0</v>
      </c>
      <c r="U52" s="143"/>
    </row>
    <row r="53" spans="1:21" s="144" customFormat="1" ht="24">
      <c r="A53" s="1149" t="s">
        <v>2743</v>
      </c>
      <c r="B53" s="146">
        <f t="shared" si="14"/>
        <v>239278</v>
      </c>
      <c r="C53" s="147">
        <v>239278</v>
      </c>
      <c r="D53" s="147">
        <v>0</v>
      </c>
      <c r="E53" s="147">
        <f t="shared" si="15"/>
        <v>239278</v>
      </c>
      <c r="F53" s="147"/>
      <c r="G53" s="147"/>
      <c r="H53" s="147"/>
      <c r="I53" s="147"/>
      <c r="J53" s="147"/>
      <c r="K53" s="147"/>
      <c r="L53" s="147"/>
      <c r="M53" s="147"/>
      <c r="N53" s="147"/>
      <c r="O53" s="147"/>
      <c r="P53" s="147"/>
      <c r="Q53" s="147"/>
      <c r="R53" s="516">
        <f t="shared" si="16"/>
        <v>239278</v>
      </c>
      <c r="S53" s="147">
        <f>219049-T53</f>
        <v>35771</v>
      </c>
      <c r="T53" s="147">
        <v>183278</v>
      </c>
      <c r="U53" s="143"/>
    </row>
    <row r="54" spans="1:21" s="153" customFormat="1">
      <c r="A54" s="149" t="s">
        <v>157</v>
      </c>
      <c r="B54" s="150">
        <f>SUM(C54:D54)</f>
        <v>7796481</v>
      </c>
      <c r="C54" s="150">
        <f t="shared" ref="C54:T54" si="17">SUM(C45:C53)</f>
        <v>7796481</v>
      </c>
      <c r="D54" s="150">
        <f t="shared" si="17"/>
        <v>0</v>
      </c>
      <c r="E54" s="150">
        <f t="shared" si="17"/>
        <v>4999732</v>
      </c>
      <c r="F54" s="150">
        <f t="shared" si="17"/>
        <v>0</v>
      </c>
      <c r="G54" s="150">
        <f t="shared" si="17"/>
        <v>0</v>
      </c>
      <c r="H54" s="150">
        <f t="shared" si="17"/>
        <v>2796749</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42">
        <f t="shared" si="17"/>
        <v>7796481</v>
      </c>
      <c r="S54" s="150">
        <f t="shared" si="17"/>
        <v>3318844</v>
      </c>
      <c r="T54" s="150">
        <f t="shared" si="17"/>
        <v>183278</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182580</v>
      </c>
      <c r="C56" s="147">
        <v>182580</v>
      </c>
      <c r="D56" s="147">
        <v>0</v>
      </c>
      <c r="E56" s="147">
        <f t="shared" ref="E56:E61" si="19">B56-SUM(F56:Q56)</f>
        <v>182580</v>
      </c>
      <c r="F56" s="147"/>
      <c r="G56" s="147"/>
      <c r="H56" s="147"/>
      <c r="I56" s="147"/>
      <c r="J56" s="147"/>
      <c r="K56" s="147"/>
      <c r="L56" s="147"/>
      <c r="M56" s="147"/>
      <c r="N56" s="147"/>
      <c r="O56" s="147"/>
      <c r="P56" s="147"/>
      <c r="Q56" s="147"/>
      <c r="R56" s="516">
        <f t="shared" ref="R56:R61" si="20">SUM(E56:Q56)</f>
        <v>182580</v>
      </c>
      <c r="S56" s="148"/>
      <c r="T56" s="148"/>
      <c r="U56" s="143"/>
    </row>
    <row r="57" spans="1:21" s="192" customFormat="1">
      <c r="A57" s="186" t="s">
        <v>152</v>
      </c>
      <c r="B57" s="193">
        <f t="shared" si="18"/>
        <v>0</v>
      </c>
      <c r="C57" s="190">
        <v>0</v>
      </c>
      <c r="D57" s="190">
        <v>0</v>
      </c>
      <c r="E57" s="190">
        <f t="shared" si="19"/>
        <v>0</v>
      </c>
      <c r="F57" s="190"/>
      <c r="G57" s="190"/>
      <c r="H57" s="190"/>
      <c r="I57" s="190"/>
      <c r="J57" s="190"/>
      <c r="K57" s="190"/>
      <c r="L57" s="190"/>
      <c r="M57" s="190"/>
      <c r="N57" s="190"/>
      <c r="O57" s="190"/>
      <c r="P57" s="190"/>
      <c r="Q57" s="190"/>
      <c r="R57" s="516">
        <f t="shared" si="20"/>
        <v>0</v>
      </c>
      <c r="S57" s="194"/>
      <c r="T57" s="194"/>
      <c r="U57" s="191"/>
    </row>
    <row r="58" spans="1:21" s="144" customFormat="1">
      <c r="A58" s="145" t="s">
        <v>156</v>
      </c>
      <c r="B58" s="146">
        <f t="shared" si="18"/>
        <v>15000</v>
      </c>
      <c r="C58" s="147">
        <v>15000</v>
      </c>
      <c r="D58" s="147">
        <v>0</v>
      </c>
      <c r="E58" s="147">
        <f t="shared" si="19"/>
        <v>15000</v>
      </c>
      <c r="F58" s="147"/>
      <c r="G58" s="147"/>
      <c r="H58" s="147"/>
      <c r="I58" s="147"/>
      <c r="J58" s="147"/>
      <c r="K58" s="147"/>
      <c r="L58" s="147"/>
      <c r="M58" s="147"/>
      <c r="N58" s="147"/>
      <c r="O58" s="147"/>
      <c r="P58" s="147"/>
      <c r="Q58" s="147"/>
      <c r="R58" s="516">
        <f t="shared" si="20"/>
        <v>15000</v>
      </c>
      <c r="S58" s="148"/>
      <c r="T58" s="148"/>
      <c r="U58" s="143"/>
    </row>
    <row r="59" spans="1:21" s="144" customFormat="1">
      <c r="A59" s="283" t="s">
        <v>154</v>
      </c>
      <c r="B59" s="146">
        <f t="shared" si="18"/>
        <v>0</v>
      </c>
      <c r="C59" s="147"/>
      <c r="D59" s="147"/>
      <c r="E59" s="147">
        <f t="shared" si="19"/>
        <v>0</v>
      </c>
      <c r="F59" s="147"/>
      <c r="G59" s="147"/>
      <c r="H59" s="147"/>
      <c r="I59" s="147"/>
      <c r="J59" s="147"/>
      <c r="K59" s="147"/>
      <c r="L59" s="147"/>
      <c r="M59" s="147"/>
      <c r="N59" s="147"/>
      <c r="O59" s="147"/>
      <c r="P59" s="147"/>
      <c r="Q59" s="147"/>
      <c r="R59" s="516">
        <f t="shared" si="20"/>
        <v>0</v>
      </c>
      <c r="S59" s="148"/>
      <c r="T59" s="148"/>
      <c r="U59" s="143"/>
    </row>
    <row r="60" spans="1:21" s="144" customFormat="1">
      <c r="A60" s="145" t="s">
        <v>155</v>
      </c>
      <c r="B60" s="146">
        <f t="shared" si="18"/>
        <v>0</v>
      </c>
      <c r="C60" s="147"/>
      <c r="D60" s="147"/>
      <c r="E60" s="147">
        <f t="shared" si="19"/>
        <v>0</v>
      </c>
      <c r="F60" s="147"/>
      <c r="G60" s="147"/>
      <c r="H60" s="147"/>
      <c r="I60" s="147"/>
      <c r="J60" s="147"/>
      <c r="K60" s="147"/>
      <c r="L60" s="147"/>
      <c r="M60" s="147"/>
      <c r="N60" s="147"/>
      <c r="O60" s="147"/>
      <c r="P60" s="147"/>
      <c r="Q60" s="147"/>
      <c r="R60" s="516">
        <f t="shared" si="20"/>
        <v>0</v>
      </c>
      <c r="S60" s="148"/>
      <c r="T60" s="148"/>
      <c r="U60" s="143"/>
    </row>
    <row r="61" spans="1:21" s="144" customFormat="1">
      <c r="A61" s="1149" t="s">
        <v>2744</v>
      </c>
      <c r="B61" s="146">
        <f t="shared" si="18"/>
        <v>15000</v>
      </c>
      <c r="C61" s="147">
        <v>15000</v>
      </c>
      <c r="D61" s="147">
        <v>0</v>
      </c>
      <c r="E61" s="147">
        <f t="shared" si="19"/>
        <v>15000</v>
      </c>
      <c r="F61" s="147"/>
      <c r="G61" s="147"/>
      <c r="H61" s="147"/>
      <c r="I61" s="147"/>
      <c r="J61" s="147"/>
      <c r="K61" s="147"/>
      <c r="L61" s="147"/>
      <c r="M61" s="147"/>
      <c r="N61" s="147"/>
      <c r="O61" s="147"/>
      <c r="P61" s="147"/>
      <c r="Q61" s="147"/>
      <c r="R61" s="516">
        <f t="shared" si="20"/>
        <v>15000</v>
      </c>
      <c r="S61" s="148"/>
      <c r="T61" s="148"/>
      <c r="U61" s="143"/>
    </row>
    <row r="62" spans="1:21" s="144" customFormat="1" ht="13.9" customHeight="1">
      <c r="A62" s="149" t="s">
        <v>301</v>
      </c>
      <c r="B62" s="146">
        <f>SUM(C62:D62)</f>
        <v>212580</v>
      </c>
      <c r="C62" s="146">
        <f t="shared" ref="C62:R62" si="21">SUM(C56:C61)</f>
        <v>212580</v>
      </c>
      <c r="D62" s="146">
        <f t="shared" si="21"/>
        <v>0</v>
      </c>
      <c r="E62" s="146">
        <f t="shared" si="21"/>
        <v>212580</v>
      </c>
      <c r="F62" s="146">
        <f t="shared" si="21"/>
        <v>0</v>
      </c>
      <c r="G62" s="146">
        <f t="shared" si="21"/>
        <v>0</v>
      </c>
      <c r="H62" s="146">
        <f t="shared" si="21"/>
        <v>0</v>
      </c>
      <c r="I62" s="146">
        <f t="shared" si="21"/>
        <v>0</v>
      </c>
      <c r="J62" s="146">
        <f t="shared" si="21"/>
        <v>0</v>
      </c>
      <c r="K62" s="146">
        <f t="shared" si="21"/>
        <v>0</v>
      </c>
      <c r="L62" s="146">
        <f t="shared" si="21"/>
        <v>0</v>
      </c>
      <c r="M62" s="146">
        <f t="shared" si="21"/>
        <v>0</v>
      </c>
      <c r="N62" s="146">
        <f t="shared" si="21"/>
        <v>0</v>
      </c>
      <c r="O62" s="146">
        <f t="shared" si="21"/>
        <v>0</v>
      </c>
      <c r="P62" s="146">
        <f t="shared" si="21"/>
        <v>0</v>
      </c>
      <c r="Q62" s="146">
        <f t="shared" si="21"/>
        <v>0</v>
      </c>
      <c r="R62" s="342">
        <f t="shared" si="21"/>
        <v>212580</v>
      </c>
      <c r="S62" s="148"/>
      <c r="T62" s="148"/>
      <c r="U62" s="143"/>
    </row>
    <row r="63" spans="1:21" s="144" customFormat="1">
      <c r="A63" s="154" t="s">
        <v>302</v>
      </c>
      <c r="B63" s="146">
        <f t="shared" ref="B63:R63" si="22">SUM(B8+B11+B13+B14+B15+B26+B27+B38+B42+B43+B54+B62)</f>
        <v>67419126</v>
      </c>
      <c r="C63" s="146">
        <f t="shared" si="22"/>
        <v>67419126</v>
      </c>
      <c r="D63" s="146">
        <f t="shared" si="22"/>
        <v>0</v>
      </c>
      <c r="E63" s="146">
        <f t="shared" si="22"/>
        <v>17965499</v>
      </c>
      <c r="F63" s="146">
        <f t="shared" si="22"/>
        <v>18258000</v>
      </c>
      <c r="G63" s="146">
        <f t="shared" si="22"/>
        <v>27455593</v>
      </c>
      <c r="H63" s="146">
        <f t="shared" si="22"/>
        <v>2796749</v>
      </c>
      <c r="I63" s="146">
        <f t="shared" si="22"/>
        <v>943285</v>
      </c>
      <c r="J63" s="146">
        <f t="shared" si="22"/>
        <v>0</v>
      </c>
      <c r="K63" s="146">
        <f t="shared" si="22"/>
        <v>0</v>
      </c>
      <c r="L63" s="146">
        <f t="shared" si="22"/>
        <v>0</v>
      </c>
      <c r="M63" s="146">
        <f t="shared" si="22"/>
        <v>0</v>
      </c>
      <c r="N63" s="146">
        <f t="shared" si="22"/>
        <v>0</v>
      </c>
      <c r="O63" s="146">
        <f t="shared" si="22"/>
        <v>0</v>
      </c>
      <c r="P63" s="146">
        <f t="shared" si="22"/>
        <v>0</v>
      </c>
      <c r="Q63" s="146">
        <f t="shared" si="22"/>
        <v>0</v>
      </c>
      <c r="R63" s="342">
        <f t="shared" si="22"/>
        <v>67419126</v>
      </c>
      <c r="S63" s="146">
        <f>SUM(S10+S13+S14+S15+S26+S27+S38+S42+S43+S54)</f>
        <v>21719846</v>
      </c>
      <c r="T63" s="146">
        <f>SUM(T11+T13+T14+T15+T26+T27+T38+T42+T43+T54)</f>
        <v>35466278</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85000</v>
      </c>
      <c r="C65" s="147">
        <v>85000</v>
      </c>
      <c r="D65" s="147">
        <v>0</v>
      </c>
      <c r="E65" s="147">
        <f>B65-SUM(F65:Q65)</f>
        <v>85000</v>
      </c>
      <c r="F65" s="147"/>
      <c r="G65" s="147"/>
      <c r="H65" s="147"/>
      <c r="I65" s="147"/>
      <c r="J65" s="147"/>
      <c r="K65" s="147"/>
      <c r="L65" s="147"/>
      <c r="M65" s="147"/>
      <c r="N65" s="147"/>
      <c r="O65" s="147"/>
      <c r="P65" s="147"/>
      <c r="Q65" s="147"/>
      <c r="R65" s="516">
        <f>SUM(E65:Q65)</f>
        <v>85000</v>
      </c>
      <c r="S65" s="147">
        <v>44713</v>
      </c>
      <c r="T65" s="147">
        <v>0</v>
      </c>
      <c r="U65" s="143"/>
    </row>
    <row r="66" spans="1:21" s="144" customFormat="1" ht="24" customHeight="1">
      <c r="A66" s="283" t="s">
        <v>1640</v>
      </c>
      <c r="B66" s="146">
        <f>SUM(C66+D66)</f>
        <v>0</v>
      </c>
      <c r="C66" s="147"/>
      <c r="D66" s="147"/>
      <c r="E66" s="147">
        <f>B66-SUM(F66:Q66)</f>
        <v>0</v>
      </c>
      <c r="F66" s="147"/>
      <c r="G66" s="147"/>
      <c r="H66" s="147"/>
      <c r="I66" s="147"/>
      <c r="J66" s="147"/>
      <c r="K66" s="147"/>
      <c r="L66" s="147"/>
      <c r="M66" s="147"/>
      <c r="N66" s="147"/>
      <c r="O66" s="147"/>
      <c r="P66" s="147"/>
      <c r="Q66" s="147"/>
      <c r="R66" s="516">
        <f>SUM(E66:Q66)</f>
        <v>0</v>
      </c>
      <c r="S66" s="147">
        <f>C66</f>
        <v>0</v>
      </c>
      <c r="T66" s="147"/>
      <c r="U66" s="143"/>
    </row>
    <row r="67" spans="1:21" s="144" customFormat="1" ht="24" customHeight="1">
      <c r="A67" s="283" t="s">
        <v>1641</v>
      </c>
      <c r="B67" s="146">
        <f>SUM(C67+D67)</f>
        <v>0</v>
      </c>
      <c r="C67" s="147"/>
      <c r="D67" s="147"/>
      <c r="E67" s="147">
        <f>B67-SUM(F67:Q67)</f>
        <v>0</v>
      </c>
      <c r="F67" s="147"/>
      <c r="G67" s="147"/>
      <c r="H67" s="147"/>
      <c r="I67" s="147"/>
      <c r="J67" s="147"/>
      <c r="K67" s="147"/>
      <c r="L67" s="147"/>
      <c r="M67" s="147"/>
      <c r="N67" s="147"/>
      <c r="O67" s="147"/>
      <c r="P67" s="147"/>
      <c r="Q67" s="147"/>
      <c r="R67" s="516">
        <f>SUM(E67:Q67)</f>
        <v>0</v>
      </c>
      <c r="S67" s="147">
        <f>C67</f>
        <v>0</v>
      </c>
      <c r="T67" s="147"/>
      <c r="U67" s="143"/>
    </row>
    <row r="68" spans="1:21" s="144" customFormat="1" ht="12" customHeight="1">
      <c r="A68" s="283" t="s">
        <v>1647</v>
      </c>
      <c r="B68" s="146">
        <f>SUM(C68+D68)</f>
        <v>0</v>
      </c>
      <c r="C68" s="147"/>
      <c r="D68" s="147"/>
      <c r="E68" s="147">
        <f>B68-SUM(F68:Q68)</f>
        <v>0</v>
      </c>
      <c r="F68" s="147"/>
      <c r="G68" s="147"/>
      <c r="H68" s="147"/>
      <c r="I68" s="147"/>
      <c r="J68" s="147"/>
      <c r="K68" s="147"/>
      <c r="L68" s="147"/>
      <c r="M68" s="147"/>
      <c r="N68" s="147"/>
      <c r="O68" s="147"/>
      <c r="P68" s="147"/>
      <c r="Q68" s="147"/>
      <c r="R68" s="516">
        <f>SUM(E68:Q68)</f>
        <v>0</v>
      </c>
      <c r="S68" s="147">
        <f>C68</f>
        <v>0</v>
      </c>
      <c r="T68" s="147"/>
      <c r="U68" s="143"/>
    </row>
    <row r="69" spans="1:21" s="144" customFormat="1">
      <c r="A69" s="1149" t="s">
        <v>2745</v>
      </c>
      <c r="B69" s="146">
        <f>SUM(C69+D69)</f>
        <v>70000</v>
      </c>
      <c r="C69" s="147">
        <v>70000</v>
      </c>
      <c r="D69" s="147">
        <v>0</v>
      </c>
      <c r="E69" s="147">
        <f>B69-SUM(F69:Q69)</f>
        <v>70000</v>
      </c>
      <c r="F69" s="147"/>
      <c r="G69" s="147"/>
      <c r="H69" s="147"/>
      <c r="I69" s="147"/>
      <c r="J69" s="147"/>
      <c r="K69" s="147"/>
      <c r="L69" s="147"/>
      <c r="M69" s="147"/>
      <c r="N69" s="147"/>
      <c r="O69" s="147"/>
      <c r="P69" s="147"/>
      <c r="Q69" s="147"/>
      <c r="R69" s="516">
        <f>SUM(E69:Q69)</f>
        <v>70000</v>
      </c>
      <c r="S69" s="147">
        <v>40000</v>
      </c>
      <c r="T69" s="147">
        <v>0</v>
      </c>
      <c r="U69" s="143"/>
    </row>
    <row r="70" spans="1:21" s="144" customFormat="1">
      <c r="A70" s="149" t="s">
        <v>1644</v>
      </c>
      <c r="B70" s="146">
        <f>SUM(C70:D70)</f>
        <v>155000</v>
      </c>
      <c r="C70" s="146">
        <f>SUM(C65:C69)</f>
        <v>155000</v>
      </c>
      <c r="D70" s="146">
        <f>SUM(D65:D69)</f>
        <v>0</v>
      </c>
      <c r="E70" s="146">
        <f t="shared" ref="E70:T70" si="23">SUM(E65:E69)</f>
        <v>155000</v>
      </c>
      <c r="F70" s="146">
        <f t="shared" si="23"/>
        <v>0</v>
      </c>
      <c r="G70" s="146">
        <f t="shared" si="23"/>
        <v>0</v>
      </c>
      <c r="H70" s="146">
        <f t="shared" si="23"/>
        <v>0</v>
      </c>
      <c r="I70" s="146">
        <f t="shared" si="23"/>
        <v>0</v>
      </c>
      <c r="J70" s="146">
        <f t="shared" si="23"/>
        <v>0</v>
      </c>
      <c r="K70" s="146">
        <f t="shared" si="23"/>
        <v>0</v>
      </c>
      <c r="L70" s="146">
        <f t="shared" si="23"/>
        <v>0</v>
      </c>
      <c r="M70" s="146">
        <f t="shared" si="23"/>
        <v>0</v>
      </c>
      <c r="N70" s="146">
        <f t="shared" si="23"/>
        <v>0</v>
      </c>
      <c r="O70" s="146">
        <f t="shared" si="23"/>
        <v>0</v>
      </c>
      <c r="P70" s="146">
        <f t="shared" si="23"/>
        <v>0</v>
      </c>
      <c r="Q70" s="146">
        <f t="shared" si="23"/>
        <v>0</v>
      </c>
      <c r="R70" s="342">
        <f t="shared" si="23"/>
        <v>155000</v>
      </c>
      <c r="S70" s="150">
        <f t="shared" si="23"/>
        <v>84713</v>
      </c>
      <c r="T70" s="150">
        <f t="shared" si="23"/>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f>B72-SUM(F72:Q72)</f>
        <v>0</v>
      </c>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v>0</v>
      </c>
      <c r="D73" s="147">
        <v>0</v>
      </c>
      <c r="E73" s="147">
        <f>B73-SUM(F73:Q73)</f>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615000</v>
      </c>
      <c r="C74" s="147">
        <v>615000</v>
      </c>
      <c r="D74" s="147">
        <v>0</v>
      </c>
      <c r="E74" s="147">
        <f>B74-SUM(F74:Q74)</f>
        <v>615000</v>
      </c>
      <c r="F74" s="147"/>
      <c r="G74" s="147"/>
      <c r="H74" s="147"/>
      <c r="I74" s="147"/>
      <c r="J74" s="147"/>
      <c r="K74" s="147"/>
      <c r="L74" s="147"/>
      <c r="M74" s="147"/>
      <c r="N74" s="147"/>
      <c r="O74" s="147"/>
      <c r="P74" s="147"/>
      <c r="Q74" s="147"/>
      <c r="R74" s="516">
        <f>SUM(E74:Q74)</f>
        <v>615000</v>
      </c>
      <c r="S74" s="148"/>
      <c r="T74" s="148"/>
      <c r="U74" s="143"/>
    </row>
    <row r="75" spans="1:21" s="144" customFormat="1">
      <c r="A75" s="145" t="s">
        <v>605</v>
      </c>
      <c r="B75" s="146">
        <f>SUM(C75+D75)</f>
        <v>738859</v>
      </c>
      <c r="C75" s="147">
        <v>738859</v>
      </c>
      <c r="D75" s="147">
        <v>0</v>
      </c>
      <c r="E75" s="147">
        <f>B75-SUM(F75:Q75)</f>
        <v>738859</v>
      </c>
      <c r="F75" s="147"/>
      <c r="G75" s="147"/>
      <c r="H75" s="147"/>
      <c r="I75" s="147"/>
      <c r="J75" s="147"/>
      <c r="K75" s="147"/>
      <c r="L75" s="147"/>
      <c r="M75" s="147"/>
      <c r="N75" s="147"/>
      <c r="O75" s="147"/>
      <c r="P75" s="147"/>
      <c r="Q75" s="147"/>
      <c r="R75" s="516">
        <f>SUM(E75:Q75)</f>
        <v>738859</v>
      </c>
      <c r="S75" s="148"/>
      <c r="T75" s="148"/>
      <c r="U75" s="143"/>
    </row>
    <row r="76" spans="1:21" s="144" customFormat="1">
      <c r="A76" s="1149" t="s">
        <v>34</v>
      </c>
      <c r="B76" s="146">
        <f>SUM(C76+D76)</f>
        <v>0</v>
      </c>
      <c r="C76" s="147">
        <v>0</v>
      </c>
      <c r="D76" s="147">
        <v>0</v>
      </c>
      <c r="E76" s="147">
        <f>B76-SUM(F76:Q76)</f>
        <v>0</v>
      </c>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1353859</v>
      </c>
      <c r="C77" s="146">
        <f>SUM(C72:C76)</f>
        <v>1353859</v>
      </c>
      <c r="D77" s="146">
        <f>SUM(D72:D76)</f>
        <v>0</v>
      </c>
      <c r="E77" s="146">
        <f t="shared" ref="E77:Q77" si="24">SUM(E72:E76)</f>
        <v>1353859</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42">
        <f>SUM(R72:R76)</f>
        <v>1353859</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1381847</v>
      </c>
      <c r="C79" s="147">
        <v>1381847</v>
      </c>
      <c r="D79" s="147">
        <v>0</v>
      </c>
      <c r="E79" s="147">
        <f>B79-SUM(F79:Q79)</f>
        <v>1381847</v>
      </c>
      <c r="F79" s="147"/>
      <c r="G79" s="147"/>
      <c r="H79" s="147"/>
      <c r="I79" s="147"/>
      <c r="J79" s="147"/>
      <c r="K79" s="147"/>
      <c r="L79" s="147"/>
      <c r="M79" s="147"/>
      <c r="N79" s="147"/>
      <c r="O79" s="147"/>
      <c r="P79" s="147"/>
      <c r="Q79" s="147"/>
      <c r="R79" s="516">
        <f>SUM(E79:Q79)</f>
        <v>1381847</v>
      </c>
      <c r="S79" s="147">
        <f>C79</f>
        <v>1381847</v>
      </c>
      <c r="T79" s="147">
        <v>0</v>
      </c>
      <c r="U79" s="143"/>
    </row>
    <row r="80" spans="1:21" s="144" customFormat="1">
      <c r="A80" s="283" t="s">
        <v>58</v>
      </c>
      <c r="B80" s="146">
        <f>SUM(C80:D80)</f>
        <v>178322</v>
      </c>
      <c r="C80" s="147">
        <v>178322</v>
      </c>
      <c r="D80" s="147">
        <v>0</v>
      </c>
      <c r="E80" s="147">
        <f>B80-SUM(F80:Q80)</f>
        <v>178322</v>
      </c>
      <c r="F80" s="147"/>
      <c r="G80" s="147"/>
      <c r="H80" s="147"/>
      <c r="I80" s="147"/>
      <c r="J80" s="147"/>
      <c r="K80" s="147"/>
      <c r="L80" s="147"/>
      <c r="M80" s="147"/>
      <c r="N80" s="147"/>
      <c r="O80" s="147"/>
      <c r="P80" s="147"/>
      <c r="Q80" s="147"/>
      <c r="R80" s="516">
        <f>SUM(E80:Q80)</f>
        <v>178322</v>
      </c>
      <c r="S80" s="147">
        <f>C80</f>
        <v>178322</v>
      </c>
      <c r="T80" s="147">
        <v>0</v>
      </c>
      <c r="U80" s="143"/>
    </row>
    <row r="81" spans="1:21" s="144" customFormat="1">
      <c r="A81" s="149" t="s">
        <v>1208</v>
      </c>
      <c r="B81" s="146">
        <f>SUM(C81:D81)</f>
        <v>1560169</v>
      </c>
      <c r="C81" s="509">
        <f>SUM(C79:C80)</f>
        <v>1560169</v>
      </c>
      <c r="D81" s="509">
        <f t="shared" ref="D81:T81" si="25">SUM(D79:D80)</f>
        <v>0</v>
      </c>
      <c r="E81" s="509">
        <f t="shared" si="25"/>
        <v>1560169</v>
      </c>
      <c r="F81" s="509">
        <f t="shared" si="25"/>
        <v>0</v>
      </c>
      <c r="G81" s="509">
        <f t="shared" si="25"/>
        <v>0</v>
      </c>
      <c r="H81" s="509">
        <f t="shared" si="25"/>
        <v>0</v>
      </c>
      <c r="I81" s="509">
        <f t="shared" si="25"/>
        <v>0</v>
      </c>
      <c r="J81" s="509">
        <f t="shared" si="25"/>
        <v>0</v>
      </c>
      <c r="K81" s="509">
        <f t="shared" si="25"/>
        <v>0</v>
      </c>
      <c r="L81" s="509">
        <f t="shared" si="25"/>
        <v>0</v>
      </c>
      <c r="M81" s="509">
        <f t="shared" si="25"/>
        <v>0</v>
      </c>
      <c r="N81" s="509">
        <f t="shared" si="25"/>
        <v>0</v>
      </c>
      <c r="O81" s="509">
        <f t="shared" si="25"/>
        <v>0</v>
      </c>
      <c r="P81" s="509">
        <f t="shared" si="25"/>
        <v>0</v>
      </c>
      <c r="Q81" s="509">
        <f t="shared" si="25"/>
        <v>0</v>
      </c>
      <c r="R81" s="509">
        <f t="shared" si="25"/>
        <v>1560169</v>
      </c>
      <c r="S81" s="509">
        <f t="shared" si="25"/>
        <v>1560169</v>
      </c>
      <c r="T81" s="509">
        <f t="shared" si="25"/>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2093</v>
      </c>
      <c r="B83" s="146">
        <f t="shared" ref="B83:B95" si="26">SUM(C83+D83)</f>
        <v>132339</v>
      </c>
      <c r="C83" s="147">
        <v>132339</v>
      </c>
      <c r="D83" s="147">
        <v>0</v>
      </c>
      <c r="E83" s="147">
        <f t="shared" ref="E83:E95" si="27">B83-SUM(F83:Q83)</f>
        <v>132339</v>
      </c>
      <c r="F83" s="147"/>
      <c r="G83" s="147"/>
      <c r="H83" s="147"/>
      <c r="I83" s="147"/>
      <c r="J83" s="147"/>
      <c r="K83" s="147"/>
      <c r="L83" s="147"/>
      <c r="M83" s="147"/>
      <c r="N83" s="147"/>
      <c r="O83" s="147"/>
      <c r="P83" s="147"/>
      <c r="Q83" s="147"/>
      <c r="R83" s="516">
        <f t="shared" ref="R83:R95" si="28">SUM(E83:Q83)</f>
        <v>132339</v>
      </c>
      <c r="S83" s="148"/>
      <c r="T83" s="148"/>
      <c r="U83" s="143"/>
    </row>
    <row r="84" spans="1:21" s="144" customFormat="1">
      <c r="A84" s="145" t="s">
        <v>767</v>
      </c>
      <c r="B84" s="146">
        <f t="shared" si="26"/>
        <v>72500</v>
      </c>
      <c r="C84" s="147">
        <v>72500</v>
      </c>
      <c r="D84" s="147">
        <v>0</v>
      </c>
      <c r="E84" s="147">
        <f t="shared" si="27"/>
        <v>72500</v>
      </c>
      <c r="F84" s="147"/>
      <c r="G84" s="147"/>
      <c r="H84" s="147"/>
      <c r="I84" s="147"/>
      <c r="J84" s="147"/>
      <c r="K84" s="147"/>
      <c r="L84" s="147"/>
      <c r="M84" s="147"/>
      <c r="N84" s="147"/>
      <c r="O84" s="147"/>
      <c r="P84" s="147"/>
      <c r="Q84" s="147"/>
      <c r="R84" s="516">
        <f t="shared" si="28"/>
        <v>72500</v>
      </c>
      <c r="S84" s="147">
        <f>C84</f>
        <v>72500</v>
      </c>
      <c r="T84" s="147">
        <v>0</v>
      </c>
      <c r="U84" s="143"/>
    </row>
    <row r="85" spans="1:21" s="144" customFormat="1">
      <c r="A85" s="145" t="s">
        <v>768</v>
      </c>
      <c r="B85" s="146">
        <f t="shared" si="26"/>
        <v>0</v>
      </c>
      <c r="C85" s="147">
        <v>0</v>
      </c>
      <c r="D85" s="147">
        <v>0</v>
      </c>
      <c r="E85" s="147">
        <f t="shared" si="27"/>
        <v>0</v>
      </c>
      <c r="F85" s="147"/>
      <c r="G85" s="147"/>
      <c r="H85" s="147"/>
      <c r="I85" s="147"/>
      <c r="J85" s="147"/>
      <c r="K85" s="147"/>
      <c r="L85" s="147"/>
      <c r="M85" s="147"/>
      <c r="N85" s="147"/>
      <c r="O85" s="147"/>
      <c r="P85" s="147"/>
      <c r="Q85" s="147"/>
      <c r="R85" s="516">
        <f t="shared" si="28"/>
        <v>0</v>
      </c>
      <c r="S85" s="147">
        <f>C85</f>
        <v>0</v>
      </c>
      <c r="T85" s="147">
        <v>0</v>
      </c>
      <c r="U85" s="143"/>
    </row>
    <row r="86" spans="1:21" s="144" customFormat="1">
      <c r="A86" s="145" t="s">
        <v>769</v>
      </c>
      <c r="B86" s="146">
        <f t="shared" si="26"/>
        <v>217500</v>
      </c>
      <c r="C86" s="147">
        <v>217500</v>
      </c>
      <c r="D86" s="147">
        <v>0</v>
      </c>
      <c r="E86" s="147">
        <f t="shared" si="27"/>
        <v>217500</v>
      </c>
      <c r="F86" s="147"/>
      <c r="G86" s="147"/>
      <c r="H86" s="147"/>
      <c r="I86" s="147"/>
      <c r="J86" s="147"/>
      <c r="K86" s="147"/>
      <c r="L86" s="147"/>
      <c r="M86" s="147"/>
      <c r="N86" s="147"/>
      <c r="O86" s="147"/>
      <c r="P86" s="147"/>
      <c r="Q86" s="147"/>
      <c r="R86" s="516">
        <f t="shared" si="28"/>
        <v>217500</v>
      </c>
      <c r="S86" s="147">
        <f>C86</f>
        <v>217500</v>
      </c>
      <c r="T86" s="147">
        <v>0</v>
      </c>
      <c r="U86" s="143"/>
    </row>
    <row r="87" spans="1:21" s="144" customFormat="1">
      <c r="A87" s="145" t="s">
        <v>770</v>
      </c>
      <c r="B87" s="146">
        <f t="shared" si="26"/>
        <v>0</v>
      </c>
      <c r="C87" s="147">
        <v>0</v>
      </c>
      <c r="D87" s="147">
        <v>0</v>
      </c>
      <c r="E87" s="147">
        <f t="shared" si="27"/>
        <v>0</v>
      </c>
      <c r="F87" s="147"/>
      <c r="G87" s="147"/>
      <c r="H87" s="147"/>
      <c r="I87" s="147"/>
      <c r="J87" s="147"/>
      <c r="K87" s="147"/>
      <c r="L87" s="147"/>
      <c r="M87" s="147"/>
      <c r="N87" s="147"/>
      <c r="O87" s="147"/>
      <c r="P87" s="147"/>
      <c r="Q87" s="147"/>
      <c r="R87" s="516">
        <f t="shared" si="28"/>
        <v>0</v>
      </c>
      <c r="S87" s="147">
        <f>C87</f>
        <v>0</v>
      </c>
      <c r="T87" s="147">
        <v>0</v>
      </c>
      <c r="U87" s="143"/>
    </row>
    <row r="88" spans="1:21" s="144" customFormat="1">
      <c r="A88" s="145" t="s">
        <v>771</v>
      </c>
      <c r="B88" s="146">
        <f t="shared" si="26"/>
        <v>0</v>
      </c>
      <c r="C88" s="147">
        <v>0</v>
      </c>
      <c r="D88" s="147">
        <v>0</v>
      </c>
      <c r="E88" s="147">
        <f t="shared" si="27"/>
        <v>0</v>
      </c>
      <c r="F88" s="147"/>
      <c r="G88" s="147"/>
      <c r="H88" s="147"/>
      <c r="I88" s="147"/>
      <c r="J88" s="147"/>
      <c r="K88" s="147"/>
      <c r="L88" s="147"/>
      <c r="M88" s="147"/>
      <c r="N88" s="147"/>
      <c r="O88" s="147"/>
      <c r="P88" s="147"/>
      <c r="Q88" s="147"/>
      <c r="R88" s="516">
        <f t="shared" si="28"/>
        <v>0</v>
      </c>
      <c r="S88" s="148"/>
      <c r="T88" s="148"/>
      <c r="U88" s="143"/>
    </row>
    <row r="89" spans="1:21" s="144" customFormat="1">
      <c r="A89" s="145" t="s">
        <v>772</v>
      </c>
      <c r="B89" s="146">
        <f t="shared" si="26"/>
        <v>0</v>
      </c>
      <c r="C89" s="147">
        <v>0</v>
      </c>
      <c r="D89" s="147">
        <v>0</v>
      </c>
      <c r="E89" s="147">
        <f t="shared" si="27"/>
        <v>0</v>
      </c>
      <c r="F89" s="147"/>
      <c r="G89" s="147"/>
      <c r="H89" s="147"/>
      <c r="I89" s="147"/>
      <c r="J89" s="147"/>
      <c r="K89" s="147"/>
      <c r="L89" s="147"/>
      <c r="M89" s="147"/>
      <c r="N89" s="147"/>
      <c r="O89" s="147"/>
      <c r="P89" s="147"/>
      <c r="Q89" s="147"/>
      <c r="R89" s="516">
        <f t="shared" si="28"/>
        <v>0</v>
      </c>
      <c r="S89" s="147">
        <f>C89</f>
        <v>0</v>
      </c>
      <c r="T89" s="147">
        <v>0</v>
      </c>
      <c r="U89" s="143"/>
    </row>
    <row r="90" spans="1:21" s="144" customFormat="1">
      <c r="A90" s="145" t="s">
        <v>773</v>
      </c>
      <c r="B90" s="146">
        <f t="shared" si="26"/>
        <v>6500</v>
      </c>
      <c r="C90" s="147">
        <v>6500</v>
      </c>
      <c r="D90" s="147">
        <v>0</v>
      </c>
      <c r="E90" s="147">
        <f t="shared" si="27"/>
        <v>6500</v>
      </c>
      <c r="F90" s="147"/>
      <c r="G90" s="147"/>
      <c r="H90" s="147"/>
      <c r="I90" s="147"/>
      <c r="J90" s="147"/>
      <c r="K90" s="147"/>
      <c r="L90" s="147"/>
      <c r="M90" s="147"/>
      <c r="N90" s="147"/>
      <c r="O90" s="147"/>
      <c r="P90" s="147"/>
      <c r="Q90" s="147"/>
      <c r="R90" s="516">
        <f t="shared" si="28"/>
        <v>6500</v>
      </c>
      <c r="S90" s="147">
        <v>0</v>
      </c>
      <c r="T90" s="147">
        <v>0</v>
      </c>
      <c r="U90" s="143"/>
    </row>
    <row r="91" spans="1:21" s="144" customFormat="1">
      <c r="A91" s="145" t="s">
        <v>372</v>
      </c>
      <c r="B91" s="146">
        <f t="shared" si="26"/>
        <v>0</v>
      </c>
      <c r="C91" s="147">
        <v>0</v>
      </c>
      <c r="D91" s="147">
        <v>0</v>
      </c>
      <c r="E91" s="147">
        <f t="shared" si="27"/>
        <v>0</v>
      </c>
      <c r="F91" s="147"/>
      <c r="G91" s="147"/>
      <c r="H91" s="147"/>
      <c r="I91" s="147"/>
      <c r="J91" s="147"/>
      <c r="K91" s="147"/>
      <c r="L91" s="147"/>
      <c r="M91" s="147"/>
      <c r="N91" s="147"/>
      <c r="O91" s="147"/>
      <c r="P91" s="147"/>
      <c r="Q91" s="147"/>
      <c r="R91" s="516">
        <f t="shared" si="28"/>
        <v>0</v>
      </c>
      <c r="S91" s="147">
        <f>C91</f>
        <v>0</v>
      </c>
      <c r="T91" s="147">
        <v>0</v>
      </c>
      <c r="U91" s="143"/>
    </row>
    <row r="92" spans="1:21" s="144" customFormat="1">
      <c r="A92" s="283" t="s">
        <v>1210</v>
      </c>
      <c r="B92" s="146">
        <f t="shared" si="26"/>
        <v>7500</v>
      </c>
      <c r="C92" s="147">
        <v>7500</v>
      </c>
      <c r="D92" s="147">
        <v>0</v>
      </c>
      <c r="E92" s="147">
        <f t="shared" si="27"/>
        <v>7500</v>
      </c>
      <c r="F92" s="147"/>
      <c r="G92" s="147"/>
      <c r="H92" s="147"/>
      <c r="I92" s="147"/>
      <c r="J92" s="147"/>
      <c r="K92" s="147"/>
      <c r="L92" s="147"/>
      <c r="M92" s="147"/>
      <c r="N92" s="147"/>
      <c r="O92" s="147"/>
      <c r="P92" s="147"/>
      <c r="Q92" s="147"/>
      <c r="R92" s="516">
        <f t="shared" si="28"/>
        <v>7500</v>
      </c>
      <c r="S92" s="147">
        <f>C92</f>
        <v>7500</v>
      </c>
      <c r="T92" s="147">
        <v>0</v>
      </c>
      <c r="U92" s="143"/>
    </row>
    <row r="93" spans="1:21" s="144" customFormat="1">
      <c r="A93" s="1149" t="s">
        <v>2741</v>
      </c>
      <c r="B93" s="146">
        <f t="shared" si="26"/>
        <v>116000</v>
      </c>
      <c r="C93" s="147">
        <v>116000</v>
      </c>
      <c r="D93" s="147">
        <v>0</v>
      </c>
      <c r="E93" s="147">
        <f t="shared" si="27"/>
        <v>116000</v>
      </c>
      <c r="F93" s="147"/>
      <c r="G93" s="147"/>
      <c r="H93" s="147"/>
      <c r="I93" s="147"/>
      <c r="J93" s="147"/>
      <c r="K93" s="147"/>
      <c r="L93" s="147"/>
      <c r="M93" s="147"/>
      <c r="N93" s="147"/>
      <c r="O93" s="147"/>
      <c r="P93" s="147"/>
      <c r="Q93" s="147"/>
      <c r="R93" s="516">
        <f t="shared" si="28"/>
        <v>116000</v>
      </c>
      <c r="S93" s="147">
        <f>C93</f>
        <v>116000</v>
      </c>
      <c r="T93" s="147">
        <v>0</v>
      </c>
      <c r="U93" s="143"/>
    </row>
    <row r="94" spans="1:21" s="144" customFormat="1">
      <c r="A94" s="1149" t="s">
        <v>2732</v>
      </c>
      <c r="B94" s="146">
        <f t="shared" si="26"/>
        <v>55937</v>
      </c>
      <c r="C94" s="147">
        <f>55937</f>
        <v>55937</v>
      </c>
      <c r="D94" s="147">
        <v>0</v>
      </c>
      <c r="E94" s="147">
        <f t="shared" si="27"/>
        <v>55937</v>
      </c>
      <c r="F94" s="147"/>
      <c r="G94" s="147"/>
      <c r="H94" s="147"/>
      <c r="I94" s="147"/>
      <c r="J94" s="147"/>
      <c r="K94" s="147"/>
      <c r="L94" s="147"/>
      <c r="M94" s="147"/>
      <c r="N94" s="147"/>
      <c r="O94" s="147"/>
      <c r="P94" s="147"/>
      <c r="Q94" s="147"/>
      <c r="R94" s="516">
        <f t="shared" si="28"/>
        <v>55937</v>
      </c>
      <c r="S94" s="147">
        <f>C94*0</f>
        <v>0</v>
      </c>
      <c r="T94" s="147">
        <f>C94</f>
        <v>55937</v>
      </c>
      <c r="U94" s="143"/>
    </row>
    <row r="95" spans="1:21" s="144" customFormat="1">
      <c r="A95" s="1149" t="s">
        <v>34</v>
      </c>
      <c r="B95" s="146">
        <f t="shared" si="26"/>
        <v>0</v>
      </c>
      <c r="C95" s="147">
        <v>0</v>
      </c>
      <c r="D95" s="147">
        <v>0</v>
      </c>
      <c r="E95" s="147">
        <f t="shared" si="27"/>
        <v>0</v>
      </c>
      <c r="F95" s="147"/>
      <c r="G95" s="147"/>
      <c r="H95" s="147"/>
      <c r="I95" s="147"/>
      <c r="J95" s="147"/>
      <c r="K95" s="147"/>
      <c r="L95" s="147"/>
      <c r="M95" s="147"/>
      <c r="N95" s="147"/>
      <c r="O95" s="147"/>
      <c r="P95" s="147"/>
      <c r="Q95" s="147"/>
      <c r="R95" s="516">
        <f t="shared" si="28"/>
        <v>0</v>
      </c>
      <c r="S95" s="147">
        <f>C95</f>
        <v>0</v>
      </c>
      <c r="T95" s="147">
        <v>0</v>
      </c>
      <c r="U95" s="143"/>
    </row>
    <row r="96" spans="1:21" s="144" customFormat="1">
      <c r="A96" s="149" t="s">
        <v>774</v>
      </c>
      <c r="B96" s="146">
        <f>SUM(C96:D96)</f>
        <v>608276</v>
      </c>
      <c r="C96" s="146">
        <f t="shared" ref="C96:R96" si="29">SUM(C83:C95)</f>
        <v>608276</v>
      </c>
      <c r="D96" s="146">
        <f t="shared" si="29"/>
        <v>0</v>
      </c>
      <c r="E96" s="146">
        <f t="shared" si="29"/>
        <v>608276</v>
      </c>
      <c r="F96" s="146">
        <f t="shared" si="29"/>
        <v>0</v>
      </c>
      <c r="G96" s="146">
        <f t="shared" si="29"/>
        <v>0</v>
      </c>
      <c r="H96" s="146">
        <f t="shared" si="29"/>
        <v>0</v>
      </c>
      <c r="I96" s="146">
        <f t="shared" si="29"/>
        <v>0</v>
      </c>
      <c r="J96" s="146">
        <f t="shared" si="29"/>
        <v>0</v>
      </c>
      <c r="K96" s="146">
        <f t="shared" si="29"/>
        <v>0</v>
      </c>
      <c r="L96" s="146">
        <f t="shared" si="29"/>
        <v>0</v>
      </c>
      <c r="M96" s="146">
        <f t="shared" si="29"/>
        <v>0</v>
      </c>
      <c r="N96" s="146">
        <f t="shared" si="29"/>
        <v>0</v>
      </c>
      <c r="O96" s="146">
        <f t="shared" si="29"/>
        <v>0</v>
      </c>
      <c r="P96" s="146">
        <f t="shared" si="29"/>
        <v>0</v>
      </c>
      <c r="Q96" s="146">
        <f t="shared" si="29"/>
        <v>0</v>
      </c>
      <c r="R96" s="342">
        <f t="shared" si="29"/>
        <v>608276</v>
      </c>
      <c r="S96" s="150">
        <f>SUM(S84:S87,S89:S95)</f>
        <v>413500</v>
      </c>
      <c r="T96" s="146">
        <f>SUM(T84:T87,T89:T95)</f>
        <v>55937</v>
      </c>
      <c r="U96" s="143"/>
    </row>
    <row r="97" spans="1:21" s="144" customFormat="1">
      <c r="A97" s="149" t="s">
        <v>775</v>
      </c>
      <c r="B97" s="146">
        <f>SUM(C97:D97)</f>
        <v>71096430</v>
      </c>
      <c r="C97" s="146">
        <f t="shared" ref="C97:R97" si="30">SUM(C63+C70+C77+C81+C96)</f>
        <v>71096430</v>
      </c>
      <c r="D97" s="146">
        <f t="shared" si="30"/>
        <v>0</v>
      </c>
      <c r="E97" s="146">
        <f t="shared" si="30"/>
        <v>21642803</v>
      </c>
      <c r="F97" s="146">
        <f t="shared" si="30"/>
        <v>18258000</v>
      </c>
      <c r="G97" s="146">
        <f t="shared" si="30"/>
        <v>27455593</v>
      </c>
      <c r="H97" s="146">
        <f t="shared" si="30"/>
        <v>2796749</v>
      </c>
      <c r="I97" s="146">
        <f t="shared" si="30"/>
        <v>943285</v>
      </c>
      <c r="J97" s="146">
        <f t="shared" si="30"/>
        <v>0</v>
      </c>
      <c r="K97" s="146">
        <f t="shared" si="30"/>
        <v>0</v>
      </c>
      <c r="L97" s="146">
        <f t="shared" si="30"/>
        <v>0</v>
      </c>
      <c r="M97" s="146">
        <f t="shared" si="30"/>
        <v>0</v>
      </c>
      <c r="N97" s="146">
        <f t="shared" si="30"/>
        <v>0</v>
      </c>
      <c r="O97" s="146">
        <f t="shared" si="30"/>
        <v>0</v>
      </c>
      <c r="P97" s="146">
        <f t="shared" si="30"/>
        <v>0</v>
      </c>
      <c r="Q97" s="146">
        <f t="shared" si="30"/>
        <v>0</v>
      </c>
      <c r="R97" s="146">
        <f t="shared" si="30"/>
        <v>71096430</v>
      </c>
      <c r="S97" s="146">
        <f>SUM(S63+S70+S81+S96)</f>
        <v>23778228</v>
      </c>
      <c r="T97" s="146">
        <f>SUM(T63+T70+T81+T96)</f>
        <v>35522215</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5342844</v>
      </c>
      <c r="C99" s="979">
        <v>5342844</v>
      </c>
      <c r="D99" s="979">
        <v>0</v>
      </c>
      <c r="E99" s="979">
        <f>B99-SUM(F99:Q99)</f>
        <v>2905350</v>
      </c>
      <c r="F99" s="147"/>
      <c r="G99" s="147"/>
      <c r="H99" s="147"/>
      <c r="I99" s="147"/>
      <c r="J99" s="147">
        <f>ROUND(Application!AO631,0)</f>
        <v>2437494</v>
      </c>
      <c r="K99" s="147"/>
      <c r="L99" s="147"/>
      <c r="M99" s="147"/>
      <c r="N99" s="147"/>
      <c r="O99" s="147"/>
      <c r="P99" s="147"/>
      <c r="Q99" s="147"/>
      <c r="R99" s="516">
        <f>SUM(E99:Q99)</f>
        <v>5342844</v>
      </c>
      <c r="S99" s="147">
        <v>3566734</v>
      </c>
      <c r="T99" s="147">
        <v>1776110</v>
      </c>
      <c r="U99" s="143"/>
    </row>
    <row r="100" spans="1:21" s="144" customFormat="1">
      <c r="A100" s="283" t="s">
        <v>1645</v>
      </c>
      <c r="B100" s="146">
        <f>SUM(C100+D100)</f>
        <v>0</v>
      </c>
      <c r="C100" s="147"/>
      <c r="D100" s="147"/>
      <c r="E100" s="147">
        <f>B100-SUM(F100:Q100)</f>
        <v>0</v>
      </c>
      <c r="F100" s="147"/>
      <c r="G100" s="147"/>
      <c r="H100" s="147"/>
      <c r="I100" s="147"/>
      <c r="J100" s="147"/>
      <c r="K100" s="147"/>
      <c r="L100" s="147"/>
      <c r="M100" s="147"/>
      <c r="N100" s="147"/>
      <c r="O100" s="147"/>
      <c r="P100" s="147"/>
      <c r="Q100" s="147"/>
      <c r="R100" s="516">
        <f>SUM(E100:Q100)</f>
        <v>0</v>
      </c>
      <c r="S100" s="147">
        <f>C100</f>
        <v>0</v>
      </c>
      <c r="T100" s="147"/>
      <c r="U100" s="143"/>
    </row>
    <row r="101" spans="1:21" s="144" customFormat="1" ht="12" customHeight="1">
      <c r="A101" s="145" t="s">
        <v>778</v>
      </c>
      <c r="B101" s="146">
        <f>SUM(C101+D101)</f>
        <v>0</v>
      </c>
      <c r="C101" s="147"/>
      <c r="D101" s="147"/>
      <c r="E101" s="147">
        <f>B101-SUM(F101:Q101)</f>
        <v>0</v>
      </c>
      <c r="F101" s="147"/>
      <c r="G101" s="147"/>
      <c r="H101" s="147"/>
      <c r="I101" s="147"/>
      <c r="J101" s="147"/>
      <c r="K101" s="147"/>
      <c r="L101" s="147"/>
      <c r="M101" s="147"/>
      <c r="N101" s="147"/>
      <c r="O101" s="147"/>
      <c r="P101" s="147"/>
      <c r="Q101" s="147"/>
      <c r="R101" s="516">
        <f>SUM(E101:Q101)</f>
        <v>0</v>
      </c>
      <c r="S101" s="147">
        <f>C101</f>
        <v>0</v>
      </c>
      <c r="T101" s="147"/>
      <c r="U101" s="143"/>
    </row>
    <row r="102" spans="1:21" s="144" customFormat="1">
      <c r="A102" s="283" t="s">
        <v>1646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5342844</v>
      </c>
      <c r="C104" s="146">
        <f>SUM(C99:C103)</f>
        <v>5342844</v>
      </c>
      <c r="D104" s="146">
        <f t="shared" ref="D104:T104" si="31">SUM(D99:D103)</f>
        <v>0</v>
      </c>
      <c r="E104" s="146">
        <f t="shared" si="31"/>
        <v>2905350</v>
      </c>
      <c r="F104" s="146">
        <f t="shared" si="31"/>
        <v>0</v>
      </c>
      <c r="G104" s="146">
        <f t="shared" si="31"/>
        <v>0</v>
      </c>
      <c r="H104" s="146">
        <f t="shared" si="31"/>
        <v>0</v>
      </c>
      <c r="I104" s="146">
        <f t="shared" si="31"/>
        <v>0</v>
      </c>
      <c r="J104" s="146">
        <f t="shared" si="31"/>
        <v>2437494</v>
      </c>
      <c r="K104" s="146">
        <f t="shared" si="31"/>
        <v>0</v>
      </c>
      <c r="L104" s="146">
        <f t="shared" si="31"/>
        <v>0</v>
      </c>
      <c r="M104" s="146">
        <f t="shared" si="31"/>
        <v>0</v>
      </c>
      <c r="N104" s="146">
        <f t="shared" si="31"/>
        <v>0</v>
      </c>
      <c r="O104" s="146">
        <f t="shared" si="31"/>
        <v>0</v>
      </c>
      <c r="P104" s="146">
        <f t="shared" si="31"/>
        <v>0</v>
      </c>
      <c r="Q104" s="146">
        <f t="shared" si="31"/>
        <v>0</v>
      </c>
      <c r="R104" s="342">
        <f t="shared" si="31"/>
        <v>5342844</v>
      </c>
      <c r="S104" s="150">
        <f t="shared" si="31"/>
        <v>3566734</v>
      </c>
      <c r="T104" s="150">
        <f t="shared" si="31"/>
        <v>1776110</v>
      </c>
      <c r="U104" s="143"/>
    </row>
    <row r="105" spans="1:21" s="144" customFormat="1">
      <c r="A105" s="149" t="s">
        <v>780</v>
      </c>
      <c r="B105" s="150">
        <f>SUM(C105:D105)</f>
        <v>76439274</v>
      </c>
      <c r="C105" s="150">
        <f t="shared" ref="C105:R105" si="32">SUM(C97+C104)</f>
        <v>76439274</v>
      </c>
      <c r="D105" s="150">
        <f t="shared" si="32"/>
        <v>0</v>
      </c>
      <c r="E105" s="150">
        <f t="shared" si="32"/>
        <v>24548153</v>
      </c>
      <c r="F105" s="150">
        <f t="shared" si="32"/>
        <v>18258000</v>
      </c>
      <c r="G105" s="150">
        <f t="shared" si="32"/>
        <v>27455593</v>
      </c>
      <c r="H105" s="150">
        <f t="shared" si="32"/>
        <v>2796749</v>
      </c>
      <c r="I105" s="150">
        <f t="shared" si="32"/>
        <v>943285</v>
      </c>
      <c r="J105" s="150">
        <f t="shared" si="32"/>
        <v>2437494</v>
      </c>
      <c r="K105" s="150">
        <f t="shared" si="32"/>
        <v>0</v>
      </c>
      <c r="L105" s="150">
        <f t="shared" si="32"/>
        <v>0</v>
      </c>
      <c r="M105" s="150">
        <f t="shared" si="32"/>
        <v>0</v>
      </c>
      <c r="N105" s="150">
        <f t="shared" si="32"/>
        <v>0</v>
      </c>
      <c r="O105" s="150">
        <f t="shared" si="32"/>
        <v>0</v>
      </c>
      <c r="P105" s="150">
        <f t="shared" si="32"/>
        <v>0</v>
      </c>
      <c r="Q105" s="150">
        <f t="shared" si="32"/>
        <v>0</v>
      </c>
      <c r="R105" s="342">
        <f t="shared" si="32"/>
        <v>76439274</v>
      </c>
      <c r="S105" s="150">
        <f>S97+S104</f>
        <v>27344962</v>
      </c>
      <c r="T105" s="150">
        <f>T97+T104</f>
        <v>37298325</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27344962</v>
      </c>
      <c r="T107" s="150">
        <f>T105+T106</f>
        <v>37298325</v>
      </c>
    </row>
    <row r="108" spans="1:21" s="189" customFormat="1">
      <c r="A108" s="162" t="s">
        <v>879</v>
      </c>
      <c r="B108" s="157"/>
      <c r="C108" s="157"/>
      <c r="D108" s="157"/>
      <c r="E108" s="301">
        <f>Application!AO640</f>
        <v>24548153</v>
      </c>
      <c r="F108" s="301">
        <f>Application!AO627</f>
        <v>18258000</v>
      </c>
      <c r="G108" s="301">
        <f>Application!AO628</f>
        <v>27455593</v>
      </c>
      <c r="H108" s="301">
        <f>Application!AO629</f>
        <v>2796749</v>
      </c>
      <c r="I108" s="301">
        <f>Application!AO630</f>
        <v>943285</v>
      </c>
      <c r="J108" s="301">
        <f>Application!AO631</f>
        <v>2437494</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991</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992</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7109375" style="393" customWidth="1"/>
    <col min="7" max="9" width="12.140625" style="393" customWidth="1"/>
    <col min="10" max="10" width="12.140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140625" style="393" hidden="1" customWidth="1"/>
    <col min="260" max="260" width="12.7109375" style="393" hidden="1" customWidth="1"/>
    <col min="261" max="266" width="12.140625" style="393" hidden="1" customWidth="1"/>
    <col min="267" max="277" width="8.7109375" style="393" hidden="1" customWidth="1"/>
    <col min="278" max="512" width="8.7109375" style="393" hidden="1"/>
    <col min="513" max="513" width="32.7109375" style="393" hidden="1" customWidth="1"/>
    <col min="514" max="515" width="12.140625" style="393" hidden="1" customWidth="1"/>
    <col min="516" max="516" width="12.7109375" style="393" hidden="1" customWidth="1"/>
    <col min="517" max="522" width="12.140625" style="393" hidden="1" customWidth="1"/>
    <col min="523" max="533" width="8.7109375" style="393" hidden="1" customWidth="1"/>
    <col min="534" max="768" width="8.7109375" style="393" hidden="1"/>
    <col min="769" max="769" width="32.7109375" style="393" hidden="1" customWidth="1"/>
    <col min="770" max="771" width="12.140625" style="393" hidden="1" customWidth="1"/>
    <col min="772" max="772" width="12.7109375" style="393" hidden="1" customWidth="1"/>
    <col min="773" max="778" width="12.140625" style="393" hidden="1" customWidth="1"/>
    <col min="779" max="789" width="8.7109375" style="393" hidden="1" customWidth="1"/>
    <col min="790" max="1024" width="8.7109375" style="393" hidden="1"/>
    <col min="1025" max="1025" width="32.7109375" style="393" hidden="1" customWidth="1"/>
    <col min="1026" max="1027" width="12.140625" style="393" hidden="1" customWidth="1"/>
    <col min="1028" max="1028" width="12.7109375" style="393" hidden="1" customWidth="1"/>
    <col min="1029" max="1034" width="12.140625" style="393" hidden="1" customWidth="1"/>
    <col min="1035" max="1045" width="8.7109375" style="393" hidden="1" customWidth="1"/>
    <col min="1046" max="1280" width="8.7109375" style="393" hidden="1"/>
    <col min="1281" max="1281" width="32.7109375" style="393" hidden="1" customWidth="1"/>
    <col min="1282" max="1283" width="12.140625" style="393" hidden="1" customWidth="1"/>
    <col min="1284" max="1284" width="12.7109375" style="393" hidden="1" customWidth="1"/>
    <col min="1285" max="1290" width="12.140625" style="393" hidden="1" customWidth="1"/>
    <col min="1291" max="1301" width="8.7109375" style="393" hidden="1" customWidth="1"/>
    <col min="1302" max="1536" width="8.7109375" style="393" hidden="1"/>
    <col min="1537" max="1537" width="32.7109375" style="393" hidden="1" customWidth="1"/>
    <col min="1538" max="1539" width="12.140625" style="393" hidden="1" customWidth="1"/>
    <col min="1540" max="1540" width="12.7109375" style="393" hidden="1" customWidth="1"/>
    <col min="1541" max="1546" width="12.140625" style="393" hidden="1" customWidth="1"/>
    <col min="1547" max="1557" width="8.7109375" style="393" hidden="1" customWidth="1"/>
    <col min="1558" max="1792" width="8.7109375" style="393" hidden="1"/>
    <col min="1793" max="1793" width="32.7109375" style="393" hidden="1" customWidth="1"/>
    <col min="1794" max="1795" width="12.140625" style="393" hidden="1" customWidth="1"/>
    <col min="1796" max="1796" width="12.7109375" style="393" hidden="1" customWidth="1"/>
    <col min="1797" max="1802" width="12.140625" style="393" hidden="1" customWidth="1"/>
    <col min="1803" max="1813" width="8.7109375" style="393" hidden="1" customWidth="1"/>
    <col min="1814" max="2048" width="8.7109375" style="393" hidden="1"/>
    <col min="2049" max="2049" width="32.7109375" style="393" hidden="1" customWidth="1"/>
    <col min="2050" max="2051" width="12.140625" style="393" hidden="1" customWidth="1"/>
    <col min="2052" max="2052" width="12.7109375" style="393" hidden="1" customWidth="1"/>
    <col min="2053" max="2058" width="12.140625" style="393" hidden="1" customWidth="1"/>
    <col min="2059" max="2069" width="8.7109375" style="393" hidden="1" customWidth="1"/>
    <col min="2070" max="2304" width="8.7109375" style="393" hidden="1"/>
    <col min="2305" max="2305" width="32.7109375" style="393" hidden="1" customWidth="1"/>
    <col min="2306" max="2307" width="12.140625" style="393" hidden="1" customWidth="1"/>
    <col min="2308" max="2308" width="12.7109375" style="393" hidden="1" customWidth="1"/>
    <col min="2309" max="2314" width="12.140625" style="393" hidden="1" customWidth="1"/>
    <col min="2315" max="2325" width="8.7109375" style="393" hidden="1" customWidth="1"/>
    <col min="2326" max="2560" width="8.7109375" style="393" hidden="1"/>
    <col min="2561" max="2561" width="32.7109375" style="393" hidden="1" customWidth="1"/>
    <col min="2562" max="2563" width="12.140625" style="393" hidden="1" customWidth="1"/>
    <col min="2564" max="2564" width="12.7109375" style="393" hidden="1" customWidth="1"/>
    <col min="2565" max="2570" width="12.140625" style="393" hidden="1" customWidth="1"/>
    <col min="2571" max="2581" width="8.7109375" style="393" hidden="1" customWidth="1"/>
    <col min="2582" max="2816" width="8.7109375" style="393" hidden="1"/>
    <col min="2817" max="2817" width="32.7109375" style="393" hidden="1" customWidth="1"/>
    <col min="2818" max="2819" width="12.140625" style="393" hidden="1" customWidth="1"/>
    <col min="2820" max="2820" width="12.7109375" style="393" hidden="1" customWidth="1"/>
    <col min="2821" max="2826" width="12.140625" style="393" hidden="1" customWidth="1"/>
    <col min="2827" max="2837" width="8.7109375" style="393" hidden="1" customWidth="1"/>
    <col min="2838" max="3072" width="8.7109375" style="393" hidden="1"/>
    <col min="3073" max="3073" width="32.7109375" style="393" hidden="1" customWidth="1"/>
    <col min="3074" max="3075" width="12.140625" style="393" hidden="1" customWidth="1"/>
    <col min="3076" max="3076" width="12.7109375" style="393" hidden="1" customWidth="1"/>
    <col min="3077" max="3082" width="12.140625" style="393" hidden="1" customWidth="1"/>
    <col min="3083" max="3093" width="8.7109375" style="393" hidden="1" customWidth="1"/>
    <col min="3094" max="3328" width="8.7109375" style="393" hidden="1"/>
    <col min="3329" max="3329" width="32.7109375" style="393" hidden="1" customWidth="1"/>
    <col min="3330" max="3331" width="12.140625" style="393" hidden="1" customWidth="1"/>
    <col min="3332" max="3332" width="12.7109375" style="393" hidden="1" customWidth="1"/>
    <col min="3333" max="3338" width="12.140625" style="393" hidden="1" customWidth="1"/>
    <col min="3339" max="3349" width="8.7109375" style="393" hidden="1" customWidth="1"/>
    <col min="3350" max="3584" width="8.7109375" style="393" hidden="1"/>
    <col min="3585" max="3585" width="32.7109375" style="393" hidden="1" customWidth="1"/>
    <col min="3586" max="3587" width="12.140625" style="393" hidden="1" customWidth="1"/>
    <col min="3588" max="3588" width="12.7109375" style="393" hidden="1" customWidth="1"/>
    <col min="3589" max="3594" width="12.140625" style="393" hidden="1" customWidth="1"/>
    <col min="3595" max="3605" width="8.7109375" style="393" hidden="1" customWidth="1"/>
    <col min="3606" max="3840" width="8.7109375" style="393" hidden="1"/>
    <col min="3841" max="3841" width="32.7109375" style="393" hidden="1" customWidth="1"/>
    <col min="3842" max="3843" width="12.140625" style="393" hidden="1" customWidth="1"/>
    <col min="3844" max="3844" width="12.7109375" style="393" hidden="1" customWidth="1"/>
    <col min="3845" max="3850" width="12.140625" style="393" hidden="1" customWidth="1"/>
    <col min="3851" max="3861" width="8.7109375" style="393" hidden="1" customWidth="1"/>
    <col min="3862" max="4096" width="8.7109375" style="393" hidden="1"/>
    <col min="4097" max="4097" width="32.7109375" style="393" hidden="1" customWidth="1"/>
    <col min="4098" max="4099" width="12.140625" style="393" hidden="1" customWidth="1"/>
    <col min="4100" max="4100" width="12.7109375" style="393" hidden="1" customWidth="1"/>
    <col min="4101" max="4106" width="12.140625" style="393" hidden="1" customWidth="1"/>
    <col min="4107" max="4117" width="8.7109375" style="393" hidden="1" customWidth="1"/>
    <col min="4118" max="4352" width="8.7109375" style="393" hidden="1"/>
    <col min="4353" max="4353" width="32.7109375" style="393" hidden="1" customWidth="1"/>
    <col min="4354" max="4355" width="12.140625" style="393" hidden="1" customWidth="1"/>
    <col min="4356" max="4356" width="12.7109375" style="393" hidden="1" customWidth="1"/>
    <col min="4357" max="4362" width="12.140625" style="393" hidden="1" customWidth="1"/>
    <col min="4363" max="4373" width="8.7109375" style="393" hidden="1" customWidth="1"/>
    <col min="4374" max="4608" width="8.7109375" style="393" hidden="1"/>
    <col min="4609" max="4609" width="32.7109375" style="393" hidden="1" customWidth="1"/>
    <col min="4610" max="4611" width="12.140625" style="393" hidden="1" customWidth="1"/>
    <col min="4612" max="4612" width="12.7109375" style="393" hidden="1" customWidth="1"/>
    <col min="4613" max="4618" width="12.140625" style="393" hidden="1" customWidth="1"/>
    <col min="4619" max="4629" width="8.7109375" style="393" hidden="1" customWidth="1"/>
    <col min="4630" max="4864" width="8.7109375" style="393" hidden="1"/>
    <col min="4865" max="4865" width="32.7109375" style="393" hidden="1" customWidth="1"/>
    <col min="4866" max="4867" width="12.140625" style="393" hidden="1" customWidth="1"/>
    <col min="4868" max="4868" width="12.7109375" style="393" hidden="1" customWidth="1"/>
    <col min="4869" max="4874" width="12.140625" style="393" hidden="1" customWidth="1"/>
    <col min="4875" max="4885" width="8.7109375" style="393" hidden="1" customWidth="1"/>
    <col min="4886" max="5120" width="8.7109375" style="393" hidden="1"/>
    <col min="5121" max="5121" width="32.7109375" style="393" hidden="1" customWidth="1"/>
    <col min="5122" max="5123" width="12.140625" style="393" hidden="1" customWidth="1"/>
    <col min="5124" max="5124" width="12.7109375" style="393" hidden="1" customWidth="1"/>
    <col min="5125" max="5130" width="12.140625" style="393" hidden="1" customWidth="1"/>
    <col min="5131" max="5141" width="8.7109375" style="393" hidden="1" customWidth="1"/>
    <col min="5142" max="5376" width="8.7109375" style="393" hidden="1"/>
    <col min="5377" max="5377" width="32.7109375" style="393" hidden="1" customWidth="1"/>
    <col min="5378" max="5379" width="12.140625" style="393" hidden="1" customWidth="1"/>
    <col min="5380" max="5380" width="12.7109375" style="393" hidden="1" customWidth="1"/>
    <col min="5381" max="5386" width="12.140625" style="393" hidden="1" customWidth="1"/>
    <col min="5387" max="5397" width="8.7109375" style="393" hidden="1" customWidth="1"/>
    <col min="5398" max="5632" width="8.7109375" style="393" hidden="1"/>
    <col min="5633" max="5633" width="32.7109375" style="393" hidden="1" customWidth="1"/>
    <col min="5634" max="5635" width="12.140625" style="393" hidden="1" customWidth="1"/>
    <col min="5636" max="5636" width="12.7109375" style="393" hidden="1" customWidth="1"/>
    <col min="5637" max="5642" width="12.140625" style="393" hidden="1" customWidth="1"/>
    <col min="5643" max="5653" width="8.7109375" style="393" hidden="1" customWidth="1"/>
    <col min="5654" max="5888" width="8.7109375" style="393" hidden="1"/>
    <col min="5889" max="5889" width="32.7109375" style="393" hidden="1" customWidth="1"/>
    <col min="5890" max="5891" width="12.140625" style="393" hidden="1" customWidth="1"/>
    <col min="5892" max="5892" width="12.7109375" style="393" hidden="1" customWidth="1"/>
    <col min="5893" max="5898" width="12.140625" style="393" hidden="1" customWidth="1"/>
    <col min="5899" max="5909" width="8.7109375" style="393" hidden="1" customWidth="1"/>
    <col min="5910" max="6144" width="8.7109375" style="393" hidden="1"/>
    <col min="6145" max="6145" width="32.7109375" style="393" hidden="1" customWidth="1"/>
    <col min="6146" max="6147" width="12.140625" style="393" hidden="1" customWidth="1"/>
    <col min="6148" max="6148" width="12.7109375" style="393" hidden="1" customWidth="1"/>
    <col min="6149" max="6154" width="12.140625" style="393" hidden="1" customWidth="1"/>
    <col min="6155" max="6165" width="8.7109375" style="393" hidden="1" customWidth="1"/>
    <col min="6166" max="6400" width="8.7109375" style="393" hidden="1"/>
    <col min="6401" max="6401" width="32.7109375" style="393" hidden="1" customWidth="1"/>
    <col min="6402" max="6403" width="12.140625" style="393" hidden="1" customWidth="1"/>
    <col min="6404" max="6404" width="12.7109375" style="393" hidden="1" customWidth="1"/>
    <col min="6405" max="6410" width="12.140625" style="393" hidden="1" customWidth="1"/>
    <col min="6411" max="6421" width="8.7109375" style="393" hidden="1" customWidth="1"/>
    <col min="6422" max="6656" width="8.7109375" style="393" hidden="1"/>
    <col min="6657" max="6657" width="32.7109375" style="393" hidden="1" customWidth="1"/>
    <col min="6658" max="6659" width="12.140625" style="393" hidden="1" customWidth="1"/>
    <col min="6660" max="6660" width="12.7109375" style="393" hidden="1" customWidth="1"/>
    <col min="6661" max="6666" width="12.140625" style="393" hidden="1" customWidth="1"/>
    <col min="6667" max="6677" width="8.7109375" style="393" hidden="1" customWidth="1"/>
    <col min="6678" max="6912" width="8.7109375" style="393" hidden="1"/>
    <col min="6913" max="6913" width="32.7109375" style="393" hidden="1" customWidth="1"/>
    <col min="6914" max="6915" width="12.140625" style="393" hidden="1" customWidth="1"/>
    <col min="6916" max="6916" width="12.7109375" style="393" hidden="1" customWidth="1"/>
    <col min="6917" max="6922" width="12.140625" style="393" hidden="1" customWidth="1"/>
    <col min="6923" max="6933" width="8.7109375" style="393" hidden="1" customWidth="1"/>
    <col min="6934" max="7168" width="8.7109375" style="393" hidden="1"/>
    <col min="7169" max="7169" width="32.7109375" style="393" hidden="1" customWidth="1"/>
    <col min="7170" max="7171" width="12.140625" style="393" hidden="1" customWidth="1"/>
    <col min="7172" max="7172" width="12.7109375" style="393" hidden="1" customWidth="1"/>
    <col min="7173" max="7178" width="12.140625" style="393" hidden="1" customWidth="1"/>
    <col min="7179" max="7189" width="8.7109375" style="393" hidden="1" customWidth="1"/>
    <col min="7190" max="7424" width="8.7109375" style="393" hidden="1"/>
    <col min="7425" max="7425" width="32.7109375" style="393" hidden="1" customWidth="1"/>
    <col min="7426" max="7427" width="12.140625" style="393" hidden="1" customWidth="1"/>
    <col min="7428" max="7428" width="12.7109375" style="393" hidden="1" customWidth="1"/>
    <col min="7429" max="7434" width="12.140625" style="393" hidden="1" customWidth="1"/>
    <col min="7435" max="7445" width="8.7109375" style="393" hidden="1" customWidth="1"/>
    <col min="7446" max="7680" width="8.7109375" style="393" hidden="1"/>
    <col min="7681" max="7681" width="32.7109375" style="393" hidden="1" customWidth="1"/>
    <col min="7682" max="7683" width="12.140625" style="393" hidden="1" customWidth="1"/>
    <col min="7684" max="7684" width="12.7109375" style="393" hidden="1" customWidth="1"/>
    <col min="7685" max="7690" width="12.140625" style="393" hidden="1" customWidth="1"/>
    <col min="7691" max="7701" width="8.7109375" style="393" hidden="1" customWidth="1"/>
    <col min="7702" max="7936" width="8.7109375" style="393" hidden="1"/>
    <col min="7937" max="7937" width="32.7109375" style="393" hidden="1" customWidth="1"/>
    <col min="7938" max="7939" width="12.140625" style="393" hidden="1" customWidth="1"/>
    <col min="7940" max="7940" width="12.7109375" style="393" hidden="1" customWidth="1"/>
    <col min="7941" max="7946" width="12.140625" style="393" hidden="1" customWidth="1"/>
    <col min="7947" max="7957" width="8.7109375" style="393" hidden="1" customWidth="1"/>
    <col min="7958" max="8192" width="8.7109375" style="393" hidden="1"/>
    <col min="8193" max="8193" width="32.7109375" style="393" hidden="1" customWidth="1"/>
    <col min="8194" max="8195" width="12.140625" style="393" hidden="1" customWidth="1"/>
    <col min="8196" max="8196" width="12.7109375" style="393" hidden="1" customWidth="1"/>
    <col min="8197" max="8202" width="12.140625" style="393" hidden="1" customWidth="1"/>
    <col min="8203" max="8213" width="8.7109375" style="393" hidden="1" customWidth="1"/>
    <col min="8214" max="8448" width="8.7109375" style="393" hidden="1"/>
    <col min="8449" max="8449" width="32.7109375" style="393" hidden="1" customWidth="1"/>
    <col min="8450" max="8451" width="12.140625" style="393" hidden="1" customWidth="1"/>
    <col min="8452" max="8452" width="12.7109375" style="393" hidden="1" customWidth="1"/>
    <col min="8453" max="8458" width="12.140625" style="393" hidden="1" customWidth="1"/>
    <col min="8459" max="8469" width="8.7109375" style="393" hidden="1" customWidth="1"/>
    <col min="8470" max="8704" width="8.7109375" style="393" hidden="1"/>
    <col min="8705" max="8705" width="32.7109375" style="393" hidden="1" customWidth="1"/>
    <col min="8706" max="8707" width="12.140625" style="393" hidden="1" customWidth="1"/>
    <col min="8708" max="8708" width="12.7109375" style="393" hidden="1" customWidth="1"/>
    <col min="8709" max="8714" width="12.140625" style="393" hidden="1" customWidth="1"/>
    <col min="8715" max="8725" width="8.7109375" style="393" hidden="1" customWidth="1"/>
    <col min="8726" max="8960" width="8.7109375" style="393" hidden="1"/>
    <col min="8961" max="8961" width="32.7109375" style="393" hidden="1" customWidth="1"/>
    <col min="8962" max="8963" width="12.140625" style="393" hidden="1" customWidth="1"/>
    <col min="8964" max="8964" width="12.7109375" style="393" hidden="1" customWidth="1"/>
    <col min="8965" max="8970" width="12.140625" style="393" hidden="1" customWidth="1"/>
    <col min="8971" max="8981" width="8.7109375" style="393" hidden="1" customWidth="1"/>
    <col min="8982" max="9216" width="8.7109375" style="393" hidden="1"/>
    <col min="9217" max="9217" width="32.7109375" style="393" hidden="1" customWidth="1"/>
    <col min="9218" max="9219" width="12.140625" style="393" hidden="1" customWidth="1"/>
    <col min="9220" max="9220" width="12.7109375" style="393" hidden="1" customWidth="1"/>
    <col min="9221" max="9226" width="12.140625" style="393" hidden="1" customWidth="1"/>
    <col min="9227" max="9237" width="8.7109375" style="393" hidden="1" customWidth="1"/>
    <col min="9238" max="9472" width="8.7109375" style="393" hidden="1"/>
    <col min="9473" max="9473" width="32.7109375" style="393" hidden="1" customWidth="1"/>
    <col min="9474" max="9475" width="12.140625" style="393" hidden="1" customWidth="1"/>
    <col min="9476" max="9476" width="12.7109375" style="393" hidden="1" customWidth="1"/>
    <col min="9477" max="9482" width="12.140625" style="393" hidden="1" customWidth="1"/>
    <col min="9483" max="9493" width="8.7109375" style="393" hidden="1" customWidth="1"/>
    <col min="9494" max="9728" width="8.7109375" style="393" hidden="1"/>
    <col min="9729" max="9729" width="32.7109375" style="393" hidden="1" customWidth="1"/>
    <col min="9730" max="9731" width="12.140625" style="393" hidden="1" customWidth="1"/>
    <col min="9732" max="9732" width="12.7109375" style="393" hidden="1" customWidth="1"/>
    <col min="9733" max="9738" width="12.140625" style="393" hidden="1" customWidth="1"/>
    <col min="9739" max="9749" width="8.7109375" style="393" hidden="1" customWidth="1"/>
    <col min="9750" max="9984" width="8.7109375" style="393" hidden="1"/>
    <col min="9985" max="9985" width="32.7109375" style="393" hidden="1" customWidth="1"/>
    <col min="9986" max="9987" width="12.140625" style="393" hidden="1" customWidth="1"/>
    <col min="9988" max="9988" width="12.7109375" style="393" hidden="1" customWidth="1"/>
    <col min="9989" max="9994" width="12.140625" style="393" hidden="1" customWidth="1"/>
    <col min="9995" max="10005" width="8.7109375" style="393" hidden="1" customWidth="1"/>
    <col min="10006" max="10240" width="8.7109375" style="393" hidden="1"/>
    <col min="10241" max="10241" width="32.7109375" style="393" hidden="1" customWidth="1"/>
    <col min="10242" max="10243" width="12.140625" style="393" hidden="1" customWidth="1"/>
    <col min="10244" max="10244" width="12.7109375" style="393" hidden="1" customWidth="1"/>
    <col min="10245" max="10250" width="12.140625" style="393" hidden="1" customWidth="1"/>
    <col min="10251" max="10261" width="8.7109375" style="393" hidden="1" customWidth="1"/>
    <col min="10262" max="10496" width="8.7109375" style="393" hidden="1"/>
    <col min="10497" max="10497" width="32.7109375" style="393" hidden="1" customWidth="1"/>
    <col min="10498" max="10499" width="12.140625" style="393" hidden="1" customWidth="1"/>
    <col min="10500" max="10500" width="12.7109375" style="393" hidden="1" customWidth="1"/>
    <col min="10501" max="10506" width="12.140625" style="393" hidden="1" customWidth="1"/>
    <col min="10507" max="10517" width="8.7109375" style="393" hidden="1" customWidth="1"/>
    <col min="10518" max="10752" width="8.7109375" style="393" hidden="1"/>
    <col min="10753" max="10753" width="32.7109375" style="393" hidden="1" customWidth="1"/>
    <col min="10754" max="10755" width="12.140625" style="393" hidden="1" customWidth="1"/>
    <col min="10756" max="10756" width="12.7109375" style="393" hidden="1" customWidth="1"/>
    <col min="10757" max="10762" width="12.140625" style="393" hidden="1" customWidth="1"/>
    <col min="10763" max="10773" width="8.7109375" style="393" hidden="1" customWidth="1"/>
    <col min="10774" max="11008" width="8.7109375" style="393" hidden="1"/>
    <col min="11009" max="11009" width="32.7109375" style="393" hidden="1" customWidth="1"/>
    <col min="11010" max="11011" width="12.140625" style="393" hidden="1" customWidth="1"/>
    <col min="11012" max="11012" width="12.7109375" style="393" hidden="1" customWidth="1"/>
    <col min="11013" max="11018" width="12.140625" style="393" hidden="1" customWidth="1"/>
    <col min="11019" max="11029" width="8.7109375" style="393" hidden="1" customWidth="1"/>
    <col min="11030" max="11264" width="8.7109375" style="393" hidden="1"/>
    <col min="11265" max="11265" width="32.7109375" style="393" hidden="1" customWidth="1"/>
    <col min="11266" max="11267" width="12.140625" style="393" hidden="1" customWidth="1"/>
    <col min="11268" max="11268" width="12.7109375" style="393" hidden="1" customWidth="1"/>
    <col min="11269" max="11274" width="12.140625" style="393" hidden="1" customWidth="1"/>
    <col min="11275" max="11285" width="8.7109375" style="393" hidden="1" customWidth="1"/>
    <col min="11286" max="11520" width="8.7109375" style="393" hidden="1"/>
    <col min="11521" max="11521" width="32.7109375" style="393" hidden="1" customWidth="1"/>
    <col min="11522" max="11523" width="12.140625" style="393" hidden="1" customWidth="1"/>
    <col min="11524" max="11524" width="12.7109375" style="393" hidden="1" customWidth="1"/>
    <col min="11525" max="11530" width="12.140625" style="393" hidden="1" customWidth="1"/>
    <col min="11531" max="11541" width="8.7109375" style="393" hidden="1" customWidth="1"/>
    <col min="11542" max="11776" width="8.7109375" style="393" hidden="1"/>
    <col min="11777" max="11777" width="32.7109375" style="393" hidden="1" customWidth="1"/>
    <col min="11778" max="11779" width="12.140625" style="393" hidden="1" customWidth="1"/>
    <col min="11780" max="11780" width="12.7109375" style="393" hidden="1" customWidth="1"/>
    <col min="11781" max="11786" width="12.140625" style="393" hidden="1" customWidth="1"/>
    <col min="11787" max="11797" width="8.7109375" style="393" hidden="1" customWidth="1"/>
    <col min="11798" max="12032" width="8.7109375" style="393" hidden="1"/>
    <col min="12033" max="12033" width="32.7109375" style="393" hidden="1" customWidth="1"/>
    <col min="12034" max="12035" width="12.140625" style="393" hidden="1" customWidth="1"/>
    <col min="12036" max="12036" width="12.7109375" style="393" hidden="1" customWidth="1"/>
    <col min="12037" max="12042" width="12.140625" style="393" hidden="1" customWidth="1"/>
    <col min="12043" max="12053" width="8.7109375" style="393" hidden="1" customWidth="1"/>
    <col min="12054" max="12288" width="8.7109375" style="393" hidden="1"/>
    <col min="12289" max="12289" width="32.7109375" style="393" hidden="1" customWidth="1"/>
    <col min="12290" max="12291" width="12.140625" style="393" hidden="1" customWidth="1"/>
    <col min="12292" max="12292" width="12.7109375" style="393" hidden="1" customWidth="1"/>
    <col min="12293" max="12298" width="12.140625" style="393" hidden="1" customWidth="1"/>
    <col min="12299" max="12309" width="8.7109375" style="393" hidden="1" customWidth="1"/>
    <col min="12310" max="12544" width="8.7109375" style="393" hidden="1"/>
    <col min="12545" max="12545" width="32.7109375" style="393" hidden="1" customWidth="1"/>
    <col min="12546" max="12547" width="12.140625" style="393" hidden="1" customWidth="1"/>
    <col min="12548" max="12548" width="12.7109375" style="393" hidden="1" customWidth="1"/>
    <col min="12549" max="12554" width="12.140625" style="393" hidden="1" customWidth="1"/>
    <col min="12555" max="12565" width="8.7109375" style="393" hidden="1" customWidth="1"/>
    <col min="12566" max="12800" width="8.7109375" style="393" hidden="1"/>
    <col min="12801" max="12801" width="32.7109375" style="393" hidden="1" customWidth="1"/>
    <col min="12802" max="12803" width="12.140625" style="393" hidden="1" customWidth="1"/>
    <col min="12804" max="12804" width="12.7109375" style="393" hidden="1" customWidth="1"/>
    <col min="12805" max="12810" width="12.140625" style="393" hidden="1" customWidth="1"/>
    <col min="12811" max="12821" width="8.7109375" style="393" hidden="1" customWidth="1"/>
    <col min="12822" max="13056" width="8.7109375" style="393" hidden="1"/>
    <col min="13057" max="13057" width="32.7109375" style="393" hidden="1" customWidth="1"/>
    <col min="13058" max="13059" width="12.140625" style="393" hidden="1" customWidth="1"/>
    <col min="13060" max="13060" width="12.7109375" style="393" hidden="1" customWidth="1"/>
    <col min="13061" max="13066" width="12.140625" style="393" hidden="1" customWidth="1"/>
    <col min="13067" max="13077" width="8.7109375" style="393" hidden="1" customWidth="1"/>
    <col min="13078" max="13312" width="8.7109375" style="393" hidden="1"/>
    <col min="13313" max="13313" width="32.7109375" style="393" hidden="1" customWidth="1"/>
    <col min="13314" max="13315" width="12.140625" style="393" hidden="1" customWidth="1"/>
    <col min="13316" max="13316" width="12.7109375" style="393" hidden="1" customWidth="1"/>
    <col min="13317" max="13322" width="12.140625" style="393" hidden="1" customWidth="1"/>
    <col min="13323" max="13333" width="8.7109375" style="393" hidden="1" customWidth="1"/>
    <col min="13334" max="13568" width="8.7109375" style="393" hidden="1"/>
    <col min="13569" max="13569" width="32.7109375" style="393" hidden="1" customWidth="1"/>
    <col min="13570" max="13571" width="12.140625" style="393" hidden="1" customWidth="1"/>
    <col min="13572" max="13572" width="12.7109375" style="393" hidden="1" customWidth="1"/>
    <col min="13573" max="13578" width="12.140625" style="393" hidden="1" customWidth="1"/>
    <col min="13579" max="13589" width="8.7109375" style="393" hidden="1" customWidth="1"/>
    <col min="13590" max="13824" width="8.7109375" style="393" hidden="1"/>
    <col min="13825" max="13825" width="32.7109375" style="393" hidden="1" customWidth="1"/>
    <col min="13826" max="13827" width="12.140625" style="393" hidden="1" customWidth="1"/>
    <col min="13828" max="13828" width="12.7109375" style="393" hidden="1" customWidth="1"/>
    <col min="13829" max="13834" width="12.140625" style="393" hidden="1" customWidth="1"/>
    <col min="13835" max="13845" width="8.7109375" style="393" hidden="1" customWidth="1"/>
    <col min="13846" max="14080" width="8.7109375" style="393" hidden="1"/>
    <col min="14081" max="14081" width="32.7109375" style="393" hidden="1" customWidth="1"/>
    <col min="14082" max="14083" width="12.140625" style="393" hidden="1" customWidth="1"/>
    <col min="14084" max="14084" width="12.7109375" style="393" hidden="1" customWidth="1"/>
    <col min="14085" max="14090" width="12.140625" style="393" hidden="1" customWidth="1"/>
    <col min="14091" max="14101" width="8.7109375" style="393" hidden="1" customWidth="1"/>
    <col min="14102" max="14336" width="8.7109375" style="393" hidden="1"/>
    <col min="14337" max="14337" width="32.7109375" style="393" hidden="1" customWidth="1"/>
    <col min="14338" max="14339" width="12.140625" style="393" hidden="1" customWidth="1"/>
    <col min="14340" max="14340" width="12.7109375" style="393" hidden="1" customWidth="1"/>
    <col min="14341" max="14346" width="12.140625" style="393" hidden="1" customWidth="1"/>
    <col min="14347" max="14357" width="8.7109375" style="393" hidden="1" customWidth="1"/>
    <col min="14358" max="14592" width="8.7109375" style="393" hidden="1"/>
    <col min="14593" max="14593" width="32.7109375" style="393" hidden="1" customWidth="1"/>
    <col min="14594" max="14595" width="12.140625" style="393" hidden="1" customWidth="1"/>
    <col min="14596" max="14596" width="12.7109375" style="393" hidden="1" customWidth="1"/>
    <col min="14597" max="14602" width="12.140625" style="393" hidden="1" customWidth="1"/>
    <col min="14603" max="14613" width="8.7109375" style="393" hidden="1" customWidth="1"/>
    <col min="14614" max="14848" width="8.7109375" style="393" hidden="1"/>
    <col min="14849" max="14849" width="32.7109375" style="393" hidden="1" customWidth="1"/>
    <col min="14850" max="14851" width="12.140625" style="393" hidden="1" customWidth="1"/>
    <col min="14852" max="14852" width="12.7109375" style="393" hidden="1" customWidth="1"/>
    <col min="14853" max="14858" width="12.140625" style="393" hidden="1" customWidth="1"/>
    <col min="14859" max="14869" width="8.7109375" style="393" hidden="1" customWidth="1"/>
    <col min="14870" max="15104" width="8.7109375" style="393" hidden="1"/>
    <col min="15105" max="15105" width="32.7109375" style="393" hidden="1" customWidth="1"/>
    <col min="15106" max="15107" width="12.140625" style="393" hidden="1" customWidth="1"/>
    <col min="15108" max="15108" width="12.7109375" style="393" hidden="1" customWidth="1"/>
    <col min="15109" max="15114" width="12.140625" style="393" hidden="1" customWidth="1"/>
    <col min="15115" max="15125" width="8.7109375" style="393" hidden="1" customWidth="1"/>
    <col min="15126" max="15360" width="8.7109375" style="393" hidden="1"/>
    <col min="15361" max="15361" width="32.7109375" style="393" hidden="1" customWidth="1"/>
    <col min="15362" max="15363" width="12.140625" style="393" hidden="1" customWidth="1"/>
    <col min="15364" max="15364" width="12.7109375" style="393" hidden="1" customWidth="1"/>
    <col min="15365" max="15370" width="12.140625" style="393" hidden="1" customWidth="1"/>
    <col min="15371" max="15381" width="8.7109375" style="393" hidden="1" customWidth="1"/>
    <col min="15382" max="15616" width="8.7109375" style="393" hidden="1"/>
    <col min="15617" max="15617" width="32.7109375" style="393" hidden="1" customWidth="1"/>
    <col min="15618" max="15619" width="12.140625" style="393" hidden="1" customWidth="1"/>
    <col min="15620" max="15620" width="12.7109375" style="393" hidden="1" customWidth="1"/>
    <col min="15621" max="15626" width="12.140625" style="393" hidden="1" customWidth="1"/>
    <col min="15627" max="15637" width="8.7109375" style="393" hidden="1" customWidth="1"/>
    <col min="15638" max="15872" width="8.7109375" style="393" hidden="1"/>
    <col min="15873" max="15873" width="32.7109375" style="393" hidden="1" customWidth="1"/>
    <col min="15874" max="15875" width="12.140625" style="393" hidden="1" customWidth="1"/>
    <col min="15876" max="15876" width="12.7109375" style="393" hidden="1" customWidth="1"/>
    <col min="15877" max="15882" width="12.140625" style="393" hidden="1" customWidth="1"/>
    <col min="15883" max="15893" width="8.7109375" style="393" hidden="1" customWidth="1"/>
    <col min="15894" max="16128" width="8.7109375" style="393" hidden="1"/>
    <col min="16129" max="16129" width="32.7109375" style="393" hidden="1" customWidth="1"/>
    <col min="16130" max="16131" width="12.140625" style="393" hidden="1" customWidth="1"/>
    <col min="16132" max="16132" width="12.7109375" style="393" hidden="1" customWidth="1"/>
    <col min="16133" max="16138" width="12.140625" style="393" hidden="1" customWidth="1"/>
    <col min="16139" max="16149" width="8.7109375" style="393" hidden="1" customWidth="1"/>
    <col min="16150" max="16384" width="8.71093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5717000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9063</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5726063</v>
      </c>
      <c r="C8" s="361">
        <f>SUM(C4:C7)</f>
        <v>0</v>
      </c>
      <c r="D8" s="361">
        <f>SUM(D4:D7)</f>
        <v>0</v>
      </c>
      <c r="E8" s="363"/>
      <c r="F8" s="363"/>
      <c r="G8" s="363"/>
      <c r="H8" s="363"/>
      <c r="I8" s="363"/>
      <c r="J8" s="363"/>
      <c r="K8" s="359"/>
    </row>
    <row r="9" spans="1:11" s="360" customFormat="1">
      <c r="A9" s="364" t="s">
        <v>594</v>
      </c>
      <c r="B9" s="361">
        <f>'Sources and Uses Budget'!C9</f>
        <v>35283000</v>
      </c>
      <c r="C9" s="362"/>
      <c r="D9" s="362"/>
      <c r="E9" s="363"/>
      <c r="F9" s="363"/>
      <c r="G9" s="363"/>
      <c r="H9" s="361">
        <f>'Sources and Uses Budget'!T9</f>
        <v>35283000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35283000</v>
      </c>
      <c r="C11" s="361">
        <f>SUM(C9:C10)</f>
        <v>0</v>
      </c>
      <c r="D11" s="361">
        <f>SUM(D9:D10)</f>
        <v>0</v>
      </c>
      <c r="E11" s="363"/>
      <c r="F11" s="363"/>
      <c r="G11" s="363"/>
      <c r="H11" s="361">
        <f>'Sources and Uses Budget'!T11</f>
        <v>35283000</v>
      </c>
      <c r="I11" s="361">
        <f>SUM(I9:I10)</f>
        <v>0</v>
      </c>
      <c r="J11" s="361">
        <f>SUM(J9:J10)</f>
        <v>0</v>
      </c>
      <c r="K11" s="359"/>
    </row>
    <row r="12" spans="1:11" s="360" customFormat="1">
      <c r="A12" s="365" t="s">
        <v>84</v>
      </c>
      <c r="B12" s="361">
        <f>'Sources and Uses Budget'!C12</f>
        <v>41009063</v>
      </c>
      <c r="C12" s="361">
        <f>SUM(C8+C11)</f>
        <v>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1200000</v>
      </c>
      <c r="C17" s="362"/>
      <c r="D17" s="362"/>
      <c r="E17" s="361">
        <f>'Sources and Uses Budget'!S17</f>
        <v>1200000</v>
      </c>
      <c r="F17" s="362"/>
      <c r="G17" s="362"/>
      <c r="H17" s="361">
        <f>'Sources and Uses Budget'!T17</f>
        <v>0</v>
      </c>
      <c r="I17" s="362"/>
      <c r="J17" s="362"/>
      <c r="K17" s="359"/>
    </row>
    <row r="18" spans="1:11" s="360" customFormat="1">
      <c r="A18" s="364" t="s">
        <v>599</v>
      </c>
      <c r="B18" s="361">
        <f>'Sources and Uses Budget'!C18</f>
        <v>11126884</v>
      </c>
      <c r="C18" s="362"/>
      <c r="D18" s="362"/>
      <c r="E18" s="361">
        <f>'Sources and Uses Budget'!S18</f>
        <v>11126884</v>
      </c>
      <c r="F18" s="362"/>
      <c r="G18" s="362"/>
      <c r="H18" s="361">
        <f>'Sources and Uses Budget'!T18</f>
        <v>0</v>
      </c>
      <c r="I18" s="362"/>
      <c r="J18" s="362"/>
      <c r="K18" s="359"/>
    </row>
    <row r="19" spans="1:11" s="360" customFormat="1">
      <c r="A19" s="364" t="s">
        <v>600</v>
      </c>
      <c r="B19" s="361">
        <f>'Sources and Uses Budget'!C19</f>
        <v>695670</v>
      </c>
      <c r="C19" s="362"/>
      <c r="D19" s="362"/>
      <c r="E19" s="361">
        <f>'Sources and Uses Budget'!S19</f>
        <v>695670</v>
      </c>
      <c r="F19" s="362"/>
      <c r="G19" s="362"/>
      <c r="H19" s="361">
        <f>'Sources and Uses Budget'!T19</f>
        <v>0</v>
      </c>
      <c r="I19" s="362"/>
      <c r="J19" s="362"/>
      <c r="K19" s="359"/>
    </row>
    <row r="20" spans="1:11" s="360" customFormat="1">
      <c r="A20" s="364" t="s">
        <v>137</v>
      </c>
      <c r="B20" s="361">
        <f>'Sources and Uses Budget'!C20</f>
        <v>347835</v>
      </c>
      <c r="C20" s="362"/>
      <c r="D20" s="362"/>
      <c r="E20" s="361">
        <f>'Sources and Uses Budget'!S20</f>
        <v>347835</v>
      </c>
      <c r="F20" s="362"/>
      <c r="G20" s="362"/>
      <c r="H20" s="361">
        <f>'Sources and Uses Budget'!T20</f>
        <v>0</v>
      </c>
      <c r="I20" s="362"/>
      <c r="J20" s="362"/>
      <c r="K20" s="359"/>
    </row>
    <row r="21" spans="1:11" s="360" customFormat="1">
      <c r="A21" s="364" t="s">
        <v>138</v>
      </c>
      <c r="B21" s="361">
        <f>'Sources and Uses Budget'!C21</f>
        <v>347835</v>
      </c>
      <c r="C21" s="362"/>
      <c r="D21" s="362"/>
      <c r="E21" s="361">
        <f>'Sources and Uses Budget'!S21</f>
        <v>347835</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229639</v>
      </c>
      <c r="C23" s="362"/>
      <c r="D23" s="362"/>
      <c r="E23" s="361">
        <f>'Sources and Uses Budget'!S23</f>
        <v>229639</v>
      </c>
      <c r="F23" s="362"/>
      <c r="G23" s="362"/>
      <c r="H23" s="361">
        <f>'Sources and Uses Budget'!T23</f>
        <v>0</v>
      </c>
      <c r="I23" s="362"/>
      <c r="J23" s="362"/>
      <c r="K23" s="359"/>
    </row>
    <row r="24" spans="1:11" s="360" customFormat="1">
      <c r="A24" s="508" t="s">
        <v>1639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 Bond</v>
      </c>
      <c r="B25" s="361">
        <f>'Sources and Uses Budget'!C25</f>
        <v>229639</v>
      </c>
      <c r="C25" s="362"/>
      <c r="D25" s="362"/>
      <c r="E25" s="361">
        <f>'Sources and Uses Budget'!S25</f>
        <v>229639</v>
      </c>
      <c r="F25" s="362"/>
      <c r="G25" s="362"/>
      <c r="H25" s="361">
        <f>'Sources and Uses Budget'!T25</f>
        <v>0</v>
      </c>
      <c r="I25" s="362"/>
      <c r="J25" s="362"/>
      <c r="K25" s="359"/>
    </row>
    <row r="26" spans="1:11" s="360" customFormat="1">
      <c r="A26" s="365" t="s">
        <v>133</v>
      </c>
      <c r="B26" s="361">
        <f>'Sources and Uses Budget'!C26</f>
        <v>14177502</v>
      </c>
      <c r="C26" s="361">
        <f>SUM(C17:C25)</f>
        <v>0</v>
      </c>
      <c r="D26" s="361">
        <f>SUM(D17:D25)</f>
        <v>0</v>
      </c>
      <c r="E26" s="361">
        <f>'Sources and Uses Budget'!S26</f>
        <v>14177502</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3600000</v>
      </c>
      <c r="C27" s="362"/>
      <c r="D27" s="362"/>
      <c r="E27" s="361">
        <f>'Sources and Uses Budget'!S27</f>
        <v>3600000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362500</v>
      </c>
      <c r="C40" s="362"/>
      <c r="D40" s="362"/>
      <c r="E40" s="361">
        <f>'Sources and Uses Budget'!S40</f>
        <v>362500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362500</v>
      </c>
      <c r="C42" s="361">
        <f>SUM(C39:C41)</f>
        <v>0</v>
      </c>
      <c r="D42" s="361">
        <f>SUM(D39:D41)</f>
        <v>0</v>
      </c>
      <c r="E42" s="361">
        <f>'Sources and Uses Budget'!S42</f>
        <v>362500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261000</v>
      </c>
      <c r="C43" s="362"/>
      <c r="D43" s="362"/>
      <c r="E43" s="361">
        <f>'Sources and Uses Budget'!S43</f>
        <v>261000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6672202</v>
      </c>
      <c r="C45" s="362"/>
      <c r="D45" s="362"/>
      <c r="E45" s="361">
        <f>'Sources and Uses Budget'!S45</f>
        <v>2683633</v>
      </c>
      <c r="F45" s="362"/>
      <c r="G45" s="362"/>
      <c r="H45" s="361">
        <f>'Sources and Uses Budget'!T45</f>
        <v>0</v>
      </c>
      <c r="I45" s="362"/>
      <c r="J45" s="362"/>
      <c r="K45" s="359"/>
    </row>
    <row r="46" spans="1:11" s="360" customFormat="1">
      <c r="A46" s="364" t="s">
        <v>151</v>
      </c>
      <c r="B46" s="361">
        <f>'Sources and Uses Budget'!C46</f>
        <v>232487</v>
      </c>
      <c r="C46" s="362"/>
      <c r="D46" s="362"/>
      <c r="E46" s="361">
        <f>'Sources and Uses Budget'!S46</f>
        <v>148504</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217547</v>
      </c>
      <c r="C49" s="362"/>
      <c r="D49" s="362"/>
      <c r="E49" s="361">
        <f>'Sources and Uses Budget'!S49</f>
        <v>15969</v>
      </c>
      <c r="F49" s="362"/>
      <c r="G49" s="362"/>
      <c r="H49" s="361">
        <f>'Sources and Uses Budget'!T49</f>
        <v>0</v>
      </c>
      <c r="I49" s="362"/>
      <c r="J49" s="362"/>
      <c r="K49" s="359"/>
    </row>
    <row r="50" spans="1:11" s="360" customFormat="1">
      <c r="A50" s="364" t="s">
        <v>156</v>
      </c>
      <c r="B50" s="361">
        <f>'Sources and Uses Budget'!C50</f>
        <v>30000</v>
      </c>
      <c r="C50" s="362"/>
      <c r="D50" s="362"/>
      <c r="E50" s="361">
        <f>'Sources and Uses Budget'!S50</f>
        <v>30000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404967</v>
      </c>
      <c r="C52" s="362"/>
      <c r="D52" s="362"/>
      <c r="E52" s="361">
        <f>'Sources and Uses Budget'!S52</f>
        <v>404967</v>
      </c>
      <c r="F52" s="362"/>
      <c r="G52" s="362"/>
      <c r="H52" s="361">
        <f>'Sources and Uses Budget'!T52</f>
        <v>0</v>
      </c>
      <c r="I52" s="362"/>
      <c r="J52" s="362"/>
      <c r="K52" s="359"/>
    </row>
    <row r="53" spans="1:11" s="360" customFormat="1" ht="24">
      <c r="A53" s="364" t="str">
        <f>'Sources and Uses Budget'!$A53</f>
        <v>Other: (Specify) Lender Expenses, Predev Loan Interest</v>
      </c>
      <c r="B53" s="361">
        <f>'Sources and Uses Budget'!C53</f>
        <v>239278</v>
      </c>
      <c r="C53" s="362"/>
      <c r="D53" s="362"/>
      <c r="E53" s="361">
        <f>'Sources and Uses Budget'!S53</f>
        <v>35771</v>
      </c>
      <c r="F53" s="362"/>
      <c r="G53" s="362"/>
      <c r="H53" s="361">
        <f>'Sources and Uses Budget'!T53</f>
        <v>183278</v>
      </c>
      <c r="I53" s="362"/>
      <c r="J53" s="362"/>
      <c r="K53" s="359"/>
    </row>
    <row r="54" spans="1:11" s="369" customFormat="1">
      <c r="A54" s="365" t="s">
        <v>157</v>
      </c>
      <c r="B54" s="361">
        <f>'Sources and Uses Budget'!C54</f>
        <v>7796481</v>
      </c>
      <c r="C54" s="367">
        <f>SUM(C45:C53)</f>
        <v>0</v>
      </c>
      <c r="D54" s="367">
        <f>SUM(D45:D53)</f>
        <v>0</v>
      </c>
      <c r="E54" s="361">
        <f>'Sources and Uses Budget'!S54</f>
        <v>3318844</v>
      </c>
      <c r="F54" s="367">
        <f>SUM(F45:F53)</f>
        <v>0</v>
      </c>
      <c r="G54" s="367">
        <f>SUM(G45:G53)</f>
        <v>0</v>
      </c>
      <c r="H54" s="361">
        <f>'Sources and Uses Budget'!T54</f>
        <v>183278</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182580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15000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 Lender Expenses</v>
      </c>
      <c r="B61" s="361">
        <f>'Sources and Uses Budget'!C61</f>
        <v>15000</v>
      </c>
      <c r="C61" s="362"/>
      <c r="D61" s="362"/>
      <c r="E61" s="363"/>
      <c r="F61" s="363"/>
      <c r="G61" s="363"/>
      <c r="H61" s="363"/>
      <c r="I61" s="363"/>
      <c r="J61" s="363"/>
      <c r="K61" s="359"/>
    </row>
    <row r="62" spans="1:11" s="360" customFormat="1" ht="13.9" customHeight="1">
      <c r="A62" s="365" t="s">
        <v>301</v>
      </c>
      <c r="B62" s="361">
        <f>'Sources and Uses Budget'!C62</f>
        <v>212580</v>
      </c>
      <c r="C62" s="361">
        <f>SUM(C56:C61)</f>
        <v>0</v>
      </c>
      <c r="D62" s="361">
        <f>SUM(D56:D61)</f>
        <v>0</v>
      </c>
      <c r="E62" s="363"/>
      <c r="F62" s="363"/>
      <c r="G62" s="363"/>
      <c r="H62" s="363"/>
      <c r="I62" s="363"/>
      <c r="J62" s="363"/>
      <c r="K62" s="359"/>
    </row>
    <row r="63" spans="1:11" s="360" customFormat="1">
      <c r="A63" s="370" t="s">
        <v>302</v>
      </c>
      <c r="B63" s="361">
        <f>'Sources and Uses Budget'!C63</f>
        <v>67419126</v>
      </c>
      <c r="C63" s="361">
        <f>SUM(C8+C11+C13+C14+C15+C26+C27+C38+C42+C43+C54+C62)</f>
        <v>0</v>
      </c>
      <c r="D63" s="361">
        <f>SUM(D8+D11+D13+D14+D15+D26+D27+D38+D42+D43+D54+D62)</f>
        <v>0</v>
      </c>
      <c r="E63" s="361">
        <f>'Sources and Uses Budget'!S63</f>
        <v>21719846</v>
      </c>
      <c r="F63" s="361">
        <f>SUM(F10+F13+F14+F15+F26+F27+F38+F42+F43+F54)</f>
        <v>0</v>
      </c>
      <c r="G63" s="361">
        <f>SUM(G10+G13+G14+G15+G26+G27+G38+G42+G43+G54)</f>
        <v>0</v>
      </c>
      <c r="H63" s="361">
        <f>'Sources and Uses Budget'!T63</f>
        <v>35466278</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85000</v>
      </c>
      <c r="C65" s="362"/>
      <c r="D65" s="362"/>
      <c r="E65" s="361">
        <f>'Sources and Uses Budget'!S65</f>
        <v>44713</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 Borrower Legal</v>
      </c>
      <c r="B69" s="361">
        <f>'Sources and Uses Budget'!C69</f>
        <v>70000</v>
      </c>
      <c r="C69" s="362"/>
      <c r="D69" s="362"/>
      <c r="E69" s="361">
        <f>'Sources and Uses Budget'!S69</f>
        <v>40000</v>
      </c>
      <c r="F69" s="362"/>
      <c r="G69" s="362"/>
      <c r="H69" s="361">
        <f>'Sources and Uses Budget'!T69</f>
        <v>0</v>
      </c>
      <c r="I69" s="362"/>
      <c r="J69" s="362"/>
      <c r="K69" s="359"/>
    </row>
    <row r="70" spans="1:11" s="360" customFormat="1">
      <c r="A70" s="365" t="s">
        <v>601</v>
      </c>
      <c r="B70" s="361">
        <f>'Sources and Uses Budget'!C70</f>
        <v>155000</v>
      </c>
      <c r="C70" s="361">
        <f>SUM(C64:C69)</f>
        <v>0</v>
      </c>
      <c r="D70" s="361">
        <f>SUM(D64:D69)</f>
        <v>0</v>
      </c>
      <c r="E70" s="361">
        <f>'Sources and Uses Budget'!S70</f>
        <v>84713</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985</v>
      </c>
      <c r="B74" s="361">
        <f>'Sources and Uses Budget'!C74</f>
        <v>615000</v>
      </c>
      <c r="C74" s="362"/>
      <c r="D74" s="362"/>
      <c r="E74" s="363"/>
      <c r="F74" s="363"/>
      <c r="G74" s="363"/>
      <c r="H74" s="363"/>
      <c r="I74" s="363"/>
      <c r="J74" s="363"/>
      <c r="K74" s="359"/>
    </row>
    <row r="75" spans="1:11" s="360" customFormat="1">
      <c r="A75" s="364" t="s">
        <v>605</v>
      </c>
      <c r="B75" s="361">
        <f>'Sources and Uses Budget'!C75</f>
        <v>738859</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1353859</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1381847</v>
      </c>
      <c r="C79" s="362"/>
      <c r="D79" s="362"/>
      <c r="E79" s="361">
        <f>'Sources and Uses Budget'!S79</f>
        <v>1381847</v>
      </c>
      <c r="F79" s="362"/>
      <c r="G79" s="362"/>
      <c r="H79" s="361">
        <f>'Sources and Uses Budget'!T79</f>
        <v>0</v>
      </c>
      <c r="I79" s="362"/>
      <c r="J79" s="362"/>
      <c r="K79" s="359"/>
    </row>
    <row r="80" spans="1:11" s="360" customFormat="1">
      <c r="A80" s="364" t="s">
        <v>58</v>
      </c>
      <c r="B80" s="361">
        <f>'Sources and Uses Budget'!C80</f>
        <v>178322</v>
      </c>
      <c r="C80" s="362"/>
      <c r="D80" s="362"/>
      <c r="E80" s="361">
        <f>'Sources and Uses Budget'!S80</f>
        <v>178322</v>
      </c>
      <c r="F80" s="362"/>
      <c r="G80" s="362"/>
      <c r="H80" s="361">
        <f>'Sources and Uses Budget'!T80</f>
        <v>0</v>
      </c>
      <c r="I80" s="362"/>
      <c r="J80" s="362"/>
      <c r="K80" s="359"/>
    </row>
    <row r="81" spans="1:11" s="360" customFormat="1">
      <c r="A81" s="365" t="s">
        <v>1208</v>
      </c>
      <c r="B81" s="361">
        <f>'Sources and Uses Budget'!C81</f>
        <v>1560169</v>
      </c>
      <c r="C81" s="361">
        <f>SUM(C79:C80)</f>
        <v>0</v>
      </c>
      <c r="D81" s="361">
        <f>SUM(D79:D80)</f>
        <v>0</v>
      </c>
      <c r="E81" s="361">
        <f>'Sources and Uses Budget'!S81</f>
        <v>1560169</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9" customHeight="1">
      <c r="A83" s="145" t="s">
        <v>2093</v>
      </c>
      <c r="B83" s="361">
        <f>'Sources and Uses Budget'!C83</f>
        <v>132339</v>
      </c>
      <c r="C83" s="362"/>
      <c r="D83" s="362"/>
      <c r="E83" s="363"/>
      <c r="F83" s="363"/>
      <c r="G83" s="363"/>
      <c r="H83" s="363"/>
      <c r="I83" s="363"/>
      <c r="J83" s="363"/>
      <c r="K83" s="359"/>
    </row>
    <row r="84" spans="1:11" s="360" customFormat="1">
      <c r="A84" s="145" t="s">
        <v>767</v>
      </c>
      <c r="B84" s="361">
        <f>'Sources and Uses Budget'!C84</f>
        <v>72500</v>
      </c>
      <c r="C84" s="362"/>
      <c r="D84" s="362"/>
      <c r="E84" s="361">
        <f>'Sources and Uses Budget'!S84</f>
        <v>72500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217500</v>
      </c>
      <c r="C86" s="362"/>
      <c r="D86" s="362"/>
      <c r="E86" s="361">
        <f>'Sources and Uses Budget'!S86</f>
        <v>217500</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0</v>
      </c>
      <c r="C88" s="362"/>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6500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7500</v>
      </c>
      <c r="C92" s="362"/>
      <c r="D92" s="362"/>
      <c r="E92" s="361">
        <f>'Sources and Uses Budget'!S92</f>
        <v>7500</v>
      </c>
      <c r="F92" s="362"/>
      <c r="G92" s="362"/>
      <c r="H92" s="361">
        <f>'Sources and Uses Budget'!T92</f>
        <v>0</v>
      </c>
      <c r="I92" s="362"/>
      <c r="J92" s="362"/>
      <c r="K92" s="359"/>
    </row>
    <row r="93" spans="1:11" s="360" customFormat="1" ht="24">
      <c r="A93" s="364" t="str">
        <f>'Sources and Uses Budget'!$A93</f>
        <v>Other: (Specify) Construction Supervision</v>
      </c>
      <c r="B93" s="361">
        <f>'Sources and Uses Budget'!C93</f>
        <v>116000</v>
      </c>
      <c r="C93" s="362"/>
      <c r="D93" s="362"/>
      <c r="E93" s="361">
        <f>'Sources and Uses Budget'!S93</f>
        <v>116000</v>
      </c>
      <c r="F93" s="362"/>
      <c r="G93" s="362"/>
      <c r="H93" s="361">
        <f>'Sources and Uses Budget'!T93</f>
        <v>0</v>
      </c>
      <c r="I93" s="362"/>
      <c r="J93" s="362"/>
      <c r="K93" s="359"/>
    </row>
    <row r="94" spans="1:11" s="360" customFormat="1">
      <c r="A94" s="364" t="str">
        <f>'Sources and Uses Budget'!$A94</f>
        <v>Other: (Specify) Acquisition Legal</v>
      </c>
      <c r="B94" s="361">
        <f>'Sources and Uses Budget'!C94</f>
        <v>55937</v>
      </c>
      <c r="C94" s="362"/>
      <c r="D94" s="362"/>
      <c r="E94" s="361">
        <f>'Sources and Uses Budget'!S94</f>
        <v>0</v>
      </c>
      <c r="F94" s="362"/>
      <c r="G94" s="362"/>
      <c r="H94" s="361">
        <f>'Sources and Uses Budget'!T94</f>
        <v>55937</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608276</v>
      </c>
      <c r="C96" s="361">
        <f>SUM(C83:C95)</f>
        <v>0</v>
      </c>
      <c r="D96" s="361">
        <f>SUM(D83:D95)</f>
        <v>0</v>
      </c>
      <c r="E96" s="361">
        <f>'Sources and Uses Budget'!S96</f>
        <v>413500</v>
      </c>
      <c r="F96" s="367">
        <f>SUM(F84:F87,F89:F95)</f>
        <v>0</v>
      </c>
      <c r="G96" s="367">
        <f>SUM(G84:G87,G89:G95)</f>
        <v>0</v>
      </c>
      <c r="H96" s="361">
        <f>'Sources and Uses Budget'!T96</f>
        <v>55937</v>
      </c>
      <c r="I96" s="361">
        <f>SUM(I84:I87,I89:I95)</f>
        <v>0</v>
      </c>
      <c r="J96" s="361">
        <f>SUM(J84:J87,J89:J95)</f>
        <v>0</v>
      </c>
      <c r="K96" s="359"/>
    </row>
    <row r="97" spans="1:11" s="360" customFormat="1">
      <c r="A97" s="365" t="s">
        <v>1028</v>
      </c>
      <c r="B97" s="361">
        <f>'Sources and Uses Budget'!C97</f>
        <v>71096430</v>
      </c>
      <c r="C97" s="361">
        <f>SUM(C63+C70+C77+C81+C96)</f>
        <v>0</v>
      </c>
      <c r="D97" s="361">
        <f>SUM(D63+D70+D77+D81+D96)</f>
        <v>0</v>
      </c>
      <c r="E97" s="361">
        <f>'Sources and Uses Budget'!S97</f>
        <v>23778228</v>
      </c>
      <c r="F97" s="367">
        <f>SUM(+F63+F70+F81+F96)</f>
        <v>0</v>
      </c>
      <c r="G97" s="367">
        <f>SUM(+G63+G70+G81+G96)</f>
        <v>0</v>
      </c>
      <c r="H97" s="361">
        <f>'Sources and Uses Budget'!T97</f>
        <v>35522215</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5342844</v>
      </c>
      <c r="C99" s="362"/>
      <c r="D99" s="362"/>
      <c r="E99" s="361">
        <f>'Sources and Uses Budget'!S99</f>
        <v>3566734</v>
      </c>
      <c r="F99" s="362"/>
      <c r="G99" s="362"/>
      <c r="H99" s="361">
        <f>'Sources and Uses Budget'!T99</f>
        <v>1776110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5342844</v>
      </c>
      <c r="C104" s="361">
        <f>SUM(C99:C103)</f>
        <v>0</v>
      </c>
      <c r="D104" s="361">
        <f>SUM(D99:D103)</f>
        <v>0</v>
      </c>
      <c r="E104" s="361">
        <f>'Sources and Uses Budget'!S104</f>
        <v>3566734</v>
      </c>
      <c r="F104" s="367">
        <f>SUM(F99:F103)</f>
        <v>0</v>
      </c>
      <c r="G104" s="367">
        <f>SUM(G99:G103)</f>
        <v>0</v>
      </c>
      <c r="H104" s="361">
        <f>'Sources and Uses Budget'!T104</f>
        <v>1776110</v>
      </c>
      <c r="I104" s="367">
        <f>SUM(I99:I103)</f>
        <v>0</v>
      </c>
      <c r="J104" s="367">
        <f>SUM(J99:J103)</f>
        <v>0</v>
      </c>
      <c r="K104" s="359"/>
    </row>
    <row r="105" spans="1:11" s="360" customFormat="1">
      <c r="A105" s="365" t="s">
        <v>1029</v>
      </c>
      <c r="B105" s="361">
        <f>'Sources and Uses Budget'!C105</f>
        <v>76439274</v>
      </c>
      <c r="C105" s="367">
        <f>SUM(C97+C104)</f>
        <v>0</v>
      </c>
      <c r="D105" s="367">
        <f>SUM(D97+D104)</f>
        <v>0</v>
      </c>
      <c r="E105" s="361">
        <f>'Sources and Uses Budget'!S105</f>
        <v>27344962</v>
      </c>
      <c r="F105" s="367">
        <f>F97+F104</f>
        <v>0</v>
      </c>
      <c r="G105" s="367">
        <f>G97+G104</f>
        <v>0</v>
      </c>
      <c r="H105" s="361">
        <f>'Sources and Uses Budget'!T105</f>
        <v>37298325</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27344962</v>
      </c>
      <c r="F107" s="367">
        <f>F105+F106</f>
        <v>0</v>
      </c>
      <c r="G107" s="367">
        <f>G105+G106</f>
        <v>0</v>
      </c>
      <c r="H107" s="361">
        <f>'Sources and Uses Budget'!T107</f>
        <v>37298325</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19" t="s">
        <v>2455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Eden Palms</v>
      </c>
      <c r="M4" s="2312"/>
      <c r="N4" s="2312"/>
      <c r="O4" s="2312"/>
      <c r="P4" s="2312"/>
      <c r="Q4" s="2312"/>
      <c r="R4" s="2312"/>
      <c r="S4" s="2312"/>
      <c r="T4" s="2312"/>
      <c r="U4" s="2312"/>
      <c r="V4" s="2312"/>
      <c r="W4" s="2312"/>
      <c r="X4" s="2312"/>
      <c r="Y4" s="2312"/>
      <c r="Z4" s="2312"/>
      <c r="AA4" s="2312"/>
      <c r="AB4" s="2312"/>
      <c r="AC4" s="2313"/>
      <c r="AD4" s="1190"/>
      <c r="AE4" s="1190"/>
      <c r="AF4" s="2307" t="s">
        <v>2453</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2452</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1" t="str">
        <f>IF(Application!H16="","",Application!H16)</f>
        <v>Eden Housing, Inc.</v>
      </c>
      <c r="M6" s="2312"/>
      <c r="N6" s="2312"/>
      <c r="O6" s="2312"/>
      <c r="P6" s="2312"/>
      <c r="Q6" s="2312"/>
      <c r="R6" s="2312"/>
      <c r="S6" s="2312"/>
      <c r="T6" s="2312"/>
      <c r="U6" s="2312"/>
      <c r="V6" s="2312"/>
      <c r="W6" s="2312"/>
      <c r="X6" s="2312"/>
      <c r="Y6" s="2312"/>
      <c r="Z6" s="2312"/>
      <c r="AA6" s="2312"/>
      <c r="AB6" s="2312"/>
      <c r="AC6" s="2313"/>
      <c r="AD6" s="1190"/>
      <c r="AE6" s="1190"/>
      <c r="AF6" s="2314" t="s">
        <v>2450</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2449</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2447</v>
      </c>
      <c r="AG8" s="2314"/>
      <c r="AH8" s="2314"/>
      <c r="AI8" s="2314"/>
      <c r="AJ8" s="2314"/>
      <c r="AK8" s="2314"/>
      <c r="AL8" s="2314"/>
      <c r="AM8" s="2314"/>
      <c r="AN8" s="2314"/>
      <c r="AO8" s="2314"/>
      <c r="AP8" s="2315" t="s">
        <v>2097</v>
      </c>
      <c r="AQ8" s="2315"/>
      <c r="AR8" s="2315"/>
      <c r="AS8" s="2315"/>
      <c r="AT8" s="2315"/>
      <c r="AU8" s="231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2446</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0">
        <f>Application!AO627</f>
        <v>18258000</v>
      </c>
      <c r="O10" s="2310"/>
      <c r="P10" s="2310"/>
      <c r="Q10" s="2310"/>
      <c r="R10" s="2310"/>
      <c r="S10" s="2310"/>
      <c r="T10" s="2310"/>
      <c r="U10" s="1190"/>
      <c r="V10" s="1190"/>
      <c r="W10" s="1190"/>
      <c r="X10" s="1193"/>
      <c r="Y10" s="1193"/>
      <c r="Z10" s="1193"/>
      <c r="AA10" s="1193"/>
      <c r="AB10" s="1193"/>
      <c r="AC10" s="1193"/>
      <c r="AD10" s="1193"/>
      <c r="AE10" s="1193"/>
      <c r="AF10" s="2307" t="s">
        <v>2443</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2440</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298" t="s">
        <v>2438</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2437</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2435</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2434</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2433</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2432</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2431</v>
      </c>
      <c r="C18" s="2292"/>
      <c r="D18" s="2292"/>
      <c r="E18" s="2292"/>
      <c r="F18" s="2292"/>
      <c r="G18" s="2292"/>
      <c r="H18" s="2292"/>
      <c r="I18" s="2293"/>
      <c r="J18" s="2294" t="s">
        <v>1585</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2430</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13</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0</v>
      </c>
      <c r="W19" s="2281"/>
      <c r="X19" s="2281"/>
      <c r="Y19" s="2281"/>
      <c r="Z19" s="2281"/>
      <c r="AA19" s="2282"/>
      <c r="AB19" s="2280" cm="1">
        <f t="array" ref="AB19">SUMPRODUCT((Application!$B$714:$B$738 = 'CalHFA Addendum'!AB$18)*(Application!$AC$714:$AC$738 = 'CalHFA Addendum'!$B19),Application!$G$714:$G$738)</f>
        <v>6</v>
      </c>
      <c r="AC19" s="2281"/>
      <c r="AD19" s="2281"/>
      <c r="AE19" s="2281"/>
      <c r="AF19" s="2281"/>
      <c r="AG19" s="2282"/>
      <c r="AH19" s="2280" cm="1">
        <f t="array" ref="AH19">SUMPRODUCT((Application!$B$714:$B$738 = 'CalHFA Addendum'!AH$18)*(Application!$AC$714:$AC$738 = 'CalHFA Addendum'!$B19),Application!$G$714:$G$738)</f>
        <v>3</v>
      </c>
      <c r="AI19" s="2281"/>
      <c r="AJ19" s="2281"/>
      <c r="AK19" s="2281"/>
      <c r="AL19" s="2281"/>
      <c r="AM19" s="2282"/>
      <c r="AN19" s="2280" cm="1">
        <f t="array" ref="AN19">SUMPRODUCT((Application!$B$714:$B$738 = 'CalHFA Addendum'!AN$18)*(Application!$AC$714:$AC$738 = 'CalHFA Addendum'!$B19),Application!$G$714:$G$738)</f>
        <v>4</v>
      </c>
      <c r="AO19" s="2281"/>
      <c r="AP19" s="2281"/>
      <c r="AQ19" s="2281"/>
      <c r="AR19" s="2281"/>
      <c r="AS19" s="2282"/>
      <c r="AT19" s="2265">
        <f t="shared" ref="AT19:AT29" si="1">J19/$J$29</f>
        <v>9.3525179856115109E-2</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89</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26</v>
      </c>
      <c r="AC21" s="2281"/>
      <c r="AD21" s="2281"/>
      <c r="AE21" s="2281"/>
      <c r="AF21" s="2281"/>
      <c r="AG21" s="2282"/>
      <c r="AH21" s="2280" cm="1">
        <f t="array" ref="AH21">SUMPRODUCT((Application!$B$714:$B$738 = 'CalHFA Addendum'!AH$18)*(Application!$AC$714:$AC$738 = 'CalHFA Addendum'!$B21),Application!$G$714:$G$738)</f>
        <v>36</v>
      </c>
      <c r="AI21" s="2281"/>
      <c r="AJ21" s="2281"/>
      <c r="AK21" s="2281"/>
      <c r="AL21" s="2281"/>
      <c r="AM21" s="2282"/>
      <c r="AN21" s="2280" cm="1">
        <f t="array" ref="AN21">SUMPRODUCT((Application!$B$714:$B$738 = 'CalHFA Addendum'!AN$18)*(Application!$AC$714:$AC$738 = 'CalHFA Addendum'!$B21),Application!$G$714:$G$738)</f>
        <v>27</v>
      </c>
      <c r="AO21" s="2281"/>
      <c r="AP21" s="2281"/>
      <c r="AQ21" s="2281"/>
      <c r="AR21" s="2281"/>
      <c r="AS21" s="2282"/>
      <c r="AT21" s="2265">
        <f t="shared" si="1"/>
        <v>0.64028776978417268</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35</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8</v>
      </c>
      <c r="AC22" s="2281"/>
      <c r="AD22" s="2281"/>
      <c r="AE22" s="2281"/>
      <c r="AF22" s="2281"/>
      <c r="AG22" s="2282"/>
      <c r="AH22" s="2280" cm="1">
        <f t="array" ref="AH22">SUMPRODUCT((Application!$B$714:$B$738 = 'CalHFA Addendum'!AH$18)*(Application!$AC$714:$AC$738 = 'CalHFA Addendum'!$B22),Application!$G$714:$G$738)</f>
        <v>16</v>
      </c>
      <c r="AI22" s="2281"/>
      <c r="AJ22" s="2281"/>
      <c r="AK22" s="2281"/>
      <c r="AL22" s="2281"/>
      <c r="AM22" s="2282"/>
      <c r="AN22" s="2280" cm="1">
        <f t="array" ref="AN22">SUMPRODUCT((Application!$B$714:$B$738 = 'CalHFA Addendum'!AN$18)*(Application!$AC$714:$AC$738 = 'CalHFA Addendum'!$B22),Application!$G$714:$G$738)</f>
        <v>11</v>
      </c>
      <c r="AO22" s="2281"/>
      <c r="AP22" s="2281"/>
      <c r="AQ22" s="2281"/>
      <c r="AR22" s="2281"/>
      <c r="AS22" s="2282"/>
      <c r="AT22" s="2265">
        <f t="shared" si="1"/>
        <v>0.25179856115107913</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2429</v>
      </c>
      <c r="C28" s="2269"/>
      <c r="D28" s="2269"/>
      <c r="E28" s="2269"/>
      <c r="F28" s="2269"/>
      <c r="G28" s="2269"/>
      <c r="H28" s="2269"/>
      <c r="I28" s="2270"/>
      <c r="J28" s="2271">
        <f>SUM(P28:AS28)</f>
        <v>2</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0</v>
      </c>
      <c r="AC28" s="2272"/>
      <c r="AD28" s="2272"/>
      <c r="AE28" s="2272"/>
      <c r="AF28" s="2272"/>
      <c r="AG28" s="2273"/>
      <c r="AH28" s="2271">
        <f>_xlfn.IFNA(VLOOKUP(AH$18,Application!$J$773:$S$776,6,FALSE), 0)</f>
        <v>2</v>
      </c>
      <c r="AI28" s="2272"/>
      <c r="AJ28" s="2272"/>
      <c r="AK28" s="2272"/>
      <c r="AL28" s="2272"/>
      <c r="AM28" s="2273"/>
      <c r="AN28" s="2271">
        <f>_xlfn.IFNA(VLOOKUP(AN$18,Application!$J$773:$S$776,6,FALSE), 0)</f>
        <v>0</v>
      </c>
      <c r="AO28" s="2272"/>
      <c r="AP28" s="2272"/>
      <c r="AQ28" s="2272"/>
      <c r="AR28" s="2272"/>
      <c r="AS28" s="2273"/>
      <c r="AT28" s="2274">
        <f t="shared" si="1"/>
        <v>1.4388489208633094E-2</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139</v>
      </c>
      <c r="K29" s="2224"/>
      <c r="L29" s="2224"/>
      <c r="M29" s="2224"/>
      <c r="N29" s="2224"/>
      <c r="O29" s="2225"/>
      <c r="P29" s="2223">
        <f>SUM(P19:U28)</f>
        <v>0</v>
      </c>
      <c r="Q29" s="2224"/>
      <c r="R29" s="2224"/>
      <c r="S29" s="2224"/>
      <c r="T29" s="2224"/>
      <c r="U29" s="2225"/>
      <c r="V29" s="2223">
        <f>SUM(V19:AA28)</f>
        <v>0</v>
      </c>
      <c r="W29" s="2224"/>
      <c r="X29" s="2224"/>
      <c r="Y29" s="2224"/>
      <c r="Z29" s="2224"/>
      <c r="AA29" s="2225"/>
      <c r="AB29" s="2223">
        <f>SUM(AB19:AG28)</f>
        <v>40</v>
      </c>
      <c r="AC29" s="2224"/>
      <c r="AD29" s="2224"/>
      <c r="AE29" s="2224"/>
      <c r="AF29" s="2224"/>
      <c r="AG29" s="2225"/>
      <c r="AH29" s="2223">
        <f>SUM(AH19:AM28)</f>
        <v>57</v>
      </c>
      <c r="AI29" s="2224"/>
      <c r="AJ29" s="2224"/>
      <c r="AK29" s="2224"/>
      <c r="AL29" s="2224"/>
      <c r="AM29" s="2225"/>
      <c r="AN29" s="2223">
        <f>SUM(AN19:AS28)</f>
        <v>42</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2428</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2427</v>
      </c>
      <c r="C32" s="2233"/>
      <c r="D32" s="2233"/>
      <c r="E32" s="2233"/>
      <c r="F32" s="2233"/>
      <c r="G32" s="2233"/>
      <c r="H32" s="2233"/>
      <c r="I32" s="2233"/>
      <c r="J32" s="2236" t="s">
        <v>2426</v>
      </c>
      <c r="K32" s="2237"/>
      <c r="L32" s="2237"/>
      <c r="M32" s="2237"/>
      <c r="N32" s="2236" t="s">
        <v>2425</v>
      </c>
      <c r="O32" s="2237"/>
      <c r="P32" s="2237"/>
      <c r="Q32" s="2239"/>
      <c r="R32" s="2241" t="s">
        <v>2424</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2423</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2422</v>
      </c>
      <c r="AT35" s="2253"/>
      <c r="AU35" s="2253"/>
      <c r="AV35" s="2253"/>
      <c r="AW35" s="2253"/>
      <c r="AX35" s="2261"/>
      <c r="AY35" s="2252" t="s">
        <v>2421</v>
      </c>
      <c r="AZ35" s="2253"/>
      <c r="BA35" s="2253"/>
      <c r="BB35" s="2253"/>
      <c r="BC35" s="2253"/>
      <c r="BD35" s="2254"/>
      <c r="BE35" s="1194"/>
    </row>
    <row r="36" spans="1:58" ht="15.75" customHeight="1">
      <c r="A36" s="1190"/>
      <c r="B36" s="2156" t="s">
        <v>2420</v>
      </c>
      <c r="C36" s="2157"/>
      <c r="D36" s="2157"/>
      <c r="E36" s="2157"/>
      <c r="F36" s="2157"/>
      <c r="G36" s="2157"/>
      <c r="H36" s="2157"/>
      <c r="I36" s="2157"/>
      <c r="J36" s="2221" t="s">
        <v>2419</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2418</v>
      </c>
      <c r="C37" s="2157"/>
      <c r="D37" s="2157"/>
      <c r="E37" s="2157"/>
      <c r="F37" s="2157"/>
      <c r="G37" s="2157"/>
      <c r="H37" s="2157"/>
      <c r="I37" s="2157"/>
      <c r="J37" s="2221" t="s">
        <v>2417</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2416</v>
      </c>
      <c r="C38" s="2157"/>
      <c r="D38" s="2157"/>
      <c r="E38" s="2157"/>
      <c r="F38" s="2157"/>
      <c r="G38" s="2157"/>
      <c r="H38" s="2157"/>
      <c r="I38" s="2157"/>
      <c r="J38" s="2221" t="s">
        <v>2415</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2414</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2414</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2413</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2413</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2412</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2411</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2410</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2407</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2400</v>
      </c>
      <c r="C51" s="2099"/>
      <c r="D51" s="2099"/>
      <c r="E51" s="2099"/>
      <c r="F51" s="2099"/>
      <c r="G51" s="2099"/>
      <c r="H51" s="2099"/>
      <c r="I51" s="2099"/>
      <c r="J51" s="2099" t="s">
        <v>2406</v>
      </c>
      <c r="K51" s="2099"/>
      <c r="L51" s="2099"/>
      <c r="M51" s="2099"/>
      <c r="N51" s="2099"/>
      <c r="O51" s="2099"/>
      <c r="P51" s="2099"/>
      <c r="Q51" s="2099"/>
      <c r="R51" s="2200" t="s">
        <v>2405</v>
      </c>
      <c r="S51" s="2200"/>
      <c r="T51" s="2200"/>
      <c r="U51" s="2200"/>
      <c r="V51" s="2200"/>
      <c r="W51" s="2200"/>
      <c r="X51" s="2200"/>
      <c r="Y51" s="2200"/>
      <c r="Z51" s="2200" t="s">
        <v>2404</v>
      </c>
      <c r="AA51" s="2200"/>
      <c r="AB51" s="2200"/>
      <c r="AC51" s="2200"/>
      <c r="AD51" s="2200"/>
      <c r="AE51" s="2200"/>
      <c r="AF51" s="2200"/>
      <c r="AG51" s="2200"/>
      <c r="AH51" s="2200" t="s">
        <v>2403</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2402</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2401</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2400</v>
      </c>
      <c r="C59" s="2190"/>
      <c r="D59" s="2190"/>
      <c r="E59" s="2190"/>
      <c r="F59" s="2190"/>
      <c r="G59" s="2190"/>
      <c r="H59" s="2190"/>
      <c r="I59" s="2191"/>
      <c r="J59" s="2097" t="s">
        <v>2399</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2397</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2396</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2395</v>
      </c>
    </row>
    <row r="69" spans="1:94" ht="15.75" customHeight="1" thickTop="1" thickBot="1">
      <c r="A69" s="1190"/>
      <c r="B69" s="2174" t="s">
        <v>2394</v>
      </c>
      <c r="C69" s="2175"/>
      <c r="D69" s="2175"/>
      <c r="E69" s="2175"/>
      <c r="F69" s="2175"/>
      <c r="G69" s="2175"/>
      <c r="H69" s="2175"/>
      <c r="I69" s="2175"/>
      <c r="J69" s="2175"/>
      <c r="K69" s="2175"/>
      <c r="L69" s="2175"/>
      <c r="M69" s="2175"/>
      <c r="N69" s="2175"/>
      <c r="O69" s="2176" t="s">
        <v>2393</v>
      </c>
      <c r="P69" s="2177"/>
      <c r="Q69" s="2177"/>
      <c r="R69" s="2177"/>
      <c r="S69" s="2177"/>
      <c r="T69" s="2177"/>
      <c r="U69" s="2177"/>
      <c r="V69" s="2177"/>
      <c r="W69" s="2177"/>
      <c r="X69" s="2177"/>
      <c r="Y69" s="2177"/>
      <c r="Z69" s="2177"/>
      <c r="AA69" s="2178"/>
      <c r="AB69" s="1190"/>
      <c r="AC69" s="2179" t="s">
        <v>2392</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545</v>
      </c>
    </row>
    <row r="70" spans="1:94" ht="15.75" customHeight="1">
      <c r="A70" s="1190"/>
      <c r="B70" s="2156" t="s">
        <v>2391</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2390</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2389</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2388</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2387</v>
      </c>
    </row>
    <row r="72" spans="1:94" ht="15.75" customHeight="1">
      <c r="A72" s="1190"/>
      <c r="B72" s="2156" t="s">
        <v>2386</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2385</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2384</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2329</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2382</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2381</v>
      </c>
      <c r="C81" s="2151"/>
      <c r="D81" s="2151"/>
      <c r="E81" s="2151"/>
      <c r="F81" s="2151"/>
      <c r="G81" s="2151"/>
      <c r="H81" s="2151"/>
      <c r="I81" s="2151"/>
      <c r="J81" s="2151"/>
      <c r="K81" s="2151"/>
      <c r="L81" s="2151"/>
      <c r="M81" s="2151"/>
      <c r="N81" s="2151"/>
      <c r="O81" s="2151"/>
      <c r="P81" s="2151"/>
      <c r="Q81" s="2151"/>
      <c r="R81" s="2132" t="s">
        <v>2187</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2380</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2379</v>
      </c>
      <c r="AK83" s="2121"/>
      <c r="AL83" s="2121"/>
      <c r="AM83" s="2121"/>
      <c r="AN83" s="2121"/>
      <c r="AO83" s="2121"/>
      <c r="AP83" s="2121"/>
      <c r="AQ83" s="2121"/>
      <c r="AR83" s="2121"/>
      <c r="AS83" s="2121"/>
      <c r="AT83" s="2121"/>
      <c r="AU83" s="2121"/>
      <c r="AV83" s="2121"/>
      <c r="AW83" s="2121"/>
      <c r="AX83" s="2121"/>
      <c r="AY83" s="2137" t="s">
        <v>545</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2369</v>
      </c>
      <c r="J84" s="2099"/>
      <c r="K84" s="2099"/>
      <c r="L84" s="2099"/>
      <c r="M84" s="2099"/>
      <c r="N84" s="2099"/>
      <c r="O84" s="2099" t="s">
        <v>2345</v>
      </c>
      <c r="P84" s="2099"/>
      <c r="Q84" s="2099"/>
      <c r="R84" s="2099"/>
      <c r="S84" s="2099"/>
      <c r="T84" s="2099"/>
      <c r="U84" s="2099"/>
      <c r="V84" s="2135" t="s">
        <v>2344</v>
      </c>
      <c r="W84" s="2135"/>
      <c r="X84" s="2135"/>
      <c r="Y84" s="2135"/>
      <c r="Z84" s="2135"/>
      <c r="AA84" s="2135"/>
      <c r="AB84" s="2069" t="s">
        <v>2368</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2367</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2366</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2373</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2365</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2377</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2376</v>
      </c>
      <c r="C94" s="2151"/>
      <c r="D94" s="2151"/>
      <c r="E94" s="2151"/>
      <c r="F94" s="2151"/>
      <c r="G94" s="2151"/>
      <c r="H94" s="2151"/>
      <c r="I94" s="2151"/>
      <c r="J94" s="2151"/>
      <c r="K94" s="2151"/>
      <c r="L94" s="2151"/>
      <c r="M94" s="2151"/>
      <c r="N94" s="2151"/>
      <c r="O94" s="2151"/>
      <c r="P94" s="2151"/>
      <c r="Q94" s="2152"/>
      <c r="R94" s="2132" t="s">
        <v>2187</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2375</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2374</v>
      </c>
      <c r="AK96" s="2121"/>
      <c r="AL96" s="2121"/>
      <c r="AM96" s="2121"/>
      <c r="AN96" s="2121"/>
      <c r="AO96" s="2121"/>
      <c r="AP96" s="2121"/>
      <c r="AQ96" s="2121"/>
      <c r="AR96" s="2121"/>
      <c r="AS96" s="2121"/>
      <c r="AT96" s="2121"/>
      <c r="AU96" s="2121"/>
      <c r="AV96" s="2121"/>
      <c r="AW96" s="2121"/>
      <c r="AX96" s="2121"/>
      <c r="AY96" s="2137" t="s">
        <v>545</v>
      </c>
      <c r="AZ96" s="2137"/>
      <c r="BA96" s="2137"/>
      <c r="BB96" s="2138"/>
      <c r="BC96" s="1190"/>
      <c r="BD96" s="1190"/>
      <c r="BE96" s="1194"/>
      <c r="BQ96" s="1256" t="str">
        <f>Application!M243&amp;IF(TRIM(Application!AA249)&lt;&gt;""," ("&amp;Application!AA249&amp;")","")</f>
        <v>Eden Palms LLC (Eden Housing, Inc.)</v>
      </c>
      <c r="BR96" s="1259">
        <f>Application!AH246</f>
        <v>0.01</v>
      </c>
      <c r="CM96" s="1188"/>
      <c r="CN96" s="1188"/>
      <c r="CO96" s="1188"/>
      <c r="CP96" s="1188"/>
    </row>
    <row r="97" spans="1:94" ht="15.75" customHeight="1">
      <c r="A97" s="1190"/>
      <c r="B97" s="2131"/>
      <c r="C97" s="2099"/>
      <c r="D97" s="2099"/>
      <c r="E97" s="2099"/>
      <c r="F97" s="2099"/>
      <c r="G97" s="2099"/>
      <c r="H97" s="2099"/>
      <c r="I97" s="2099" t="s">
        <v>2369</v>
      </c>
      <c r="J97" s="2099"/>
      <c r="K97" s="2099"/>
      <c r="L97" s="2099"/>
      <c r="M97" s="2099"/>
      <c r="N97" s="2099"/>
      <c r="O97" s="2099" t="s">
        <v>2345</v>
      </c>
      <c r="P97" s="2099"/>
      <c r="Q97" s="2099"/>
      <c r="R97" s="2099"/>
      <c r="S97" s="2099"/>
      <c r="T97" s="2099"/>
      <c r="U97" s="2099"/>
      <c r="V97" s="2135" t="s">
        <v>2344</v>
      </c>
      <c r="W97" s="2135"/>
      <c r="X97" s="2135"/>
      <c r="Y97" s="2135"/>
      <c r="Z97" s="2135"/>
      <c r="AA97" s="2135"/>
      <c r="AB97" s="2069" t="s">
        <v>2368</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
      </c>
      <c r="BR97" s="1259">
        <f>Application!AH254</f>
        <v>0</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2367</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2366</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2373</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2365</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Eden Housing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2370</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2369</v>
      </c>
      <c r="J108" s="2099"/>
      <c r="K108" s="2099"/>
      <c r="L108" s="2099"/>
      <c r="M108" s="2099"/>
      <c r="N108" s="2099"/>
      <c r="O108" s="2099" t="s">
        <v>2345</v>
      </c>
      <c r="P108" s="2099"/>
      <c r="Q108" s="2099"/>
      <c r="R108" s="2099"/>
      <c r="S108" s="2099"/>
      <c r="T108" s="2099"/>
      <c r="U108" s="2099"/>
      <c r="V108" s="2135" t="s">
        <v>2344</v>
      </c>
      <c r="W108" s="2135"/>
      <c r="X108" s="2135"/>
      <c r="Y108" s="2135"/>
      <c r="Z108" s="2135"/>
      <c r="AA108" s="2135"/>
      <c r="AB108" s="2069" t="s">
        <v>2368</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2367</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2366</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2365</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2363</v>
      </c>
      <c r="C117" s="2105"/>
      <c r="D117" s="2105"/>
      <c r="E117" s="2105"/>
      <c r="F117" s="2105"/>
      <c r="G117" s="2105"/>
      <c r="H117" s="2105"/>
      <c r="I117" s="2105"/>
      <c r="J117" s="2105"/>
      <c r="K117" s="2105"/>
      <c r="L117" s="2105"/>
      <c r="M117" s="2105"/>
      <c r="N117" s="2105"/>
      <c r="O117" s="2105"/>
      <c r="P117" s="2105"/>
      <c r="Q117" s="2105"/>
      <c r="R117" s="2105"/>
      <c r="S117" s="2105"/>
      <c r="T117" s="2105"/>
      <c r="U117" s="2108" t="s">
        <v>545</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2363</v>
      </c>
      <c r="C121" s="2113"/>
      <c r="D121" s="2113"/>
      <c r="E121" s="2113"/>
      <c r="F121" s="2113"/>
      <c r="G121" s="2113"/>
      <c r="H121" s="2113"/>
      <c r="I121" s="2113"/>
      <c r="J121" s="2113"/>
      <c r="K121" s="2113"/>
      <c r="L121" s="2113"/>
      <c r="M121" s="2113"/>
      <c r="N121" s="2113"/>
      <c r="O121" s="2113"/>
      <c r="P121" s="2113"/>
      <c r="Q121" s="2113"/>
      <c r="R121" s="2113"/>
      <c r="S121" s="2113"/>
      <c r="T121" s="2113"/>
      <c r="U121" s="2116" t="s">
        <v>545</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2361</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2360</v>
      </c>
      <c r="J127" s="2099"/>
      <c r="K127" s="2099"/>
      <c r="L127" s="2099"/>
      <c r="M127" s="2099"/>
      <c r="N127" s="2099"/>
      <c r="O127" s="2100" t="s">
        <v>2359</v>
      </c>
      <c r="P127" s="2100"/>
      <c r="Q127" s="2100"/>
      <c r="R127" s="2100"/>
      <c r="S127" s="2100"/>
      <c r="T127" s="2100"/>
      <c r="U127" s="2101"/>
      <c r="V127" s="1190"/>
      <c r="W127" s="1190"/>
      <c r="X127" s="2039" t="s">
        <v>2329</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2343</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2342</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2357</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2345</v>
      </c>
      <c r="J134" s="2074"/>
      <c r="K134" s="2074"/>
      <c r="L134" s="2074"/>
      <c r="M134" s="2074"/>
      <c r="N134" s="2074"/>
      <c r="O134" s="2074"/>
      <c r="P134" s="2074" t="s">
        <v>2344</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2343</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2342</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2356</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545</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2354</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545</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2353</v>
      </c>
      <c r="C142" s="2082"/>
      <c r="D142" s="2082"/>
      <c r="E142" s="2082"/>
      <c r="F142" s="2082"/>
      <c r="G142" s="2082"/>
      <c r="H142" s="2082"/>
      <c r="I142" s="2082"/>
      <c r="J142" s="2082"/>
      <c r="K142" s="2082"/>
      <c r="L142" s="2082"/>
      <c r="M142" s="2082"/>
      <c r="N142" s="2082"/>
      <c r="O142" s="2082"/>
      <c r="P142" s="2082"/>
      <c r="Q142" s="2082"/>
      <c r="R142" s="2083" t="s">
        <v>2352</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2351</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2348</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2347</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2345</v>
      </c>
      <c r="J157" s="2074"/>
      <c r="K157" s="2074"/>
      <c r="L157" s="2074"/>
      <c r="M157" s="2074"/>
      <c r="N157" s="2074"/>
      <c r="O157" s="2074"/>
      <c r="P157" s="2074" t="s">
        <v>2346</v>
      </c>
      <c r="Q157" s="2074"/>
      <c r="R157" s="2074"/>
      <c r="S157" s="2074"/>
      <c r="T157" s="2074"/>
      <c r="U157" s="2075"/>
      <c r="V157" s="1190"/>
      <c r="W157" s="1190"/>
      <c r="X157" s="2036"/>
      <c r="Y157" s="2037"/>
      <c r="Z157" s="2037"/>
      <c r="AA157" s="2037"/>
      <c r="AB157" s="2037"/>
      <c r="AC157" s="2037"/>
      <c r="AD157" s="2037"/>
      <c r="AE157" s="2074" t="s">
        <v>2345</v>
      </c>
      <c r="AF157" s="2074"/>
      <c r="AG157" s="2074"/>
      <c r="AH157" s="2074"/>
      <c r="AI157" s="2074"/>
      <c r="AJ157" s="2074"/>
      <c r="AK157" s="2074"/>
      <c r="AL157" s="2074" t="s">
        <v>2344</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2343</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2343</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2342</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2341</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2326</v>
      </c>
      <c r="D163" s="2037"/>
      <c r="E163" s="2037"/>
      <c r="F163" s="2037"/>
      <c r="G163" s="2037"/>
      <c r="H163" s="2037"/>
      <c r="I163" s="2037"/>
      <c r="J163" s="2037"/>
      <c r="K163" s="2037"/>
      <c r="L163" s="2037"/>
      <c r="M163" s="2037"/>
      <c r="N163" s="2037"/>
      <c r="O163" s="2037"/>
      <c r="P163" s="2037"/>
      <c r="Q163" s="2037" t="s">
        <v>2340</v>
      </c>
      <c r="R163" s="2037"/>
      <c r="S163" s="2037"/>
      <c r="T163" s="2069" t="s">
        <v>2339</v>
      </c>
      <c r="U163" s="2069"/>
      <c r="V163" s="2069"/>
      <c r="W163" s="2069"/>
      <c r="X163" s="2069"/>
      <c r="Y163" s="2069"/>
      <c r="Z163" s="2069"/>
      <c r="AA163" s="2069"/>
      <c r="AB163" s="2037" t="s">
        <v>2338</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2337</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2336</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2335</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2334</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2315</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2315</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2315</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2333</v>
      </c>
      <c r="D172" s="2023"/>
      <c r="E172" s="2023"/>
      <c r="F172" s="2023"/>
      <c r="G172" s="2023"/>
      <c r="H172" s="2023"/>
      <c r="I172" s="2023"/>
      <c r="J172" s="2023"/>
      <c r="K172" s="2023"/>
      <c r="L172" s="2023"/>
      <c r="M172" s="2023"/>
      <c r="N172" s="2032"/>
      <c r="O172" s="1190"/>
      <c r="P172" s="2033" t="s">
        <v>2332</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2331</v>
      </c>
      <c r="D173" s="2037"/>
      <c r="E173" s="2037"/>
      <c r="F173" s="2037"/>
      <c r="G173" s="2037"/>
      <c r="H173" s="2037"/>
      <c r="I173" s="2037" t="s">
        <v>2330</v>
      </c>
      <c r="J173" s="2037"/>
      <c r="K173" s="2037"/>
      <c r="L173" s="2037"/>
      <c r="M173" s="2037"/>
      <c r="N173" s="2038"/>
      <c r="O173" s="1190"/>
      <c r="P173" s="2039" t="s">
        <v>2329</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2328</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2326</v>
      </c>
      <c r="D184" s="2023"/>
      <c r="E184" s="2023"/>
      <c r="F184" s="2023"/>
      <c r="G184" s="2023"/>
      <c r="H184" s="2023"/>
      <c r="I184" s="2023"/>
      <c r="J184" s="2023"/>
      <c r="K184" s="2023"/>
      <c r="L184" s="2023"/>
      <c r="M184" s="2023"/>
      <c r="N184" s="2023" t="s">
        <v>2327</v>
      </c>
      <c r="O184" s="2023"/>
      <c r="P184" s="2023"/>
      <c r="Q184" s="2023"/>
      <c r="R184" s="2023"/>
      <c r="S184" s="2023"/>
      <c r="T184" s="2023"/>
      <c r="U184" s="2024" t="s">
        <v>2326</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2325</v>
      </c>
      <c r="D185" s="2002"/>
      <c r="E185" s="2002"/>
      <c r="F185" s="2002"/>
      <c r="G185" s="2002"/>
      <c r="H185" s="2002"/>
      <c r="I185" s="2002"/>
      <c r="J185" s="2002"/>
      <c r="K185" s="2002"/>
      <c r="L185" s="2002"/>
      <c r="M185" s="2002"/>
      <c r="N185" s="2012">
        <f>'Sources and Uses Budget'!B105</f>
        <v>76439274</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2324</v>
      </c>
      <c r="D186" s="2002"/>
      <c r="E186" s="2002"/>
      <c r="F186" s="2002"/>
      <c r="G186" s="2002"/>
      <c r="H186" s="2002"/>
      <c r="I186" s="2002"/>
      <c r="J186" s="2002"/>
      <c r="K186" s="2002"/>
      <c r="L186" s="2002"/>
      <c r="M186" s="2002"/>
      <c r="N186" s="2012">
        <f>N185/J29</f>
        <v>549922.83453237405</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2323</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2322</v>
      </c>
      <c r="D188" s="2002"/>
      <c r="E188" s="2002"/>
      <c r="F188" s="2002"/>
      <c r="G188" s="2002"/>
      <c r="H188" s="2002"/>
      <c r="I188" s="2002"/>
      <c r="J188" s="2002"/>
      <c r="K188" s="2002"/>
      <c r="L188" s="2002"/>
      <c r="M188" s="2002"/>
      <c r="N188" s="2031">
        <f>SUM('Sources and Uses Budget'!B85:B86)</f>
        <v>217500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2321</v>
      </c>
      <c r="D189" s="2002"/>
      <c r="E189" s="2002"/>
      <c r="F189" s="2002"/>
      <c r="G189" s="2002"/>
      <c r="H189" s="2002"/>
      <c r="I189" s="2002"/>
      <c r="J189" s="2002"/>
      <c r="K189" s="2002"/>
      <c r="L189" s="2002"/>
      <c r="M189" s="2002"/>
      <c r="N189" s="2031">
        <f>'Sources and Uses Budget'!B8</f>
        <v>5726063</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2319</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2320</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2319</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2318</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2317</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2315</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2316</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2315</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2315</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2314</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2313</v>
      </c>
      <c r="D195" s="1956"/>
      <c r="E195" s="1956"/>
      <c r="F195" s="1956"/>
      <c r="G195" s="1956"/>
      <c r="H195" s="1956"/>
      <c r="I195" s="1956"/>
      <c r="J195" s="1956"/>
      <c r="K195" s="1956"/>
      <c r="L195" s="1956"/>
      <c r="M195" s="1956"/>
      <c r="N195" s="1957">
        <f>SUM(N187:T194)</f>
        <v>5943563</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2312</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2311</v>
      </c>
      <c r="D196" s="1966"/>
      <c r="E196" s="1966"/>
      <c r="F196" s="1966"/>
      <c r="G196" s="1966"/>
      <c r="H196" s="1966"/>
      <c r="I196" s="1966"/>
      <c r="J196" s="1966"/>
      <c r="K196" s="1966"/>
      <c r="L196" s="1966"/>
      <c r="M196" s="1966"/>
      <c r="N196" s="1967">
        <f>(N185-N195)/J29</f>
        <v>507163.38848920865</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2310</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2309</v>
      </c>
      <c r="D200" s="1953"/>
      <c r="E200" s="1953"/>
      <c r="F200" s="1953"/>
      <c r="G200" s="1953"/>
      <c r="H200" s="1953"/>
      <c r="I200" s="1953"/>
      <c r="J200" s="1953"/>
      <c r="K200" s="1953"/>
      <c r="L200" s="1953"/>
      <c r="M200" s="1953"/>
      <c r="N200" s="1953"/>
      <c r="O200" s="1954" t="s">
        <v>2308</v>
      </c>
      <c r="P200" s="1954"/>
      <c r="Q200" s="1954"/>
      <c r="R200" s="1954"/>
      <c r="S200" s="1954"/>
      <c r="T200" s="1954"/>
      <c r="U200" s="1954"/>
      <c r="V200" s="1954"/>
      <c r="W200" s="1954"/>
      <c r="X200" s="1954" t="s">
        <v>2307</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2306</v>
      </c>
      <c r="D201" s="1945"/>
      <c r="E201" s="1945"/>
      <c r="F201" s="1945"/>
      <c r="G201" s="1945"/>
      <c r="H201" s="1945"/>
      <c r="I201" s="1945"/>
      <c r="J201" s="1945"/>
      <c r="K201" s="1945"/>
      <c r="L201" s="1945"/>
      <c r="M201" s="1945"/>
      <c r="N201" s="1945"/>
      <c r="O201" s="1946" t="s">
        <v>2305</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2305</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2304</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2303</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2302</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2301</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2300</v>
      </c>
      <c r="D207" s="1924"/>
      <c r="E207" s="1924"/>
      <c r="F207" s="1925"/>
      <c r="G207" s="1929" t="s">
        <v>2299</v>
      </c>
      <c r="H207" s="1924"/>
      <c r="I207" s="1924"/>
      <c r="J207" s="1924"/>
      <c r="K207" s="1924"/>
      <c r="L207" s="1924"/>
      <c r="M207" s="1924"/>
      <c r="N207" s="1924"/>
      <c r="O207" s="1925"/>
      <c r="P207" s="1931" t="s">
        <v>2298</v>
      </c>
      <c r="Q207" s="1932"/>
      <c r="R207" s="1932"/>
      <c r="S207" s="1932"/>
      <c r="T207" s="1933"/>
      <c r="U207" s="1937" t="s">
        <v>2297</v>
      </c>
      <c r="V207" s="1938"/>
      <c r="W207" s="1938"/>
      <c r="X207" s="1939"/>
      <c r="Y207" s="1937" t="s">
        <v>2296</v>
      </c>
      <c r="Z207" s="1938"/>
      <c r="AA207" s="1938"/>
      <c r="AB207" s="1939"/>
      <c r="AC207" s="1937" t="s">
        <v>2295</v>
      </c>
      <c r="AD207" s="1938"/>
      <c r="AE207" s="1938"/>
      <c r="AF207" s="1939"/>
      <c r="AG207" s="1929" t="s">
        <v>2294</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1883</v>
      </c>
      <c r="H209" s="1914"/>
      <c r="I209" s="1914"/>
      <c r="J209" s="1914"/>
      <c r="K209" s="1914"/>
      <c r="L209" s="1914"/>
      <c r="M209" s="1914"/>
      <c r="N209" s="1914"/>
      <c r="O209" s="1914"/>
      <c r="P209" s="1915"/>
      <c r="Q209" s="1918"/>
      <c r="R209" s="1918"/>
      <c r="S209" s="1918"/>
      <c r="T209" s="1918"/>
      <c r="U209" s="1916" t="s">
        <v>1883</v>
      </c>
      <c r="V209" s="1916"/>
      <c r="W209" s="1916"/>
      <c r="X209" s="1916"/>
      <c r="Y209" s="1916" t="s">
        <v>1883</v>
      </c>
      <c r="Z209" s="1916"/>
      <c r="AA209" s="1916"/>
      <c r="AB209" s="1916"/>
      <c r="AC209" s="1917" t="s">
        <v>1883</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1883</v>
      </c>
      <c r="H210" s="1914"/>
      <c r="I210" s="1914"/>
      <c r="J210" s="1914"/>
      <c r="K210" s="1914"/>
      <c r="L210" s="1914"/>
      <c r="M210" s="1914"/>
      <c r="N210" s="1914"/>
      <c r="O210" s="1914"/>
      <c r="P210" s="1915"/>
      <c r="Q210" s="1915"/>
      <c r="R210" s="1915"/>
      <c r="S210" s="1915"/>
      <c r="T210" s="1915"/>
      <c r="U210" s="1916" t="s">
        <v>1883</v>
      </c>
      <c r="V210" s="1916"/>
      <c r="W210" s="1916"/>
      <c r="X210" s="1916"/>
      <c r="Y210" s="1916" t="s">
        <v>1883</v>
      </c>
      <c r="Z210" s="1916"/>
      <c r="AA210" s="1916"/>
      <c r="AB210" s="1916"/>
      <c r="AC210" s="1917" t="s">
        <v>1883</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1883</v>
      </c>
      <c r="H211" s="1914"/>
      <c r="I211" s="1914"/>
      <c r="J211" s="1914"/>
      <c r="K211" s="1914"/>
      <c r="L211" s="1914"/>
      <c r="M211" s="1914"/>
      <c r="N211" s="1914"/>
      <c r="O211" s="1914"/>
      <c r="P211" s="1915"/>
      <c r="Q211" s="1915"/>
      <c r="R211" s="1915"/>
      <c r="S211" s="1915"/>
      <c r="T211" s="1915"/>
      <c r="U211" s="1916" t="s">
        <v>1883</v>
      </c>
      <c r="V211" s="1916"/>
      <c r="W211" s="1916"/>
      <c r="X211" s="1916"/>
      <c r="Y211" s="1916" t="s">
        <v>1883</v>
      </c>
      <c r="Z211" s="1916"/>
      <c r="AA211" s="1916"/>
      <c r="AB211" s="1916"/>
      <c r="AC211" s="1917" t="s">
        <v>1883</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1883</v>
      </c>
      <c r="H212" s="1914"/>
      <c r="I212" s="1914"/>
      <c r="J212" s="1914"/>
      <c r="K212" s="1914"/>
      <c r="L212" s="1914"/>
      <c r="M212" s="1914"/>
      <c r="N212" s="1914"/>
      <c r="O212" s="1914"/>
      <c r="P212" s="1915"/>
      <c r="Q212" s="1915"/>
      <c r="R212" s="1915"/>
      <c r="S212" s="1915"/>
      <c r="T212" s="1915"/>
      <c r="U212" s="1916" t="s">
        <v>1883</v>
      </c>
      <c r="V212" s="1916"/>
      <c r="W212" s="1916"/>
      <c r="X212" s="1916"/>
      <c r="Y212" s="1916" t="s">
        <v>1883</v>
      </c>
      <c r="Z212" s="1916"/>
      <c r="AA212" s="1916"/>
      <c r="AB212" s="1916"/>
      <c r="AC212" s="1917" t="s">
        <v>1883</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1883</v>
      </c>
      <c r="H213" s="1914"/>
      <c r="I213" s="1914"/>
      <c r="J213" s="1914"/>
      <c r="K213" s="1914"/>
      <c r="L213" s="1914"/>
      <c r="M213" s="1914"/>
      <c r="N213" s="1914"/>
      <c r="O213" s="1914"/>
      <c r="P213" s="1915"/>
      <c r="Q213" s="1915"/>
      <c r="R213" s="1915"/>
      <c r="S213" s="1915"/>
      <c r="T213" s="1915"/>
      <c r="U213" s="1916" t="s">
        <v>1883</v>
      </c>
      <c r="V213" s="1916"/>
      <c r="W213" s="1916"/>
      <c r="X213" s="1916"/>
      <c r="Y213" s="1916" t="s">
        <v>1883</v>
      </c>
      <c r="Z213" s="1916"/>
      <c r="AA213" s="1916"/>
      <c r="AB213" s="1916"/>
      <c r="AC213" s="1917" t="s">
        <v>1883</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1883</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1883</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1883</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2293</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2291</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2290</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2289</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2288</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2286</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2285</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2284</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2283</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2282</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441</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2281</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2280</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3.15" customHeight="1"/>
  <cols>
    <col min="1" max="1" width="1.42578125" style="402" customWidth="1"/>
    <col min="2" max="2" width="0.71093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71093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71093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71093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71093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71093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71093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71093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71093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71093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71093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71093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71093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71093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71093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71093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71093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71093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71093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71093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71093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71093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71093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71093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71093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71093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71093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71093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71093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71093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71093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71093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71093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71093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71093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71093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71093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71093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71093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71093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71093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71093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71093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71093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71093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71093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71093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71093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71093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71093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71093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71093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71093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71093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71093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71093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71093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71093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71093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71093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71093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71093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71093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71093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3.1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3.1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319</v>
      </c>
      <c r="C5" s="404" t="s">
        <v>122</v>
      </c>
      <c r="F5" s="404"/>
    </row>
    <row r="6" spans="1:40" ht="13.15" customHeight="1">
      <c r="A6" s="404"/>
      <c r="C6" s="402" t="s">
        <v>1237</v>
      </c>
    </row>
    <row r="7" spans="1:40" ht="13.1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3.1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3.1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3.1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3.15"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27344962</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37298325</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3.15" customHeight="1">
      <c r="B12" s="2376" t="s">
        <v>497</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3.15" customHeight="1">
      <c r="B13" s="435"/>
      <c r="C13" s="2378" t="s">
        <v>498</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15" customHeight="1">
      <c r="B14" s="435"/>
      <c r="C14" s="2378" t="s">
        <v>499</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3.15" customHeight="1">
      <c r="B15" s="435"/>
      <c r="C15" s="2378" t="s">
        <v>500</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3.15"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3.15" customHeight="1">
      <c r="B17" s="435"/>
      <c r="C17" s="2378" t="s">
        <v>501</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3.15" customHeight="1">
      <c r="A18"/>
      <c r="B18" s="1150"/>
      <c r="C18" s="1563" t="s">
        <v>960</v>
      </c>
      <c r="D18" s="1563"/>
      <c r="E18" s="1563"/>
      <c r="F18" s="1563"/>
      <c r="G18" s="1563"/>
      <c r="H18" s="1563"/>
      <c r="I18" s="1563"/>
      <c r="J18" s="1563"/>
      <c r="K18" s="1563"/>
      <c r="L18" s="1563"/>
      <c r="M18" s="1563"/>
      <c r="N18" s="1563"/>
      <c r="O18" s="1563"/>
      <c r="P18" s="1563"/>
      <c r="Q18" s="1563"/>
      <c r="R18" s="1563"/>
      <c r="S18" s="1564"/>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3.15" customHeight="1">
      <c r="B19" s="1150"/>
      <c r="C19" s="1563" t="s">
        <v>960</v>
      </c>
      <c r="D19" s="1563"/>
      <c r="E19" s="1563"/>
      <c r="F19" s="1563"/>
      <c r="G19" s="1563"/>
      <c r="H19" s="1563"/>
      <c r="I19" s="1563"/>
      <c r="J19" s="1563"/>
      <c r="K19" s="1563"/>
      <c r="L19" s="1563"/>
      <c r="M19" s="1563"/>
      <c r="N19" s="1563"/>
      <c r="O19" s="1563"/>
      <c r="P19" s="1563"/>
      <c r="Q19" s="1563"/>
      <c r="R19" s="1563"/>
      <c r="S19" s="1564"/>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3.15" customHeight="1">
      <c r="B20" s="2338" t="s">
        <v>502</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3.1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3.15" customHeight="1">
      <c r="B22" s="2338" t="s">
        <v>503</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3.15" customHeight="1">
      <c r="B23" s="2338" t="s">
        <v>504</v>
      </c>
      <c r="C23" s="2339"/>
      <c r="D23" s="2339"/>
      <c r="E23" s="2339"/>
      <c r="F23" s="2339"/>
      <c r="G23" s="2339"/>
      <c r="H23" s="2339"/>
      <c r="I23" s="2339"/>
      <c r="J23" s="2339"/>
      <c r="K23" s="2339"/>
      <c r="L23" s="2339"/>
      <c r="M23" s="2339"/>
      <c r="N23" s="2339"/>
      <c r="O23" s="2339"/>
      <c r="P23" s="2339"/>
      <c r="Q23" s="2339"/>
      <c r="R23" s="2339"/>
      <c r="S23" s="2340"/>
      <c r="T23" s="2351">
        <f>T11+T22</f>
        <v>27344962</v>
      </c>
      <c r="U23" s="2332"/>
      <c r="V23" s="2332"/>
      <c r="W23" s="2332"/>
      <c r="X23" s="2332"/>
      <c r="Y23" s="2351">
        <f>Y11+Y22</f>
        <v>0</v>
      </c>
      <c r="Z23" s="2332"/>
      <c r="AA23" s="2332"/>
      <c r="AB23" s="2332"/>
      <c r="AC23" s="2332"/>
      <c r="AD23" s="2351">
        <f>AD11+AD22</f>
        <v>37298325</v>
      </c>
      <c r="AE23" s="2332"/>
      <c r="AF23" s="2332"/>
      <c r="AG23" s="2332"/>
      <c r="AH23" s="2332"/>
      <c r="AI23" s="2351">
        <f>AI11+AI22</f>
        <v>0</v>
      </c>
      <c r="AJ23" s="2332"/>
      <c r="AK23" s="2332"/>
      <c r="AL23" s="2332"/>
      <c r="AM23" s="2332"/>
    </row>
    <row r="24" spans="1:40" ht="13.15"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252805667.60000002</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3.1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15" customHeight="1">
      <c r="B26" s="2338" t="s">
        <v>505</v>
      </c>
      <c r="C26" s="2339"/>
      <c r="D26" s="2339"/>
      <c r="E26" s="2339"/>
      <c r="F26" s="2339"/>
      <c r="G26" s="2339"/>
      <c r="H26" s="2339"/>
      <c r="I26" s="2339"/>
      <c r="J26" s="2339"/>
      <c r="K26" s="2339"/>
      <c r="L26" s="2339"/>
      <c r="M26" s="2339"/>
      <c r="N26" s="2339"/>
      <c r="O26" s="2339"/>
      <c r="P26" s="2339"/>
      <c r="Q26" s="2339"/>
      <c r="R26" s="2339"/>
      <c r="S26" s="2340"/>
      <c r="T26" s="2351">
        <f>T23*T25</f>
        <v>35548450.600000001</v>
      </c>
      <c r="U26" s="2332"/>
      <c r="V26" s="2332"/>
      <c r="W26" s="2332"/>
      <c r="X26" s="2332"/>
      <c r="Y26" s="2351">
        <f>Y23*Y25</f>
        <v>0</v>
      </c>
      <c r="Z26" s="2332"/>
      <c r="AA26" s="2332"/>
      <c r="AB26" s="2332"/>
      <c r="AC26" s="2332"/>
      <c r="AD26" s="2351">
        <f>AD23*AD25</f>
        <v>37298325</v>
      </c>
      <c r="AE26" s="2332"/>
      <c r="AF26" s="2332"/>
      <c r="AG26" s="2332"/>
      <c r="AH26" s="2332"/>
      <c r="AI26" s="2351">
        <f>AI23*AI25</f>
        <v>0</v>
      </c>
      <c r="AJ26" s="2332"/>
      <c r="AK26" s="2332"/>
      <c r="AL26" s="2332"/>
      <c r="AM26" s="2332"/>
    </row>
    <row r="27" spans="1:40" ht="13.15"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3.15" customHeight="1">
      <c r="A28" s="404"/>
      <c r="B28" s="2338" t="s">
        <v>506</v>
      </c>
      <c r="C28" s="2339"/>
      <c r="D28" s="2339"/>
      <c r="E28" s="2339"/>
      <c r="F28" s="2339"/>
      <c r="G28" s="2339"/>
      <c r="H28" s="2339"/>
      <c r="I28" s="2339"/>
      <c r="J28" s="2339"/>
      <c r="K28" s="2339"/>
      <c r="L28" s="2339"/>
      <c r="M28" s="2339"/>
      <c r="N28" s="2339"/>
      <c r="O28" s="2339"/>
      <c r="P28" s="2339"/>
      <c r="Q28" s="2339"/>
      <c r="R28" s="2339"/>
      <c r="S28" s="2340"/>
      <c r="T28" s="2351">
        <f>IF(ISERROR((T26*T27)),0,(T26*T27))</f>
        <v>35548450.600000001</v>
      </c>
      <c r="U28" s="2332"/>
      <c r="V28" s="2332"/>
      <c r="W28" s="2332"/>
      <c r="X28" s="2332"/>
      <c r="Y28" s="2351">
        <f>IF(ISERROR((Y26*Y27)),0,(Y26*Y27))</f>
        <v>0</v>
      </c>
      <c r="Z28" s="2332"/>
      <c r="AA28" s="2332"/>
      <c r="AB28" s="2332"/>
      <c r="AC28" s="2332"/>
      <c r="AD28" s="2351">
        <f>IF(ISERROR((AD26*AD27)),0,(AD26*AD27))</f>
        <v>37298325</v>
      </c>
      <c r="AE28" s="2332"/>
      <c r="AF28" s="2332"/>
      <c r="AG28" s="2332"/>
      <c r="AH28" s="2332"/>
      <c r="AI28" s="2351">
        <f>IF(ISERROR((AI26*AI27)),0,(AI26*AI27))</f>
        <v>0</v>
      </c>
      <c r="AJ28" s="2332"/>
      <c r="AK28" s="2332"/>
      <c r="AL28" s="2332"/>
      <c r="AM28" s="2332"/>
    </row>
    <row r="29" spans="1:40" ht="13.15" customHeight="1">
      <c r="B29" s="2338" t="s">
        <v>523</v>
      </c>
      <c r="C29" s="2339"/>
      <c r="D29" s="2339"/>
      <c r="E29" s="2339"/>
      <c r="F29" s="2339"/>
      <c r="G29" s="2339"/>
      <c r="H29" s="2339"/>
      <c r="I29" s="2339"/>
      <c r="J29" s="2339"/>
      <c r="K29" s="2339"/>
      <c r="L29" s="2339"/>
      <c r="M29" s="2339"/>
      <c r="N29" s="2339"/>
      <c r="O29" s="2339"/>
      <c r="P29" s="2339"/>
      <c r="Q29" s="2339"/>
      <c r="R29" s="2339"/>
      <c r="S29" s="2340"/>
      <c r="T29" s="2342">
        <f>T28+Y28+AD28+AI28</f>
        <v>72846775.599999994</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3.1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3.1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3.1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576</v>
      </c>
      <c r="C34" s="404" t="s">
        <v>568</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369</v>
      </c>
      <c r="AE35" s="2353"/>
      <c r="AF35" s="2353"/>
      <c r="AG35" s="2353"/>
      <c r="AH35" s="2353"/>
    </row>
    <row r="36" spans="1:76" ht="13.15" customHeight="1">
      <c r="B36" s="407"/>
      <c r="X36" s="412"/>
      <c r="Y36" s="2352"/>
      <c r="Z36" s="2352"/>
      <c r="AA36" s="2352"/>
      <c r="AB36" s="2352"/>
      <c r="AC36" s="2352"/>
      <c r="AD36" s="2353"/>
      <c r="AE36" s="2353"/>
      <c r="AF36" s="2353"/>
      <c r="AG36" s="2353"/>
      <c r="AH36" s="2353"/>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3.15" customHeight="1">
      <c r="A38" s="404"/>
      <c r="B38" s="2338" t="s">
        <v>506</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35548450.600000001</v>
      </c>
      <c r="Z38" s="2332"/>
      <c r="AA38" s="2332"/>
      <c r="AB38" s="2332"/>
      <c r="AC38" s="2332"/>
      <c r="AD38" s="2332">
        <f>IF(T24&gt;=(T23+Y23+AD23+AI23),AD28+AI28,0)</f>
        <v>37298325</v>
      </c>
      <c r="AE38" s="2332"/>
      <c r="AF38" s="2332"/>
      <c r="AG38" s="2332"/>
      <c r="AH38" s="2332"/>
    </row>
    <row r="39" spans="1:76" ht="13.1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3.15"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1421938</v>
      </c>
      <c r="Z40" s="2332"/>
      <c r="AA40" s="2332"/>
      <c r="AB40" s="2332"/>
      <c r="AC40" s="2332"/>
      <c r="AD40" s="2351">
        <f>ROUND(AD38*AD39,0)</f>
        <v>1491933</v>
      </c>
      <c r="AE40" s="2332"/>
      <c r="AF40" s="2332"/>
      <c r="AG40" s="2332"/>
      <c r="AH40" s="2332"/>
    </row>
    <row r="41" spans="1:76" ht="13.15"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2913871</v>
      </c>
      <c r="Z41" s="2350"/>
      <c r="AA41" s="2350"/>
      <c r="AB41" s="2350"/>
      <c r="AC41" s="2350"/>
      <c r="AD41" s="2350"/>
      <c r="AE41" s="2350"/>
      <c r="AF41" s="2350"/>
      <c r="AG41" s="2350"/>
      <c r="AH41" s="2351"/>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3.15" customHeight="1" thickTop="1"/>
    <row r="46" spans="1:76" ht="13.15" customHeight="1">
      <c r="A46" s="404" t="s">
        <v>586</v>
      </c>
      <c r="C46" s="404" t="s">
        <v>282</v>
      </c>
    </row>
    <row r="47" spans="1:76" ht="13.15" customHeight="1">
      <c r="D47" s="404" t="s">
        <v>283</v>
      </c>
      <c r="AB47" s="2346">
        <f>'Sources and Uses Budget'!B105-MAX(IF('Sources and Uses Budget'!B15="",0,'Sources and Uses Budget'!B15),IF(Application!AG394="",0,Application!AG394))</f>
        <v>76439274</v>
      </c>
      <c r="AC47" s="2347"/>
      <c r="AD47" s="2347"/>
      <c r="AE47" s="2347"/>
      <c r="AF47" s="2348"/>
    </row>
    <row r="48" spans="1:76" ht="13.15" customHeight="1">
      <c r="D48" s="404" t="s">
        <v>21</v>
      </c>
      <c r="AB48" s="2346">
        <f>Application!AO639-MAX(IF('Sources and Uses Budget'!B15="",0,'Sources and Uses Budget'!B15),IF(Application!AG394="",0,Application!AG394))</f>
        <v>51891121</v>
      </c>
      <c r="AC48" s="2347"/>
      <c r="AD48" s="2347"/>
      <c r="AE48" s="2347"/>
      <c r="AF48" s="2348"/>
    </row>
    <row r="49" spans="1:76" ht="13.15" customHeight="1">
      <c r="D49" s="404" t="s">
        <v>91</v>
      </c>
      <c r="AB49" s="2346">
        <f>AB47-AB48</f>
        <v>24548153</v>
      </c>
      <c r="AC49" s="2347"/>
      <c r="AD49" s="2347"/>
      <c r="AE49" s="2347"/>
      <c r="AF49" s="2348"/>
    </row>
    <row r="50" spans="1:76" ht="13.15" customHeight="1">
      <c r="D50" s="404" t="s">
        <v>681</v>
      </c>
      <c r="AA50" s="415"/>
      <c r="AB50" s="2334">
        <f>AB49/(Y41*10)</f>
        <v>0.84245846847715633</v>
      </c>
      <c r="AC50" s="2335"/>
      <c r="AD50" s="2335"/>
      <c r="AE50" s="2335"/>
      <c r="AF50" s="2336"/>
    </row>
    <row r="51" spans="1:76" s="417" customFormat="1" ht="13.15" customHeight="1">
      <c r="A51" s="402"/>
      <c r="B51" s="402"/>
      <c r="C51" s="402"/>
      <c r="D51" s="402"/>
      <c r="E51" s="2345" t="s">
        <v>2610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332</v>
      </c>
      <c r="AB54" s="2346">
        <f>ROUND(IF(ISERROR((AB49/AB50)),0,(AB49/AB50)),0)</f>
        <v>29138710</v>
      </c>
      <c r="AC54" s="2347"/>
      <c r="AD54" s="2347"/>
      <c r="AE54" s="2347"/>
      <c r="AF54" s="2348"/>
    </row>
    <row r="55" spans="1:76" ht="13.15" customHeight="1">
      <c r="D55" s="404" t="s">
        <v>333</v>
      </c>
      <c r="AB55" s="2346">
        <f>(AB54/10)</f>
        <v>2913871</v>
      </c>
      <c r="AC55" s="2347"/>
      <c r="AD55" s="2347"/>
      <c r="AE55" s="2347"/>
      <c r="AF55" s="2348"/>
    </row>
    <row r="56" spans="1:76" ht="13.15" customHeight="1">
      <c r="D56" s="404" t="s">
        <v>756</v>
      </c>
      <c r="AB56" s="2346">
        <f>ROUND((IF((Y41&lt;AB55),Y41,AB55)),0)</f>
        <v>2913871</v>
      </c>
      <c r="AC56" s="2347"/>
      <c r="AD56" s="2347"/>
      <c r="AE56" s="2347"/>
      <c r="AF56" s="2348"/>
    </row>
    <row r="57" spans="1:76" ht="13.15" customHeight="1">
      <c r="D57" s="404" t="s">
        <v>755</v>
      </c>
      <c r="AB57" s="2346">
        <f>ROUND((10*AB56*AB50),0)</f>
        <v>24548153</v>
      </c>
      <c r="AC57" s="2347"/>
      <c r="AD57" s="2347"/>
      <c r="AE57" s="2347"/>
      <c r="AF57" s="2348"/>
    </row>
    <row r="58" spans="1:76" ht="13.15" customHeight="1">
      <c r="D58" s="404"/>
      <c r="AB58" s="423"/>
      <c r="AC58" s="423"/>
      <c r="AD58" s="423"/>
      <c r="AE58" s="423"/>
      <c r="AF58" s="423"/>
    </row>
    <row r="59" spans="1:76" ht="13.15" customHeight="1">
      <c r="D59" s="404" t="s">
        <v>754</v>
      </c>
      <c r="AB59" s="2330">
        <f>AB49-AB57</f>
        <v>0</v>
      </c>
      <c r="AC59" s="2330"/>
      <c r="AD59" s="2330"/>
      <c r="AE59" s="2330"/>
      <c r="AF59" s="2330"/>
    </row>
    <row r="60" spans="1:76" ht="13.15" customHeight="1">
      <c r="D60" s="404"/>
      <c r="AB60" s="423"/>
      <c r="AC60" s="423"/>
      <c r="AD60" s="423"/>
      <c r="AE60" s="423"/>
      <c r="AF60" s="423"/>
    </row>
    <row r="61" spans="1:76" s="204" customFormat="1" ht="13.1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3.15" customHeight="1" thickTop="1"/>
    <row r="63" spans="1:76" ht="13.15" customHeight="1">
      <c r="A63" s="404" t="s">
        <v>589</v>
      </c>
      <c r="C63" s="205" t="s">
        <v>1247</v>
      </c>
      <c r="Y63" s="2341" t="s">
        <v>983</v>
      </c>
      <c r="Z63" s="2341"/>
      <c r="AA63" s="2341"/>
      <c r="AB63" s="2341"/>
      <c r="AC63" s="2341"/>
      <c r="AD63" s="2341" t="s">
        <v>369</v>
      </c>
      <c r="AE63" s="2341"/>
      <c r="AF63" s="2341"/>
      <c r="AG63" s="2341"/>
      <c r="AH63" s="2341"/>
    </row>
    <row r="64" spans="1:76" ht="13.1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27344962</v>
      </c>
      <c r="Z64" s="2343"/>
      <c r="AA64" s="2343"/>
      <c r="AB64" s="2343"/>
      <c r="AC64" s="2344"/>
      <c r="AD64" s="2342">
        <f>IF(AND(OR(Application!D211="At-Risk",Application!D211="At-Risk and Special Needs"),Application!M358="yes"),AD28+AI28,0)</f>
        <v>0</v>
      </c>
      <c r="AE64" s="2343"/>
      <c r="AF64" s="2343"/>
      <c r="AG64" s="2343"/>
      <c r="AH64" s="2344"/>
    </row>
    <row r="65" spans="1:36" ht="13.1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0.3</v>
      </c>
      <c r="Z67" s="2331"/>
      <c r="AA67" s="2331"/>
      <c r="AB67" s="2331"/>
      <c r="AC67" s="2331"/>
      <c r="AD67" s="2331">
        <f>IF(Application!Z205="15% set-aside with qualifying low value rehab", 0.95,IF(OR(Application!D211="At-Risk",'Points System'!B13="Yes"),0.13,0))</f>
        <v>0</v>
      </c>
      <c r="AE67" s="2331"/>
      <c r="AF67" s="2331"/>
      <c r="AG67" s="2331"/>
      <c r="AH67" s="2331"/>
    </row>
    <row r="68" spans="1:36" ht="13.15" customHeight="1">
      <c r="C68" s="404"/>
      <c r="D68" s="205" t="s">
        <v>2223</v>
      </c>
      <c r="Y68" s="2332">
        <f>ROUND(Y64*Y67,0)</f>
        <v>8203489</v>
      </c>
      <c r="Z68" s="2333"/>
      <c r="AA68" s="2333"/>
      <c r="AB68" s="2333"/>
      <c r="AC68" s="2333"/>
      <c r="AD68" s="2332">
        <f>ROUND(AD64*AD67,0)</f>
        <v>0</v>
      </c>
      <c r="AE68" s="2333"/>
      <c r="AF68" s="2333"/>
      <c r="AG68" s="2333"/>
      <c r="AH68" s="2333"/>
    </row>
    <row r="69" spans="1:36" ht="13.15" customHeight="1">
      <c r="C69" s="404"/>
      <c r="D69" s="205" t="s">
        <v>2224</v>
      </c>
      <c r="Y69" s="2332">
        <f>IF(OR(Application!Z205="State Farmworker Credit",Application!Z205="$500M (Farmworker Housing)"),Y68+AD68,MIN(Y68+AD68,200000*(Application!G753+Application!O777)))</f>
        <v>8203489</v>
      </c>
      <c r="Z69" s="2332"/>
      <c r="AA69" s="2332"/>
      <c r="AB69" s="2332"/>
      <c r="AC69" s="2332"/>
      <c r="AD69" s="2332"/>
      <c r="AE69" s="2332"/>
      <c r="AF69" s="2332"/>
      <c r="AG69" s="2332"/>
      <c r="AH69" s="2332"/>
    </row>
    <row r="70" spans="1:36" ht="13.15" customHeight="1">
      <c r="C70" s="404"/>
      <c r="E70" s="404"/>
      <c r="AB70" s="422"/>
      <c r="AC70" s="422"/>
      <c r="AD70" s="422"/>
      <c r="AE70" s="422"/>
      <c r="AF70" s="422"/>
    </row>
    <row r="71" spans="1:36" ht="13.15" customHeight="1">
      <c r="A71" s="404" t="s">
        <v>590</v>
      </c>
      <c r="C71" s="205" t="s">
        <v>284</v>
      </c>
    </row>
    <row r="72" spans="1:36" ht="13.15" customHeight="1">
      <c r="A72" s="404"/>
      <c r="C72" s="404"/>
      <c r="D72" s="205" t="s">
        <v>1249</v>
      </c>
      <c r="AB72" s="2334"/>
      <c r="AC72" s="2335"/>
      <c r="AD72" s="2335"/>
      <c r="AE72" s="2335"/>
      <c r="AF72" s="2336"/>
    </row>
    <row r="73" spans="1:36" ht="13.1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3.1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3.1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1251</v>
      </c>
      <c r="AB77" s="2325">
        <f>ROUND(IF(ISERROR((AB59/AB72)),0,(AB59/AB72)),0)</f>
        <v>0</v>
      </c>
      <c r="AC77" s="2325"/>
      <c r="AD77" s="2325"/>
      <c r="AE77" s="2325"/>
      <c r="AF77" s="2325"/>
    </row>
    <row r="78" spans="1:36" ht="13.15" customHeight="1">
      <c r="C78" s="404"/>
      <c r="D78" s="205" t="s">
        <v>1252</v>
      </c>
      <c r="AB78" s="2326">
        <f>ROUNDUP(MIN(Y69,AB77),0)</f>
        <v>0</v>
      </c>
      <c r="AC78" s="2327"/>
      <c r="AD78" s="2327"/>
      <c r="AE78" s="2327"/>
      <c r="AF78" s="2328"/>
    </row>
    <row r="79" spans="1:36" ht="13.15" customHeight="1">
      <c r="C79" s="404"/>
      <c r="D79" s="205" t="s">
        <v>1253</v>
      </c>
      <c r="AB79" s="2329">
        <f>AB78*AB72</f>
        <v>0</v>
      </c>
      <c r="AC79" s="2329"/>
      <c r="AD79" s="2329"/>
      <c r="AE79" s="2329"/>
      <c r="AF79" s="2329"/>
    </row>
    <row r="80" spans="1:36" ht="13.15" customHeight="1">
      <c r="C80" s="404"/>
      <c r="D80" s="404"/>
      <c r="AB80" s="425"/>
      <c r="AC80" s="425"/>
      <c r="AD80" s="425"/>
      <c r="AE80" s="425"/>
      <c r="AF80" s="425"/>
    </row>
    <row r="81" spans="1:78" ht="13.15" customHeight="1">
      <c r="D81" s="404" t="s">
        <v>754</v>
      </c>
      <c r="AB81" s="2330">
        <f>AB49-(AB57+AB79)</f>
        <v>0</v>
      </c>
      <c r="AC81" s="2330"/>
      <c r="AD81" s="2330"/>
      <c r="AE81" s="2330"/>
      <c r="AF81" s="2330"/>
    </row>
    <row r="82" spans="1:78" ht="13.15" customHeight="1">
      <c r="F82" s="522"/>
      <c r="J82" s="522" t="str">
        <f>IF(AB81&gt;0,"FUNDING GAP MUST NOT EXCEED ZERO","")</f>
        <v/>
      </c>
    </row>
    <row r="83" spans="1:78" ht="13.15" customHeight="1">
      <c r="D83" s="523"/>
    </row>
    <row r="84" spans="1:78" ht="13.1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15" customHeight="1" thickTop="1"/>
    <row r="86" spans="1:78" ht="13.15" customHeight="1">
      <c r="A86" s="404"/>
      <c r="C86" s="205"/>
    </row>
    <row r="87" spans="1:78" ht="13.15" customHeight="1">
      <c r="D87" s="205"/>
      <c r="AB87" s="2381"/>
      <c r="AC87" s="2381"/>
      <c r="AD87" s="2381"/>
      <c r="AE87" s="2381"/>
      <c r="AF87" s="2381"/>
    </row>
    <row r="88" spans="1:78" ht="13.1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6" workbookViewId="0">
      <selection activeCell="U766" sqref="U7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71093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591</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591</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591</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591</v>
      </c>
      <c r="C25" s="2394"/>
      <c r="D25" s="547"/>
      <c r="E25" s="2395" t="s">
        <v>2032</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591</v>
      </c>
      <c r="C28" s="2394"/>
      <c r="D28" s="547"/>
      <c r="E28" s="2418" t="s">
        <v>2247</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394" t="s">
        <v>591</v>
      </c>
      <c r="C33" s="2394"/>
      <c r="D33" s="547"/>
      <c r="E33" s="2430" t="s">
        <v>2249</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591</v>
      </c>
      <c r="C36" s="2394"/>
      <c r="D36" s="547"/>
      <c r="E36" s="2395" t="s">
        <v>2250</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4" t="s">
        <v>591</v>
      </c>
      <c r="C40" s="2394"/>
      <c r="D40" s="547"/>
      <c r="E40" s="2395" t="s">
        <v>2248</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591</v>
      </c>
      <c r="C45" s="2394"/>
      <c r="D45" s="1142"/>
      <c r="E45" s="2395" t="s">
        <v>2007</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545</v>
      </c>
      <c r="C52" s="2394"/>
      <c r="D52" s="540"/>
      <c r="E52" s="2395" t="s">
        <v>2012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545</v>
      </c>
      <c r="C56" s="2394"/>
      <c r="D56" s="540"/>
      <c r="E56" s="2415" t="s">
        <v>2013</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545</v>
      </c>
      <c r="C58" s="2394"/>
      <c r="D58" s="540"/>
      <c r="E58" s="2395" t="s">
        <v>2014</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20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591</v>
      </c>
      <c r="C68" s="2394"/>
      <c r="D68" s="547" t="s">
        <v>1314</v>
      </c>
      <c r="E68" s="2405" t="s">
        <v>2015</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591</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591</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591</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591</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591</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591</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545</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9.9999999999999978E-2</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19.999999999999996</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19.999999999999996</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591</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9.0909090909090912E-2</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0.66433566433566438</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MAX(AP95,AP106)</f>
        <v>19.999999999999996</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2 Bedrooms</v>
      </c>
      <c r="AQ112" s="536">
        <f>Application!O718</f>
        <v>1218</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3 Bedrooms</v>
      </c>
      <c r="AQ113" s="536">
        <f>Application!O719</f>
        <v>1294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4 Bedrooms</v>
      </c>
      <c r="AQ114" s="536">
        <f>Application!O720</f>
        <v>1602</v>
      </c>
    </row>
    <row r="115" spans="1:52" s="536" customFormat="1" ht="12.75" customHeight="1">
      <c r="A115" s="540"/>
      <c r="B115" s="2394" t="s">
        <v>545</v>
      </c>
      <c r="C115" s="2394"/>
      <c r="D115" s="547" t="s">
        <v>1314</v>
      </c>
      <c r="E115" s="2405" t="s">
        <v>1856</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1128</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4 Bedrooms</v>
      </c>
      <c r="AQ116" s="536">
        <f>Application!O722</f>
        <v>1432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1748</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t="str">
        <f>Application!B724</f>
        <v>3 Bedrooms</v>
      </c>
      <c r="AQ118" s="536">
        <f>Application!O724</f>
        <v>1867</v>
      </c>
      <c r="AU118" s="856" t="str">
        <f>O124</f>
        <v>2-bedroom</v>
      </c>
      <c r="AV118" s="536">
        <f t="array" ref="AV118">SUM(IF(Application!B718:F752="2 Bedrooms",Application!G718:J752))</f>
        <v>45</v>
      </c>
      <c r="AW118" s="1011">
        <f>AV118/AV122</f>
        <v>0.31468531468531469</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t="str">
        <f>Application!B725</f>
        <v>4 Bedrooms</v>
      </c>
      <c r="AQ119" s="536">
        <f>Application!O725</f>
        <v>2038</v>
      </c>
      <c r="AU119" s="856" t="str">
        <f>T124</f>
        <v>3-bedroom</v>
      </c>
      <c r="AV119" s="536">
        <f t="array" ref="AV119">SUM(IF(Application!B718:F752="3 Bedrooms",Application!G718:J752))</f>
        <v>55</v>
      </c>
      <c r="AW119" s="1011">
        <f>AV119/AV122</f>
        <v>0.38461538461538464</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t="str">
        <f>Application!B726</f>
        <v>2 Bedrooms</v>
      </c>
      <c r="AQ120" s="536">
        <f>Application!O726</f>
        <v>1875</v>
      </c>
      <c r="AU120" s="856" t="str">
        <f>Y124</f>
        <v>4-bedroom</v>
      </c>
      <c r="AV120" s="536">
        <f t="array" ref="AV120">SUM(IF(Application!B718:F752="4 Bedrooms",Application!G718:J752))</f>
        <v>43</v>
      </c>
      <c r="AW120" s="1011">
        <f>AV120/AV122</f>
        <v>0.30069930069930068</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t="str">
        <f>Application!B727</f>
        <v>3 Bedrooms</v>
      </c>
      <c r="AQ121" s="536">
        <f>Application!O727</f>
        <v>2293</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t="str">
        <f>Application!B728</f>
        <v>4 Bedrooms</v>
      </c>
      <c r="AQ122" s="536">
        <f>Application!O728</f>
        <v>2841</v>
      </c>
      <c r="AV122" s="536">
        <f>SUM(AV116:AV121)</f>
        <v>143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c r="K127" s="2449"/>
      <c r="L127" s="2449"/>
      <c r="M127" s="2449"/>
      <c r="N127" s="864"/>
      <c r="O127" s="2449">
        <v>3141</v>
      </c>
      <c r="P127" s="2449"/>
      <c r="Q127" s="2449"/>
      <c r="R127" s="2449"/>
      <c r="S127" s="864"/>
      <c r="T127" s="2449">
        <v>3818</v>
      </c>
      <c r="U127" s="2449"/>
      <c r="V127" s="2449"/>
      <c r="W127" s="2449"/>
      <c r="X127" s="864"/>
      <c r="Y127" s="2449">
        <v>4528</v>
      </c>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0</v>
      </c>
      <c r="K130" s="2442"/>
      <c r="L130" s="2442"/>
      <c r="M130" s="2442"/>
      <c r="N130" s="864"/>
      <c r="O130" s="2442">
        <f>Application!EH670</f>
        <v>1631.0222222222224</v>
      </c>
      <c r="P130" s="2442"/>
      <c r="Q130" s="2442"/>
      <c r="R130" s="2442"/>
      <c r="S130" s="868"/>
      <c r="T130" s="2442">
        <f>Application!EM670</f>
        <v>1959.6727272727271</v>
      </c>
      <c r="U130" s="2442"/>
      <c r="V130" s="2442"/>
      <c r="W130" s="2442"/>
      <c r="X130" s="868"/>
      <c r="Y130" s="2442">
        <f>Application!ER670</f>
        <v>2188.7674418604652</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t="e">
        <f>(J127-J130)/J127</f>
        <v>#DIV/0!</v>
      </c>
      <c r="K133" s="2391"/>
      <c r="L133" s="2391"/>
      <c r="M133" s="2641"/>
      <c r="N133" s="577"/>
      <c r="O133" s="2640">
        <f>(O127-O130)/O127</f>
        <v>0.48073154338674867</v>
      </c>
      <c r="P133" s="2391"/>
      <c r="Q133" s="2391"/>
      <c r="R133" s="2641"/>
      <c r="S133" s="577"/>
      <c r="T133" s="2640">
        <f>(T127-T130)/T127</f>
        <v>0.48672793942568698</v>
      </c>
      <c r="U133" s="2391"/>
      <c r="V133" s="2391"/>
      <c r="W133" s="2641"/>
      <c r="X133" s="577"/>
      <c r="Y133" s="2640">
        <f>(Y127-Y130)/Y127</f>
        <v>0.51661496425343079</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t="e">
        <f>IF(((J133-0.1)*AW117)&gt;0,((J133-0.1)*AW117),0)</f>
        <v>#DIV/0!</v>
      </c>
      <c r="K136" s="2444"/>
      <c r="L136" s="2444"/>
      <c r="M136" s="2445"/>
      <c r="N136" s="577"/>
      <c r="O136" s="2443">
        <f>IF(((O133-0.1)*AW118)&gt;0,((O133-0.1)*AW118),0)</f>
        <v>0.11981062554128454</v>
      </c>
      <c r="P136" s="2444"/>
      <c r="Q136" s="2444"/>
      <c r="R136" s="2445"/>
      <c r="S136" s="577"/>
      <c r="T136" s="2443">
        <f>IF(((T133-0.1)*AW119)&gt;0,((T133-0.1)*AW119),0)</f>
        <v>0.14874151516372575</v>
      </c>
      <c r="U136" s="2444"/>
      <c r="V136" s="2444"/>
      <c r="W136" s="2445"/>
      <c r="X136" s="577"/>
      <c r="Y136" s="2443">
        <f>IF(((Y133-0.1)*AW120)&gt;0,((Y133-0.1)*AW120),0)</f>
        <v>0.12527582841187079</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0.39</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tr">
        <f>Application!M243</f>
        <v>Eden Palms LLC</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67" t="s">
        <v>591</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2474</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2475</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2473</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591</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591</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Eden Housing Management,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1359</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591</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2726</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f>Application!AM557</f>
        <v>7000000</v>
      </c>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7000000</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1183</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1183</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1183</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1183</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1183</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1183</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7000000</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76439274</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0.09</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71" t="s">
        <v>545</v>
      </c>
      <c r="D278" s="2471"/>
      <c r="E278" s="547"/>
      <c r="F278" s="2628" t="s">
        <v>2023</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9"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9"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7" t="s">
        <v>1381</v>
      </c>
      <c r="B292" s="1627"/>
      <c r="C292" s="2467" t="s">
        <v>591</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2016</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2024</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7" t="s">
        <v>1385</v>
      </c>
      <c r="B302" s="1627"/>
      <c r="C302" s="2471" t="s">
        <v>591</v>
      </c>
      <c r="D302" s="2471"/>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2018</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7" t="s">
        <v>1388</v>
      </c>
      <c r="B310" s="1627"/>
      <c r="C310" s="2471" t="s">
        <v>591</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2025</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687</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7" t="s">
        <v>1391</v>
      </c>
      <c r="B333" s="1627"/>
      <c r="C333" s="2471" t="s">
        <v>591</v>
      </c>
      <c r="D333" s="2471"/>
      <c r="E333" s="547"/>
      <c r="F333" s="2395" t="s">
        <v>2026</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845</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2091</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2206</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2"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5</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5</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581</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584</v>
      </c>
      <c r="AP364" s="696">
        <f>IF(C421="Yes",5,0)</f>
        <v>0</v>
      </c>
    </row>
    <row r="365" spans="1:46" s="550" customFormat="1" ht="12"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456</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461</v>
      </c>
      <c r="AP370" s="696">
        <f>IF(C449="Yes",5,0)</f>
        <v>0</v>
      </c>
    </row>
    <row r="371" spans="1:81" s="550" customFormat="1" ht="68.25"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1">
        <f>Application!DU802-U374</f>
        <v>427</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545</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591</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591</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545</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591</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591</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591</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591</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591</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591</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591</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591</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591</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591</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591</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591</v>
      </c>
      <c r="D478" s="2541"/>
      <c r="E478" s="761" t="s">
        <v>507</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591</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617" t="s">
        <v>545</v>
      </c>
      <c r="D482" s="2618"/>
      <c r="E482" s="761" t="s">
        <v>757</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591</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591</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591</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591</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591</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591</v>
      </c>
      <c r="D501" s="2541"/>
      <c r="E501" s="761" t="s">
        <v>507</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591</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591</v>
      </c>
      <c r="D505" s="2541"/>
      <c r="E505" s="761" t="s">
        <v>757</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591</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591</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591</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591</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591</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591</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591</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545</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591</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132665720</v>
      </c>
      <c r="AQ550" s="2620"/>
      <c r="AR550" s="26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64643287</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242192410</v>
      </c>
      <c r="AG552" s="2625"/>
      <c r="AH552" s="2625"/>
      <c r="AI552" s="2625"/>
      <c r="AJ552" s="2625"/>
      <c r="AK552" s="595"/>
      <c r="AL552" s="595"/>
      <c r="AM552" s="595"/>
      <c r="AN552" s="597"/>
      <c r="AP552" s="2620">
        <f>Application!AJ1045</f>
        <v>82252746.400000006</v>
      </c>
      <c r="AQ552" s="2620"/>
      <c r="AR552" s="26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0.73</v>
      </c>
      <c r="AG553" s="2626"/>
      <c r="AH553" s="2626"/>
      <c r="AI553" s="2626"/>
      <c r="AJ553" s="2626"/>
      <c r="AK553" s="595"/>
      <c r="AL553" s="595"/>
      <c r="AM553" s="595"/>
      <c r="AN553" s="597"/>
      <c r="AP553" s="2623">
        <f>Application!AJ1049</f>
        <v>34493087.200000003</v>
      </c>
      <c r="AQ553" s="2623"/>
      <c r="AR553" s="262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2170</v>
      </c>
    </row>
    <row r="555" spans="1:49" s="550" customFormat="1" ht="12.75" customHeight="1">
      <c r="A555" s="624"/>
      <c r="B555" s="2556" t="s">
        <v>2030</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136059834</v>
      </c>
      <c r="AQ556" s="2529"/>
      <c r="AR556" s="2529"/>
      <c r="AS556" s="550" t="s">
        <v>2172</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252805667.60000002</v>
      </c>
      <c r="AQ557" s="2620"/>
      <c r="AR557" s="26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242192410</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2021</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0</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1399</v>
      </c>
      <c r="E606" s="936"/>
      <c r="F606" s="936"/>
      <c r="G606" s="936"/>
      <c r="H606" s="2523" t="s">
        <v>509</v>
      </c>
      <c r="I606" s="2523"/>
      <c r="J606" s="936"/>
      <c r="K606" s="936"/>
      <c r="L606" s="936"/>
      <c r="N606" s="22"/>
      <c r="O606" s="22"/>
      <c r="P606" s="22"/>
      <c r="Q606" s="1151" t="s">
        <v>2175</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1399</v>
      </c>
      <c r="F614" s="936"/>
      <c r="G614" s="936"/>
      <c r="I614" s="2524" t="s">
        <v>591</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591</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6</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591</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2096</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591</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0</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591</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687</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5</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143</v>
      </c>
    </row>
    <row r="691" spans="1:51" s="550" customFormat="1" ht="12.75" customHeight="1">
      <c r="A691" s="679"/>
      <c r="B691" s="536"/>
      <c r="C691" s="948"/>
      <c r="D691" s="663" t="s">
        <v>687</v>
      </c>
      <c r="E691" s="2530" t="s">
        <v>2188</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2183</v>
      </c>
      <c r="AX691" s="550">
        <f>Application!DE753</f>
        <v>55</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2184</v>
      </c>
      <c r="AX692" s="550">
        <f>Application!DJ753</f>
        <v>43</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94" t="s">
        <v>2132</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2186</v>
      </c>
      <c r="AX694" s="550">
        <f>AX691+AX692+AX693</f>
        <v>98</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1</v>
      </c>
      <c r="AP695" s="2529"/>
      <c r="AW695" s="22" t="s">
        <v>2187</v>
      </c>
      <c r="AX695" s="550">
        <f>IFERROR(AX694/AX690,0)</f>
        <v>0.68531468531468531</v>
      </c>
      <c r="AY695" s="550">
        <f>IFERROR(AX694/(AX690-AX689),0)</f>
        <v>0.68531468531468531</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4" t="s">
        <v>2133</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509</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509</v>
      </c>
      <c r="AP705" s="550">
        <f>3*$AO$695</f>
        <v>3</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509</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4">
        <f>VLOOKUP($H$709,$AO$703:$AP$706,2,FALSE)</f>
        <v>3</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687</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2"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509</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1399</v>
      </c>
      <c r="E723" s="936"/>
      <c r="F723" s="936"/>
      <c r="G723" s="936"/>
      <c r="H723" s="2523" t="s">
        <v>591</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591</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591</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687</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591</v>
      </c>
      <c r="AP769" s="673">
        <v>0</v>
      </c>
    </row>
    <row r="770" spans="1:81" s="570" customFormat="1" ht="13.9"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75"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591</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687</v>
      </c>
      <c r="E785" s="2494" t="s">
        <v>2031</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545</v>
      </c>
      <c r="AP785" s="550">
        <v>3</v>
      </c>
      <c r="AT785" s="674"/>
      <c r="AU785" s="674"/>
      <c r="AV785" s="674"/>
      <c r="AW785" s="674"/>
      <c r="AX785" s="674"/>
      <c r="AY785" s="674"/>
      <c r="AZ785" s="674"/>
    </row>
    <row r="786" spans="1:81" s="570" customFormat="1" ht="13.9"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591</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20</v>
      </c>
      <c r="U804" s="2553"/>
      <c r="V804" s="2553"/>
      <c r="W804" s="2553"/>
      <c r="X804" s="2553"/>
      <c r="Y804" s="2554"/>
      <c r="Z804" s="2555">
        <v>20</v>
      </c>
      <c r="AA804" s="2553"/>
      <c r="AB804" s="2553"/>
      <c r="AC804" s="2553"/>
      <c r="AD804" s="2553"/>
      <c r="AE804" s="2554"/>
      <c r="AF804" s="2536">
        <f>IF(T804&gt;Z804,Z804,T804)</f>
        <v>20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0</v>
      </c>
      <c r="U805" s="2553"/>
      <c r="V805" s="2553"/>
      <c r="W805" s="2553"/>
      <c r="X805" s="2553"/>
      <c r="Y805" s="2554"/>
      <c r="Z805" s="2555">
        <v>10</v>
      </c>
      <c r="AA805" s="2553"/>
      <c r="AB805" s="2553"/>
      <c r="AC805" s="2553"/>
      <c r="AD805" s="2553"/>
      <c r="AE805" s="2554"/>
      <c r="AF805" s="2536">
        <f>IF(T805&gt;Z805,Z805,T805)</f>
        <v>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AK109</f>
        <v>19.999999999999996</v>
      </c>
      <c r="U806" s="2553"/>
      <c r="V806" s="2553"/>
      <c r="W806" s="2553"/>
      <c r="X806" s="2553"/>
      <c r="Y806" s="2554"/>
      <c r="Z806" s="2555">
        <v>20</v>
      </c>
      <c r="AA806" s="2553"/>
      <c r="AB806" s="2553"/>
      <c r="AC806" s="2553"/>
      <c r="AD806" s="2553"/>
      <c r="AE806" s="2554"/>
      <c r="AF806" s="2536">
        <f>IF(T806&gt;Z806,Z806,T806)</f>
        <v>19.999999999999996</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0</v>
      </c>
      <c r="U811" s="2576"/>
      <c r="V811" s="2576"/>
      <c r="W811" s="2576"/>
      <c r="X811" s="2576"/>
      <c r="Y811" s="2576"/>
      <c r="Z811" s="2536">
        <v>10</v>
      </c>
      <c r="AA811" s="2536"/>
      <c r="AB811" s="2536"/>
      <c r="AC811" s="2536"/>
      <c r="AD811" s="2536"/>
      <c r="AE811" s="2536"/>
      <c r="AF811" s="2536">
        <f>IF(T811&gt;Z811,Z811,T811)</f>
        <v>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589</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0</v>
      </c>
      <c r="U815" s="2576"/>
      <c r="V815" s="2576"/>
      <c r="W815" s="2576"/>
      <c r="X815" s="2576"/>
      <c r="Y815" s="2576"/>
      <c r="Z815" s="2582">
        <v>10</v>
      </c>
      <c r="AA815" s="2583"/>
      <c r="AB815" s="2583"/>
      <c r="AC815" s="2583"/>
      <c r="AD815" s="2583"/>
      <c r="AE815" s="2584"/>
      <c r="AF815" s="2582">
        <f>IF(T815&gt;Z815,Z815,T815)</f>
        <v>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SUM(AF804:AK819)-AF820</f>
        <v>110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Danny Kolosta</cp:lastModifiedBy>
  <cp:lastPrinted>2024-12-09T20:28:29Z</cp:lastPrinted>
  <dcterms:created xsi:type="dcterms:W3CDTF">2007-12-27T18:26:28Z</dcterms:created>
  <dcterms:modified xsi:type="dcterms:W3CDTF">2025-09-08T01:09:36Z</dcterms:modified>
</cp:coreProperties>
</file>