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Development/Active/5th and Robinson/Finance/TCAC &amp; CDLAC/Application/Final/"/>
    </mc:Choice>
  </mc:AlternateContent>
  <xr:revisionPtr revIDLastSave="667" documentId="8_{A3873C8F-FF53-4F83-AA94-174FA5A242E7}" xr6:coauthVersionLast="47" xr6:coauthVersionMax="47" xr10:uidLastSave="{B987C05B-73E4-EC44-8AC0-38E26E8A9A3C}"/>
  <bookViews>
    <workbookView xWindow="140" yWindow="660" windowWidth="50880" windowHeight="279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8" i="3" l="1"/>
  <c r="AO631" i="3"/>
  <c r="J99" i="4"/>
  <c r="E99" i="4"/>
  <c r="E30" i="4"/>
  <c r="H30" i="4"/>
  <c r="AF629" i="3"/>
  <c r="AO629" i="3"/>
  <c r="C76" i="13"/>
  <c r="C75" i="13"/>
  <c r="C80" i="13"/>
  <c r="C79" i="13"/>
  <c r="C95" i="13"/>
  <c r="C94" i="13"/>
  <c r="C93" i="13"/>
  <c r="C92" i="13"/>
  <c r="C91" i="13"/>
  <c r="C90" i="13"/>
  <c r="C89" i="13"/>
  <c r="C88" i="13"/>
  <c r="C87" i="13"/>
  <c r="C86" i="13"/>
  <c r="C85" i="13"/>
  <c r="C84" i="13"/>
  <c r="C83" i="13"/>
  <c r="C99" i="13"/>
  <c r="F99" i="13"/>
  <c r="F43" i="13"/>
  <c r="F94" i="13"/>
  <c r="F93" i="13"/>
  <c r="F91" i="13"/>
  <c r="F90" i="13"/>
  <c r="F89" i="13"/>
  <c r="F86" i="13"/>
  <c r="F85" i="13"/>
  <c r="F84" i="13"/>
  <c r="F80" i="13"/>
  <c r="F79" i="13"/>
  <c r="F68" i="13"/>
  <c r="F69" i="13"/>
  <c r="F65" i="13"/>
  <c r="F53" i="13"/>
  <c r="F52" i="13"/>
  <c r="F49" i="13"/>
  <c r="F46" i="13"/>
  <c r="F45" i="13"/>
  <c r="F40" i="13"/>
  <c r="F36" i="13"/>
  <c r="F32" i="13"/>
  <c r="F31" i="13"/>
  <c r="F30" i="13"/>
  <c r="E41" i="7" l="1"/>
  <c r="A41" i="7"/>
  <c r="Z816" i="3"/>
  <c r="AO640" i="3"/>
  <c r="AM560" i="3" l="1"/>
  <c r="E61" i="4" l="1"/>
  <c r="E60" i="4"/>
  <c r="E59" i="4"/>
  <c r="E58" i="4"/>
  <c r="E57" i="4"/>
  <c r="E56" i="4"/>
  <c r="E45" i="4"/>
  <c r="E53" i="4"/>
  <c r="E52" i="4"/>
  <c r="E51" i="4"/>
  <c r="E50" i="4"/>
  <c r="E49" i="4"/>
  <c r="E48" i="4"/>
  <c r="E47" i="4"/>
  <c r="E46" i="4"/>
  <c r="T627" i="3" l="1"/>
  <c r="Q627" i="3"/>
  <c r="J728" i="3" l="1"/>
  <c r="J726" i="3" s="1"/>
  <c r="I728" i="3"/>
  <c r="I726" i="3" s="1"/>
  <c r="H728" i="3"/>
  <c r="H726" i="3" s="1"/>
  <c r="G728" i="3"/>
  <c r="J722" i="3"/>
  <c r="I722" i="3"/>
  <c r="H722" i="3"/>
  <c r="J719" i="3"/>
  <c r="I719" i="3"/>
  <c r="H719"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C68" i="13" s="1"/>
  <c r="B69" i="13"/>
  <c r="C69" i="13" s="1"/>
  <c r="A53" i="13"/>
  <c r="H36" i="13"/>
  <c r="E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C65" i="13" s="1"/>
  <c r="B61" i="13"/>
  <c r="C61" i="13" s="1"/>
  <c r="B60" i="13"/>
  <c r="B59" i="13"/>
  <c r="B58" i="13"/>
  <c r="C58" i="13" s="1"/>
  <c r="B57" i="13"/>
  <c r="B56" i="13"/>
  <c r="C56" i="13" s="1"/>
  <c r="B53" i="13"/>
  <c r="C53" i="13" s="1"/>
  <c r="B52" i="13"/>
  <c r="C52" i="13" s="1"/>
  <c r="B51" i="13"/>
  <c r="B50" i="13"/>
  <c r="B49" i="13"/>
  <c r="B48" i="13"/>
  <c r="B47" i="13"/>
  <c r="B46" i="13"/>
  <c r="C46" i="13" s="1"/>
  <c r="B45" i="13"/>
  <c r="C45" i="13" s="1"/>
  <c r="B43" i="13"/>
  <c r="C43" i="13" s="1"/>
  <c r="C42" i="4"/>
  <c r="B42" i="13" s="1"/>
  <c r="B41" i="13"/>
  <c r="B40" i="13"/>
  <c r="C40" i="13" s="1"/>
  <c r="C42" i="13" s="1"/>
  <c r="B37" i="13"/>
  <c r="B35" i="13"/>
  <c r="B34" i="13"/>
  <c r="B33" i="13"/>
  <c r="B32" i="13"/>
  <c r="B31" i="13"/>
  <c r="B29" i="13"/>
  <c r="B27" i="13"/>
  <c r="C27" i="13" s="1"/>
  <c r="B25" i="13"/>
  <c r="B23" i="13"/>
  <c r="B22" i="13"/>
  <c r="B21" i="13"/>
  <c r="B20" i="13"/>
  <c r="B19" i="13"/>
  <c r="B18" i="13"/>
  <c r="B17" i="13"/>
  <c r="B5" i="13"/>
  <c r="B6" i="13"/>
  <c r="B7" i="13"/>
  <c r="C8" i="4"/>
  <c r="B8" i="13" s="1"/>
  <c r="B9" i="13"/>
  <c r="B10" i="13"/>
  <c r="B13" i="13"/>
  <c r="B14" i="13"/>
  <c r="C14" i="13" s="1"/>
  <c r="B15" i="13"/>
  <c r="B4" i="13"/>
  <c r="C4" i="13" s="1"/>
  <c r="C8" i="13" s="1"/>
  <c r="J104" i="13"/>
  <c r="I104" i="13"/>
  <c r="G104" i="13"/>
  <c r="F104" i="13"/>
  <c r="D104" i="13"/>
  <c r="C104" i="13"/>
  <c r="G96" i="13"/>
  <c r="F96" i="13"/>
  <c r="D96" i="13"/>
  <c r="C96" i="13"/>
  <c r="D77" i="13"/>
  <c r="C77" i="13"/>
  <c r="J70" i="13"/>
  <c r="I70" i="13"/>
  <c r="G70" i="13"/>
  <c r="F70" i="13"/>
  <c r="D70" i="13"/>
  <c r="D62" i="13"/>
  <c r="J54" i="13"/>
  <c r="I54" i="13"/>
  <c r="G54" i="13"/>
  <c r="F54" i="13"/>
  <c r="D54" i="13"/>
  <c r="J42" i="13"/>
  <c r="I42" i="13"/>
  <c r="G42" i="13"/>
  <c r="F42" i="13"/>
  <c r="F26" i="13"/>
  <c r="F38"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D35" i="11" l="1"/>
  <c r="C54" i="13"/>
  <c r="C62" i="13"/>
  <c r="C70"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71" i="11"/>
  <c r="B105" i="11"/>
  <c r="O12" i="4"/>
  <c r="D10" i="11"/>
  <c r="B43" i="11"/>
  <c r="BA1058" i="3"/>
  <c r="Q12" i="4"/>
  <c r="K12" i="4"/>
  <c r="D61" i="11"/>
  <c r="D57" i="11"/>
  <c r="B9" i="11"/>
  <c r="J12" i="4"/>
  <c r="B54" i="4"/>
  <c r="D30" i="11"/>
  <c r="D22" i="11"/>
  <c r="R77" i="4"/>
  <c r="D80"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AJ621" i="20"/>
  <c r="AK794" i="20" s="1"/>
  <c r="T819" i="20" s="1"/>
  <c r="AF819" i="20" s="1"/>
  <c r="BE82" i="3" s="1"/>
  <c r="G94" i="21"/>
  <c r="D43" i="11"/>
  <c r="D71" i="11"/>
  <c r="B12" i="4"/>
  <c r="N195" i="23"/>
  <c r="D55" i="11"/>
  <c r="D82" i="11"/>
  <c r="D78" i="11"/>
  <c r="R12" i="4"/>
  <c r="D12" i="11"/>
  <c r="D63" i="11"/>
  <c r="B13" i="11"/>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8" i="21" l="1"/>
  <c r="P28" i="21" s="1" a="1"/>
  <c r="P28" i="21" s="1"/>
  <c r="S28" i="21" s="1"/>
  <c r="O23" i="21"/>
  <c r="P23" i="21" s="1" a="1"/>
  <c r="P23" i="21" s="1"/>
  <c r="S23" i="21" s="1"/>
  <c r="O30" i="21"/>
  <c r="P30" i="21" s="1" a="1"/>
  <c r="P30" i="21" s="1"/>
  <c r="S30" i="21" s="1"/>
  <c r="O29" i="21"/>
  <c r="P29" i="21" s="1" a="1"/>
  <c r="P29" i="21" s="1"/>
  <c r="S29" i="21" s="1"/>
  <c r="O25" i="21"/>
  <c r="P25" i="21" s="1" a="1"/>
  <c r="P25" i="21" s="1"/>
  <c r="S25" i="21" s="1"/>
  <c r="O22" i="21"/>
  <c r="P22" i="21" s="1" a="1"/>
  <c r="P22" i="21" s="1"/>
  <c r="S22" i="21" s="1"/>
  <c r="O31" i="21"/>
  <c r="P31" i="21" s="1" a="1"/>
  <c r="P31" i="21" s="1"/>
  <c r="S31" i="21" s="1"/>
  <c r="O21" i="21"/>
  <c r="P21" i="21" s="1" a="1"/>
  <c r="P21" i="21" s="1"/>
  <c r="S21" i="21" s="1"/>
  <c r="O20" i="21"/>
  <c r="P20" i="21" s="1" a="1"/>
  <c r="P20" i="21" s="1"/>
  <c r="S20" i="21" s="1"/>
  <c r="O26" i="21"/>
  <c r="P26" i="21" s="1" a="1"/>
  <c r="P26" i="21" s="1"/>
  <c r="S26" i="21" s="1"/>
  <c r="O32" i="21"/>
  <c r="P32" i="21" s="1" a="1"/>
  <c r="P32" i="21" s="1"/>
  <c r="S32" i="21" s="1"/>
  <c r="O27" i="21"/>
  <c r="P27" i="21" s="1" a="1"/>
  <c r="P27" i="21" s="1"/>
  <c r="S27" i="21" s="1"/>
  <c r="AK84" i="20"/>
  <c r="AK191" i="20" s="1"/>
  <c r="T811" i="20" s="1"/>
  <c r="AF811" i="20" s="1"/>
  <c r="BE76" i="3" s="1"/>
  <c r="D13" i="11"/>
  <c r="AZ1046" i="3"/>
  <c r="S105" i="4"/>
  <c r="E97" i="13"/>
  <c r="O58" i="7"/>
  <c r="Q53" i="7"/>
  <c r="T105" i="4"/>
  <c r="H97" i="13"/>
  <c r="P24" i="21" a="1"/>
  <c r="P24" i="21" s="1"/>
  <c r="S24"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41" i="3"/>
  <c r="AJ1036" i="3"/>
  <c r="I15" i="21" s="1"/>
  <c r="AD11" i="15"/>
  <c r="AD23" i="15" s="1"/>
  <c r="AD26" i="15" s="1"/>
  <c r="AD28" i="15" s="1"/>
  <c r="AI11" i="15"/>
  <c r="AI23" i="15" s="1"/>
  <c r="AI26" i="15" s="1"/>
  <c r="AI28" i="15" s="1"/>
  <c r="BA1055" i="3"/>
  <c r="BA1059" i="3"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H3" i="21"/>
  <c r="B31" i="11" l="1"/>
  <c r="C31" i="11"/>
  <c r="D31" i="11"/>
  <c r="B39" i="11"/>
  <c r="C39" i="11"/>
  <c r="D39" i="11"/>
  <c r="B64" i="11"/>
  <c r="C64" i="11"/>
  <c r="D64" i="11"/>
  <c r="B98" i="11"/>
  <c r="B106" i="11" s="1"/>
  <c r="C98" i="11"/>
  <c r="B30" i="13"/>
  <c r="C30" i="13"/>
  <c r="C38" i="13" s="1"/>
  <c r="C63" i="13" s="1"/>
  <c r="C97" i="13" s="1"/>
  <c r="C105" i="13" s="1"/>
  <c r="B30" i="4"/>
  <c r="C38" i="4"/>
  <c r="C63" i="4"/>
  <c r="D98" i="11" l="1"/>
  <c r="C106" i="11"/>
  <c r="D106" i="11" s="1"/>
  <c r="B38" i="13"/>
  <c r="B38" i="4"/>
  <c r="B63" i="4" s="1"/>
  <c r="B63" i="13"/>
  <c r="C97" i="4"/>
  <c r="C105" i="4" l="1"/>
  <c r="B97" i="4"/>
  <c r="B97" i="13"/>
  <c r="B105" i="13" l="1"/>
  <c r="AC455" i="3"/>
  <c r="BE101" i="3"/>
  <c r="B105" i="4"/>
  <c r="AG269" i="20"/>
  <c r="AC454" i="3" l="1"/>
  <c r="BE22" i="3"/>
  <c r="N185" i="23"/>
  <c r="AB47" i="15"/>
  <c r="AB49" i="15" s="1"/>
  <c r="AB266" i="20"/>
  <c r="AG268" i="20" s="1"/>
  <c r="AG270" i="20" s="1"/>
  <c r="AK273" i="20" s="1"/>
  <c r="T812" i="20" s="1"/>
  <c r="AF812" i="20" s="1"/>
  <c r="BE44" i="3" l="1"/>
  <c r="F457" i="3"/>
  <c r="N196" i="23"/>
  <c r="N186" i="23"/>
  <c r="AB54" i="15"/>
  <c r="AB55" i="15" s="1"/>
  <c r="AB56" i="15" s="1"/>
  <c r="BE77" i="3"/>
  <c r="AF821" i="20"/>
  <c r="BE70" i="3" s="1"/>
  <c r="AB57" i="15" l="1"/>
  <c r="M26" i="3"/>
  <c r="AB59" i="15" l="1"/>
  <c r="AB77" i="15" s="1"/>
  <c r="AB78" i="15" s="1"/>
  <c r="P204" i="3"/>
  <c r="BE19" i="3"/>
  <c r="AB79" i="15" l="1"/>
  <c r="AB81" i="15" s="1"/>
  <c r="J82" i="15" s="1"/>
  <c r="I10" i="21"/>
  <c r="I11" i="21" s="1"/>
  <c r="I18"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DDB1DA2E-8756-413B-923C-059F85658C4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<sst xmlns="http://schemas.openxmlformats.org/spreadsheetml/2006/main" count="5032" uniqueCount="2743">
  <si>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</si>
  <si>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</si>
  <si>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</si>
  <si>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</si>
  <si>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</si>
  <si>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</si>
  <si>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</si>
  <si>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</si>
  <si>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</si>
  <si>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</si>
  <si>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</si>
  <si>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</si>
  <si>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</si>
  <si>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</si>
  <si>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</si>
  <si>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</si>
  <si>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</si>
  <si>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</si>
  <si>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</si>
  <si>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</si>
  <si>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</si>
  <si>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</si>
  <si>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</si>
  <si>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</si>
  <si>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</si>
  <si>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</si>
  <si>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</si>
  <si>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</si>
  <si>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</si>
  <si>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</si>
  <si>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</si>
  <si>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</si>
  <si>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</si>
  <si>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</si>
  <si>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</si>
  <si>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</si>
  <si>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</si>
  <si>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</si>
  <si>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</si>
  <si>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</si>
  <si>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</si>
  <si>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</si>
  <si>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</si>
  <si>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</si>
  <si>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</si>
  <si>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</si>
  <si>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</si>
  <si>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</si>
  <si>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</si>
  <si>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</si>
  <si>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</si>
  <si>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</si>
  <si>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</si>
  <si>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</si>
  <si>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</si>
  <si>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</si>
  <si>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</si>
  <si>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</si>
  <si>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</si>
  <si>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</si>
  <si>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</si>
  <si>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</si>
  <si>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</si>
  <si>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</si>
  <si>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</si>
  <si>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</si>
  <si>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</si>
  <si>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</si>
  <si>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</si>
  <si>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</si>
  <si>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</si>
  <si>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</si>
  <si>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</si>
  <si>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</si>
  <si>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</si>
  <si>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</si>
  <si>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</si>
  <si>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</si>
  <si>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</si>
  <si>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</si>
  <si>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</si>
  <si>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</si>
  <si>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</si>
  <si>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</si>
  <si>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</si>
  <si>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</si>
  <si>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</si>
  <si>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</si>
  <si>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</si>
  <si>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</si>
  <si>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</si>
  <si>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</si>
  <si>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</si>
  <si>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</si>
  <si>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</si>
  <si>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</si>
  <si>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</si>
  <si>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</si>
  <si>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</si>
  <si>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</si>
  <si>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</si>
  <si>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</si>
  <si>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</si>
  <si>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</si>
  <si>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</si>
  <si>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</si>
  <si>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</si>
  <si>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</si>
  <si>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</si>
  <si>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</si>
  <si>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</si>
  <si>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</si>
  <si>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</si>
  <si>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</si>
  <si>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</si>
  <si>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</si>
  <si>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</si>
  <si>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</si>
  <si>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</si>
  <si>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</si>
  <si>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</si>
  <si>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</si>
  <si>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</si>
  <si>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</si>
  <si>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</si>
  <si>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</si>
  <si>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</si>
  <si>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</si>
  <si>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</si>
  <si>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</si>
  <si>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</si>
  <si>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</si>
  <si>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</si>
  <si>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</si>
  <si>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</si>
  <si>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</si>
  <si>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</si>
  <si>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</si>
  <si>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</si>
  <si>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</si>
  <si>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</si>
  <si>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</si>
  <si>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</si>
  <si>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</si>
  <si>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</si>
  <si>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</si>
  <si>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</si>
  <si>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</si>
  <si>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</si>
  <si>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</si>
  <si>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</si>
  <si>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</si>
  <si>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</si>
  <si>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</si>
  <si>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</si>
  <si>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</si>
  <si>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</si>
  <si>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</si>
  <si>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</si>
  <si>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</si>
  <si>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</si>
  <si>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</si>
  <si>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</si>
  <si>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</si>
  <si>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</si>
  <si>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</si>
  <si>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</si>
  <si>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</si>
  <si>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</si>
  <si>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</si>
  <si>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</si>
  <si>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</si>
  <si>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</si>
  <si>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</si>
  <si>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</si>
  <si>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</si>
  <si>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</si>
  <si>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</si>
  <si>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</si>
  <si>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</si>
  <si>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</si>
  <si>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</si>
  <si>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</si>
  <si>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</si>
  <si>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</si>
  <si>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</si>
  <si>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</si>
  <si>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</si>
  <si>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</si>
  <si>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</si>
  <si>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</si>
  <si>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</si>
  <si>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</si>
  <si>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</si>
  <si>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</si>
  <si>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</si>
  <si>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</si>
  <si>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</si>
  <si>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</si>
  <si>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</si>
  <si>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</si>
  <si>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</si>
  <si>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</si>
  <si>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</si>
  <si>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</si>
  <si>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</si>
  <si>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</si>
  <si>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</si>
  <si>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</si>
  <si>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</si>
  <si>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</si>
  <si>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</si>
  <si>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</si>
  <si>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</si>
  <si>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</si>
  <si>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</si>
  <si>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</si>
  <si>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</si>
  <si>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</si>
  <si>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</si>
  <si>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</si>
  <si>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</si>
  <si>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</si>
  <si>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</si>
  <si>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</si>
  <si>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</si>
  <si>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</si>
  <si>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</si>
  <si>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</si>
  <si>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</si>
  <si>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</si>
  <si>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</si>
  <si>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</si>
  <si>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</si>
  <si>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</si>
  <si>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</si>
  <si>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</si>
  <si>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</si>
  <si>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</si>
  <si>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</si>
  <si>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</si>
  <si>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</si>
  <si>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</si>
  <si>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</si>
  <si>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</si>
  <si>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</si>
  <si>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</si>
  <si>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</si>
  <si>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</si>
  <si>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</si>
  <si>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</si>
  <si>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</si>
  <si>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</si>
  <si>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</si>
  <si>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</si>
  <si>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</si>
  <si>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</si>
  <si>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</si>
  <si>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</si>
  <si>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</si>
  <si>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</si>
  <si>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</si>
  <si>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</si>
  <si>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</si>
  <si>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</si>
  <si>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</si>
  <si>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</si>
  <si>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</si>
  <si>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</si>
  <si>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</si>
  <si>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</si>
  <si>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</si>
  <si>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</si>
  <si>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</si>
  <si>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</si>
  <si>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</si>
  <si>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</si>
  <si>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</si>
  <si>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</si>
  <si>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</si>
  <si>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</si>
  <si>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</si>
  <si>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</si>
  <si>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</si>
  <si>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</si>
  <si>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</si>
  <si>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</si>
  <si>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</si>
  <si>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</si>
  <si>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</si>
  <si>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</si>
  <si>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</si>
  <si>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</si>
  <si>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</si>
  <si>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</si>
  <si>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</si>
  <si>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</si>
  <si>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</si>
  <si>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</si>
  <si>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</si>
  <si>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</si>
  <si>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</si>
  <si>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</si>
  <si>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</si>
  <si>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</si>
  <si>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</si>
  <si>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</si>
  <si>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</si>
  <si>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</si>
  <si>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</si>
  <si>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</si>
  <si>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</si>
  <si>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</si>
  <si>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</si>
  <si>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</si>
  <si>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</si>
  <si>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</si>
  <si>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</si>
  <si>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</si>
  <si>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</si>
  <si>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</si>
  <si>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</si>
  <si>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</si>
  <si>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</si>
  <si>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</si>
  <si>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</si>
  <si>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</si>
  <si>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</si>
  <si>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</si>
  <si>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</si>
  <si>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</si>
  <si>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</si>
  <si>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</si>
  <si>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</si>
  <si>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</si>
  <si>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</si>
  <si>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</si>
  <si>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</si>
  <si>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</si>
  <si>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</si>
  <si>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</si>
  <si>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</si>
  <si>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</si>
  <si>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</si>
  <si>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</si>
  <si>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</si>
  <si>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</si>
  <si>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</si>
  <si>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</si>
  <si>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</si>
  <si>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</si>
  <si>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</si>
  <si>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</si>
  <si>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</si>
  <si>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</si>
  <si>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</si>
  <si>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</si>
  <si>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</si>
  <si>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</si>
  <si>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</si>
  <si>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</si>
  <si>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</si>
  <si>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</si>
  <si>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</si>
  <si>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</si>
  <si>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</si>
  <si>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</si>
  <si>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</si>
  <si>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</si>
  <si>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</si>
  <si>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</si>
  <si>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</si>
  <si>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</si>
  <si>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</si>
  <si>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</si>
  <si>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</si>
  <si>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</si>
  <si>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</si>
  <si>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</si>
  <si>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</si>
  <si>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</si>
  <si>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</si>
  <si>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</si>
  <si>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</si>
  <si>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</si>
  <si>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</si>
  <si>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</si>
  <si>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</si>
  <si>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</si>
  <si>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</si>
  <si>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</si>
  <si>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</si>
  <si>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</si>
  <si>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</si>
  <si>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</si>
  <si>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</si>
  <si>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</si>
  <si>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</si>
  <si>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</si>
  <si>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</si>
  <si>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</si>
  <si>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</si>
  <si>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</si>
  <si>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</si>
  <si>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</si>
  <si>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</si>
  <si>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</si>
  <si>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</si>
  <si>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</si>
  <si>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</si>
  <si>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</si>
  <si>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</si>
  <si>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</si>
  <si>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</si>
  <si>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</si>
  <si>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</si>
  <si>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</si>
  <si>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</si>
  <si>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</si>
  <si>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</si>
  <si>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</si>
  <si>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</si>
  <si>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</si>
  <si>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</si>
  <si>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</si>
  <si>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</si>
  <si>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</si>
  <si>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</si>
  <si>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</si>
  <si>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</si>
  <si>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</si>
  <si>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</si>
  <si>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</si>
  <si>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</si>
  <si>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</si>
  <si>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</si>
  <si>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</si>
  <si>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</si>
  <si>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</si>
  <si>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</si>
  <si>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</si>
  <si>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</si>
  <si>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</si>
  <si>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</si>
  <si>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</si>
  <si>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</si>
  <si>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</si>
  <si>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</si>
  <si>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</si>
  <si>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</si>
  <si>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</si>
  <si>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</si>
  <si>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</si>
  <si>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</si>
  <si>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</si>
  <si>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</si>
  <si>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</si>
  <si>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</si>
  <si>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</si>
  <si>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</si>
  <si>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</si>
  <si>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</si>
  <si>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</si>
  <si>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</si>
  <si>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</si>
  <si>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</si>
  <si>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</si>
  <si>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</si>
  <si>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</si>
  <si>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</si>
  <si>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</si>
  <si>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</si>
  <si>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</si>
  <si>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</si>
  <si>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</si>
  <si>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</si>
  <si>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</si>
  <si>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</si>
  <si>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</si>
  <si>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</si>
  <si>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</si>
  <si>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</si>
  <si>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</si>
  <si>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</si>
  <si>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</si>
  <si>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</si>
  <si>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</si>
  <si>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</si>
  <si>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</si>
  <si>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</si>
  <si>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</si>
  <si>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</si>
  <si>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</si>
  <si>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</si>
  <si>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</si>
  <si>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</si>
  <si>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</si>
  <si>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</si>
  <si>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</si>
  <si>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</si>
  <si>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</si>
  <si>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</si>
  <si>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</si>
  <si>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</si>
  <si>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</si>
  <si>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</si>
  <si>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</si>
  <si>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</si>
  <si>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</si>
  <si>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</si>
  <si>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</si>
  <si>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</si>
  <si>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</si>
  <si>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</si>
  <si>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</si>
  <si>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</si>
  <si>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</si>
  <si>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</si>
  <si>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</si>
  <si>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</si>
  <si>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</si>
  <si>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</si>
  <si>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</si>
  <si>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</si>
  <si>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</si>
  <si>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</si>
  <si>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</si>
  <si>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</si>
  <si>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</si>
  <si>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</si>
  <si>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</si>
  <si>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</si>
  <si>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</si>
  <si>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</si>
  <si>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</si>
  <si>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</si>
  <si>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</si>
  <si>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</si>
  <si>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</si>
  <si>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</si>
  <si>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</si>
  <si>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</si>
  <si>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</si>
  <si>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</si>
  <si>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</si>
  <si>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</si>
  <si>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</si>
  <si>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</si>
  <si>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</si>
  <si>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</si>
  <si>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</si>
  <si>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</si>
  <si>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</si>
  <si>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</si>
  <si>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</si>
  <si>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</si>
  <si>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</si>
  <si>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</si>
  <si>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</si>
  <si>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</si>
  <si>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</si>
  <si>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</si>
  <si>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</si>
  <si>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</si>
  <si>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</si>
  <si>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</si>
  <si>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</si>
  <si>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</si>
  <si>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</si>
  <si>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</si>
  <si>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</si>
  <si>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</si>
  <si>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</si>
  <si>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</si>
  <si>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</si>
  <si>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</si>
  <si>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</si>
  <si>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</si>
  <si>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</si>
  <si>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</si>
  <si>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</si>
  <si>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</si>
  <si>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</si>
  <si>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</si>
  <si>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</si>
  <si>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</si>
  <si>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</si>
  <si>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</si>
  <si>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</si>
  <si>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</si>
  <si>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</si>
  <si>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</si>
  <si>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</si>
  <si>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</si>
  <si>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</si>
  <si>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</si>
  <si>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</si>
  <si>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</si>
  <si>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</si>
  <si>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</si>
  <si>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</si>
  <si>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</si>
  <si>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</si>
  <si>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</si>
  <si>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</si>
  <si>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</si>
  <si>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</si>
  <si>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</si>
  <si>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</si>
  <si>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</si>
  <si>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</si>
  <si>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</si>
  <si>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</si>
  <si>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</si>
  <si>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</si>
  <si>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</si>
  <si>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</si>
  <si>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</si>
  <si>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</si>
  <si>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</si>
  <si>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</si>
  <si>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</si>
  <si>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</si>
  <si>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</si>
  <si>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</si>
  <si>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</si>
  <si>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</si>
  <si>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</si>
  <si>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</si>
  <si>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</si>
  <si>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</si>
  <si>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</si>
  <si>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</si>
  <si>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</si>
  <si>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</si>
  <si>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</si>
  <si>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</si>
  <si>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</si>
  <si>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</si>
  <si>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</si>
  <si>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</si>
  <si>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</si>
  <si>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</si>
  <si>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</si>
  <si>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</si>
  <si>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</si>
  <si>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</si>
  <si>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</si>
  <si>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</si>
  <si>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</si>
  <si>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</si>
  <si>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</si>
  <si>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</si>
  <si>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</si>
  <si>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</si>
  <si>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</si>
  <si>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</si>
  <si>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</si>
  <si>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</si>
  <si>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</si>
  <si>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</si>
  <si>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</si>
  <si>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</si>
  <si>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</si>
  <si>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</si>
  <si>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</si>
  <si>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</si>
  <si>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</si>
  <si>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</si>
  <si>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</si>
  <si>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</si>
  <si>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</si>
  <si>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</si>
  <si>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</si>
  <si>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</si>
  <si>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</si>
  <si>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</si>
  <si>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</si>
  <si>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</si>
  <si>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</si>
  <si>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</si>
  <si>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</si>
  <si>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</si>
  <si>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</si>
  <si>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</si>
  <si>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</si>
  <si>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</si>
  <si>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</si>
  <si>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</si>
  <si>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</si>
  <si>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</si>
  <si>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</si>
  <si>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</si>
  <si>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</si>
  <si>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</si>
  <si>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</si>
  <si>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</si>
  <si>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</si>
  <si>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</si>
  <si>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</si>
  <si>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</si>
  <si>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</si>
  <si>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</si>
  <si>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</si>
  <si>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</si>
  <si>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</si>
  <si>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</si>
  <si>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</si>
  <si>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</si>
  <si>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</si>
  <si>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</si>
  <si>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</si>
  <si>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</si>
  <si>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</si>
  <si>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</si>
  <si>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</si>
  <si>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</si>
  <si>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</si>
  <si>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</si>
  <si>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</si>
  <si>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</si>
  <si>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</si>
  <si>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</si>
  <si>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</si>
  <si>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</si>
  <si>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</si>
  <si>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</si>
  <si>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</si>
  <si>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</si>
  <si>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</si>
  <si>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</si>
  <si>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</si>
  <si>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</si>
  <si>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</si>
  <si>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</si>
  <si>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</si>
  <si>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</si>
  <si>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</si>
  <si>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</si>
  <si>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</si>
  <si>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</si>
  <si>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</si>
  <si>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</si>
  <si>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</si>
  <si>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</si>
  <si>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</si>
  <si>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</si>
  <si>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</si>
  <si>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</si>
  <si>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</si>
  <si>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</si>
  <si>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</si>
  <si>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</si>
  <si>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</si>
  <si>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</si>
  <si>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</si>
  <si>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</si>
  <si>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</si>
  <si>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</si>
  <si>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</si>
  <si>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</si>
  <si>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</si>
  <si>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</si>
  <si>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</si>
  <si>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</si>
  <si>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</si>
  <si>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</si>
  <si>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</si>
  <si>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</si>
  <si>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</si>
  <si>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</si>
  <si>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</si>
  <si>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</si>
  <si>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</si>
  <si>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</si>
  <si>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</si>
  <si>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</si>
  <si>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</si>
  <si>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</si>
  <si>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</si>
  <si>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</si>
  <si>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</si>
  <si>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</si>
  <si>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</si>
  <si>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</si>
  <si>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</si>
  <si>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</si>
  <si>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</si>
  <si>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</si>
  <si>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</si>
  <si>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</si>
  <si>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</si>
  <si>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</si>
  <si>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</si>
  <si>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</si>
  <si>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</si>
  <si>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</si>
  <si>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</si>
  <si>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</si>
  <si>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</si>
  <si>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</si>
  <si>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</si>
  <si>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</si>
  <si>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</si>
  <si>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</si>
  <si>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</si>
  <si>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</si>
  <si>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</si>
  <si>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</si>
  <si>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</si>
  <si>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</si>
  <si>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</si>
  <si>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</si>
  <si>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</si>
  <si>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</si>
  <si>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</si>
  <si>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</si>
  <si>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</si>
  <si>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</si>
  <si>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</si>
  <si>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</si>
  <si>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</si>
  <si>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</si>
  <si>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</si>
  <si>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</si>
  <si>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</si>
  <si>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</si>
  <si>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</si>
  <si>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</si>
  <si>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</si>
  <si>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</si>
  <si>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</si>
  <si>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</si>
  <si>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</si>
  <si>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</si>
  <si>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</si>
  <si>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</si>
  <si>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</si>
  <si>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</si>
  <si>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</si>
  <si>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</si>
  <si>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</si>
  <si>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</si>
  <si>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</si>
  <si>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</si>
  <si>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</si>
  <si>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</si>
  <si>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</si>
  <si>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</si>
  <si>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</si>
  <si>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</si>
  <si>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</si>
  <si>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</si>
  <si>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</si>
  <si>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</si>
  <si>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</si>
  <si>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</si>
  <si>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</si>
  <si>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</si>
  <si>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</si>
  <si>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</si>
  <si>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</si>
  <si>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</si>
  <si>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</si>
  <si>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</si>
  <si>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</si>
  <si>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</si>
  <si>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</si>
  <si>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</si>
  <si>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</si>
  <si>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</si>
  <si>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</si>
  <si>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</si>
  <si>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</si>
  <si>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</si>
  <si>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</si>
  <si>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</si>
  <si>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</si>
  <si>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</si>
  <si>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</si>
  <si>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</si>
  <si>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</si>
  <si>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</si>
  <si>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</si>
  <si>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</si>
  <si>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</si>
  <si>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</si>
  <si>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</si>
  <si>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</si>
  <si>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</si>
  <si>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</si>
  <si>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</si>
  <si>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</si>
  <si>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</si>
  <si>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</si>
  <si>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</si>
  <si>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</si>
  <si>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</si>
  <si>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</si>
  <si>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</si>
  <si>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</si>
  <si>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</si>
  <si>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</si>
  <si>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</si>
  <si>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</si>
  <si>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</si>
  <si>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</si>
  <si>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</si>
  <si>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</si>
  <si>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</si>
  <si>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</si>
  <si>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</si>
  <si>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</si>
  <si>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</si>
  <si>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</si>
  <si>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</si>
  <si>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</si>
  <si>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</si>
  <si>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</si>
  <si>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</si>
  <si>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</si>
  <si>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</si>
  <si>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</si>
  <si>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</si>
  <si>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</si>
  <si>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</si>
  <si>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</si>
  <si>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</si>
  <si>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</si>
  <si>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</si>
  <si>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</si>
  <si>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</si>
  <si>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</si>
  <si>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</si>
  <si>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</si>
  <si>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</si>
  <si>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</si>
  <si>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</si>
  <si>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</si>
  <si>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</si>
  <si>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</si>
  <si>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</si>
  <si>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</si>
  <si>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</si>
  <si>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</si>
  <si>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</si>
  <si>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</si>
  <si>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</si>
  <si>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</si>
  <si>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</si>
  <si>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</si>
  <si>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</si>
  <si>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</si>
  <si>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</si>
  <si>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</si>
  <si>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</si>
  <si>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</si>
  <si>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</si>
  <si>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</si>
  <si>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</si>
  <si>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</si>
  <si>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</si>
  <si>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</si>
  <si>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</si>
  <si>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</si>
  <si>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</si>
  <si>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</si>
  <si>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</si>
  <si>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</si>
  <si>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</si>
  <si>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</si>
  <si>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</si>
  <si>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</si>
  <si>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</si>
  <si>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</si>
  <si>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</si>
  <si>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</si>
  <si>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</si>
  <si>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</si>
  <si>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</si>
  <si>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</si>
  <si>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</si>
  <si>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</si>
  <si>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</si>
  <si>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</si>
  <si>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</si>
  <si>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</si>
  <si>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</si>
  <si>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</si>
  <si>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</si>
  <si>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</si>
  <si>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</si>
  <si>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</si>
  <si>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</si>
  <si>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</si>
  <si>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</si>
  <si>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</si>
  <si>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</si>
  <si>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</si>
  <si>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</si>
  <si>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</si>
  <si>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</si>
  <si>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</si>
  <si>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</si>
  <si>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</si>
  <si>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</si>
  <si>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</si>
  <si>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</si>
  <si>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</si>
  <si>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</si>
  <si>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</si>
  <si>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</si>
  <si>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</si>
  <si>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</si>
  <si>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</si>
  <si>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</si>
  <si>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</si>
  <si>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</si>
  <si>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</si>
  <si>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</si>
  <si>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</si>
  <si>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</si>
  <si>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</si>
  <si>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</si>
  <si>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</si>
  <si>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</si>
  <si>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</si>
  <si>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</si>
  <si>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</si>
  <si>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</si>
  <si>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</si>
  <si>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</si>
  <si>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</si>
  <si>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</si>
  <si>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</si>
  <si>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</si>
  <si>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</si>
  <si>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</si>
  <si>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</si>
  <si>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</si>
  <si>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</si>
  <si>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</si>
  <si>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</si>
  <si>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</si>
  <si>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</si>
  <si>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</si>
  <si>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</si>
  <si>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</si>
  <si>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</si>
  <si>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</si>
  <si>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</si>
  <si>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</si>
  <si>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</si>
  <si>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</si>
  <si>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</si>
  <si>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</si>
  <si>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</si>
  <si>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</si>
  <si>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</si>
  <si>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</si>
  <si>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</si>
  <si>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</si>
  <si>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</si>
  <si>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</si>
  <si>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</si>
  <si>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</si>
  <si>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</si>
  <si>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</si>
  <si>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</si>
  <si>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</si>
  <si>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</si>
  <si>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</si>
  <si>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</si>
  <si>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</si>
  <si>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</si>
  <si>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</si>
  <si>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</si>
  <si>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</si>
  <si>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</si>
  <si>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</si>
  <si>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</si>
  <si>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</si>
  <si>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</si>
  <si>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</si>
  <si>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</si>
  <si>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</si>
  <si>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</si>
  <si>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</si>
  <si>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</si>
  <si>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</si>
  <si>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</si>
  <si>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</si>
  <si>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</si>
  <si>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</si>
  <si>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</si>
  <si>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</si>
  <si>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</si>
  <si>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</si>
  <si>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</si>
  <si>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</si>
  <si>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</si>
  <si>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</si>
  <si>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</si>
  <si>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</si>
  <si>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</si>
  <si>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</si>
  <si>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</si>
  <si>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</si>
  <si>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</si>
  <si>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</si>
  <si>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</si>
  <si>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</si>
  <si>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</si>
  <si>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</si>
  <si>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</si>
  <si>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</si>
  <si>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</si>
  <si>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</si>
  <si>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</si>
  <si>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</si>
  <si>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</si>
  <si>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</si>
  <si>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</si>
  <si>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</si>
  <si>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</si>
  <si>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</si>
  <si>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</si>
  <si>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</si>
  <si>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</si>
  <si>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</si>
  <si>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</si>
  <si>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</si>
  <si>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</si>
  <si>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</si>
  <si>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</si>
  <si>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</si>
  <si>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</si>
  <si>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</si>
  <si>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</si>
  <si>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</si>
  <si>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</si>
  <si>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</si>
  <si>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</si>
  <si>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</si>
  <si>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</si>
  <si>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</si>
  <si>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</si>
  <si>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</si>
  <si>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</si>
  <si>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</si>
  <si>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</si>
  <si>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</si>
  <si>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</si>
  <si>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</si>
  <si>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</si>
  <si>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</si>
  <si>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</si>
  <si>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</si>
  <si>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</si>
  <si>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</si>
  <si>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</si>
  <si>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</si>
  <si>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</si>
  <si>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</si>
  <si>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</si>
  <si>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</si>
  <si>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</si>
  <si>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</si>
  <si>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</si>
  <si>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</si>
  <si>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</si>
  <si>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</si>
  <si>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</si>
  <si>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</si>
  <si>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</si>
  <si>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</si>
  <si>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</si>
  <si>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</si>
  <si>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</si>
  <si>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</si>
  <si>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</si>
  <si>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</si>
  <si>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</si>
  <si>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</si>
  <si>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</si>
  <si>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</si>
  <si>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</si>
  <si>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</si>
  <si>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</si>
  <si>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</si>
  <si>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</si>
  <si>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</si>
  <si>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</si>
  <si>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</si>
  <si>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</si>
  <si>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</si>
  <si>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</si>
  <si>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</si>
  <si>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</si>
  <si>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</si>
  <si>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</si>
  <si>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</si>
  <si>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</si>
  <si>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</si>
  <si>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</si>
  <si>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</si>
  <si>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</si>
  <si>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</si>
  <si>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</si>
  <si>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</si>
  <si>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</si>
  <si>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</si>
  <si>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</si>
  <si>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</si>
  <si>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</si>
  <si>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</si>
  <si>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</si>
  <si>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</si>
  <si>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</si>
  <si>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</si>
  <si>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</si>
  <si>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</si>
  <si>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</si>
  <si>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</si>
  <si>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</si>
  <si>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</si>
  <si>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</si>
  <si>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</si>
  <si>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</si>
  <si>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</si>
  <si>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</si>
  <si>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</si>
  <si>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</si>
  <si>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</si>
  <si>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</si>
  <si>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</si>
  <si>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</si>
  <si>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</si>
  <si>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</si>
  <si>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</si>
  <si>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</si>
  <si>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</si>
  <si>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</si>
  <si>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</si>
  <si>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</si>
  <si>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</si>
  <si>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</si>
  <si>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</si>
  <si>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</si>
  <si>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</si>
  <si>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</si>
  <si>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</si>
  <si>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</si>
  <si>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</si>
  <si>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</si>
  <si>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</si>
  <si>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</si>
  <si>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</si>
  <si>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</si>
  <si>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</si>
  <si>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</si>
  <si>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</si>
  <si>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</si>
  <si>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</si>
  <si>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</si>
  <si>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</si>
  <si>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</si>
  <si>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</si>
  <si>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</si>
  <si>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</si>
  <si>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</si>
  <si>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</si>
  <si>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</si>
  <si>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</si>
  <si>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</si>
  <si>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</si>
  <si>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</si>
  <si>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</si>
  <si>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</si>
  <si>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</si>
  <si>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</si>
  <si>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</si>
  <si>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</si>
  <si>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</si>
  <si>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</si>
  <si>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</si>
  <si>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</si>
  <si>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</si>
  <si>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</si>
  <si>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</si>
  <si>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</si>
  <si>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</si>
  <si>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</si>
  <si>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</si>
  <si>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</si>
  <si>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</si>
  <si>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</si>
  <si>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</si>
  <si>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</si>
  <si>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</si>
  <si>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</si>
  <si>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</si>
  <si>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</si>
  <si>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</si>
  <si>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</si>
  <si>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</si>
  <si>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</si>
  <si>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</si>
  <si>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</si>
  <si>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</si>
  <si>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</si>
  <si>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</si>
  <si>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</si>
  <si>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</si>
  <si>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</si>
  <si>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</si>
  <si>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</si>
  <si>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</si>
  <si>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</si>
  <si>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</si>
  <si>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</si>
  <si>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</si>
  <si>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</si>
  <si>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</si>
  <si>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</si>
  <si>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</si>
  <si>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</si>
  <si>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</si>
  <si>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</si>
  <si>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</si>
  <si>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</si>
  <si>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</si>
  <si>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</si>
  <si>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</si>
  <si>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</si>
  <si>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</si>
  <si>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</si>
  <si>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</si>
  <si>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</si>
  <si>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</si>
  <si>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</si>
  <si>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</si>
  <si>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</si>
  <si>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</si>
  <si>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</si>
  <si>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</si>
  <si>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</si>
  <si>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</si>
  <si>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</si>
  <si>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</si>
  <si>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</si>
  <si>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</si>
  <si>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</si>
  <si>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</si>
  <si>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</si>
  <si>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</si>
  <si>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</si>
  <si>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</si>
  <si>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</si>
  <si>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</si>
  <si>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</si>
  <si>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</si>
  <si>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</si>
  <si>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</si>
  <si>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</si>
  <si>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</si>
  <si>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</si>
  <si>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</si>
  <si>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</si>
  <si>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</si>
  <si>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</si>
  <si>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</si>
  <si>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</si>
  <si>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</si>
  <si>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</si>
  <si>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</si>
  <si>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</si>
  <si>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</si>
  <si>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</si>
  <si>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</si>
  <si>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</si>
  <si>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</si>
  <si>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</si>
  <si>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</si>
  <si>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</si>
  <si>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</si>
  <si>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</si>
  <si>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</si>
  <si>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</si>
  <si>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</si>
  <si>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</si>
  <si>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</si>
  <si>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</si>
  <si>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</si>
  <si>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</si>
  <si>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</si>
  <si>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</si>
  <si>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</si>
  <si>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</si>
  <si>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</si>
  <si>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</si>
  <si>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</si>
  <si>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</si>
  <si>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</si>
  <si>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</si>
  <si>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</si>
  <si>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</si>
  <si>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</si>
  <si>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</si>
  <si>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</si>
  <si>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</si>
  <si>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</si>
  <si>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</si>
  <si>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</si>
  <si>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</si>
  <si>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</si>
  <si>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</si>
  <si>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</si>
  <si>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</si>
  <si>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</si>
  <si>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</si>
  <si>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</si>
  <si>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</si>
  <si>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</si>
  <si>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</si>
  <si>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</si>
  <si>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</si>
  <si>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</si>
  <si>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</si>
  <si>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</si>
  <si>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</si>
  <si>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</si>
  <si>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</si>
  <si>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</si>
  <si>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</si>
  <si>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</si>
  <si>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</si>
  <si>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</si>
  <si>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</si>
  <si>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</si>
  <si>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</si>
  <si>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</si>
  <si>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</si>
  <si>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</si>
  <si>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</si>
  <si>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</si>
  <si>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</si>
  <si>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</si>
  <si>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</si>
  <si>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</si>
  <si>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</si>
  <si>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</si>
  <si>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</si>
  <si>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</si>
  <si>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</si>
  <si>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</si>
  <si>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</si>
  <si>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</si>
  <si>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</si>
  <si>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</si>
  <si>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</si>
  <si>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</si>
  <si>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</si>
  <si>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</si>
  <si>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</si>
  <si>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</si>
  <si>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</si>
  <si>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</si>
  <si>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</si>
  <si>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</si>
  <si>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</si>
  <si>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</si>
  <si>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</si>
  <si>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</si>
  <si>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</si>
  <si>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</si>
  <si>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</si>
  <si>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</si>
  <si>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</si>
  <si>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</si>
  <si>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</si>
  <si>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</si>
  <si>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</si>
  <si>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</si>
  <si>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</si>
  <si>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</si>
  <si>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</si>
  <si>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</si>
  <si>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</si>
  <si>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</si>
  <si>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</si>
  <si>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</si>
  <si>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</si>
  <si>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</si>
  <si>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</si>
  <si>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</si>
  <si>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</si>
  <si>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</si>
  <si>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</si>
  <si>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</si>
  <si>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</si>
  <si>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</si>
  <si>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</si>
  <si>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</si>
  <si>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</si>
  <si>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</si>
  <si>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</si>
  <si>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</si>
  <si>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</si>
  <si>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</si>
  <si>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</si>
  <si>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</si>
  <si>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</si>
  <si>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</si>
  <si>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</si>
  <si>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</si>
  <si>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</si>
  <si>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</si>
  <si>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</si>
  <si>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</si>
  <si>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</si>
  <si>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</si>
  <si>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</si>
  <si>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</si>
  <si>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</si>
  <si>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</si>
  <si>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</si>
  <si>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</si>
  <si>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</si>
  <si>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</si>
  <si>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</si>
  <si>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</si>
  <si>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</si>
  <si>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</si>
  <si>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</si>
  <si>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</si>
  <si>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</si>
  <si>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</si>
  <si>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</si>
  <si>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</si>
  <si>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</si>
  <si>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</si>
  <si>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</si>
  <si>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</si>
  <si>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</si>
  <si>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</si>
  <si>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</si>
  <si>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</si>
  <si>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</si>
  <si>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</si>
  <si>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</si>
  <si>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</si>
  <si>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</si>
  <si>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</si>
  <si>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</si>
  <si>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</si>
  <si>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</si>
  <si>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</si>
  <si>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</si>
  <si>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</si>
  <si>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</si>
  <si>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</si>
  <si>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</si>
  <si>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</si>
  <si>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</si>
  <si>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</si>
  <si>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</si>
  <si>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</si>
  <si>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</si>
  <si>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</si>
  <si>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</si>
  <si>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</si>
  <si>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</si>
  <si>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</si>
  <si>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</si>
  <si>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</si>
  <si>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</si>
  <si>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</si>
  <si>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</si>
  <si>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</si>
  <si>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</si>
  <si>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</si>
  <si>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</si>
  <si>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</si>
  <si>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</si>
  <si>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</si>
  <si>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</si>
  <si>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</si>
  <si>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</si>
  <si>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</si>
  <si>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</si>
  <si>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</si>
  <si>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</si>
  <si>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</si>
  <si>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</si>
  <si>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</si>
  <si>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</si>
  <si>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</si>
  <si>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</si>
  <si>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</si>
  <si>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</si>
  <si>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</si>
  <si>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</si>
  <si>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</si>
  <si>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</si>
  <si>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</si>
  <si>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</si>
  <si>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</si>
  <si>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</si>
  <si>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</si>
  <si>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</si>
  <si>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</si>
  <si>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</si>
  <si>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</si>
  <si>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</si>
  <si>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</si>
  <si>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</si>
  <si>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</si>
  <si>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</si>
  <si>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</si>
  <si>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</si>
  <si>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</si>
  <si>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</si>
  <si>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</si>
  <si>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</si>
  <si>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</si>
  <si>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</si>
  <si>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</si>
  <si>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</si>
  <si>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</si>
  <si>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</si>
  <si>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</si>
  <si>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</si>
  <si>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</si>
  <si>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</si>
  <si>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</si>
  <si>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</si>
  <si>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</si>
  <si>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</si>
  <si>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</si>
  <si>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</si>
  <si>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</si>
  <si>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</si>
  <si>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</si>
  <si>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</si>
  <si>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</si>
  <si>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</si>
  <si>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</si>
  <si>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</si>
  <si>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</si>
  <si>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</si>
  <si>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</si>
  <si>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</si>
  <si>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</si>
  <si>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</si>
  <si>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</si>
  <si>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</si>
  <si>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</si>
  <si>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</si>
  <si>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</si>
  <si>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</si>
  <si>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</si>
  <si>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</si>
  <si>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</si>
  <si>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</si>
  <si>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</si>
  <si>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</si>
  <si>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</si>
  <si>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</si>
  <si>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</si>
  <si>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</si>
  <si>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</si>
  <si>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</si>
  <si>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</si>
  <si>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</si>
  <si>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</si>
  <si>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</si>
  <si>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</si>
  <si>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</si>
  <si>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</si>
  <si>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</si>
  <si>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</si>
  <si>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</si>
  <si>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</si>
  <si>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</si>
  <si>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</si>
  <si>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</si>
  <si>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</si>
  <si>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</si>
  <si>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</si>
  <si>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</si>
  <si>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</si>
  <si>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</si>
  <si>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</si>
  <si>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</si>
  <si>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</si>
  <si>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</si>
  <si>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</si>
  <si>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</si>
  <si>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</si>
  <si>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</si>
  <si>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</si>
  <si>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</si>
  <si>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</si>
  <si>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</si>
  <si>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</si>
  <si>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</si>
  <si>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</si>
  <si>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</si>
  <si>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</si>
  <si>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</si>
  <si>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</si>
  <si>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</si>
  <si>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</si>
  <si>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</si>
  <si>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</si>
  <si>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</si>
  <si>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</si>
  <si>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</si>
  <si>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</si>
  <si>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</si>
  <si>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</si>
  <si>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</si>
  <si>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</si>
  <si>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</si>
  <si>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</si>
  <si>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</si>
  <si>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</si>
  <si>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</si>
  <si>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</si>
  <si>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</si>
  <si>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</si>
  <si>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</si>
  <si>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</si>
  <si>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</si>
  <si>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</si>
  <si>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</si>
  <si>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</si>
  <si>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</si>
  <si>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</si>
  <si>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</si>
  <si>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</si>
  <si>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</si>
  <si>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</si>
  <si>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</si>
  <si>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</si>
  <si>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</si>
  <si>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</si>
  <si>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</si>
  <si>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</si>
  <si>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</si>
  <si>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</si>
  <si>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</si>
  <si>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</si>
  <si>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</si>
  <si>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</si>
  <si>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</si>
  <si>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</si>
  <si>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</si>
  <si>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</si>
  <si>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</si>
  <si>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</si>
  <si>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</si>
  <si>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</si>
  <si>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</si>
  <si>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</si>
  <si>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</si>
  <si>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</si>
  <si>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</si>
  <si>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</si>
  <si>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</si>
  <si>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</si>
  <si>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</si>
  <si>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</si>
  <si>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</si>
  <si>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</si>
  <si>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</si>
  <si>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</si>
  <si>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</si>
  <si>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</si>
  <si>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</si>
  <si>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</si>
  <si>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</si>
  <si>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</si>
  <si>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</si>
  <si>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</si>
  <si>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</si>
  <si>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</si>
  <si>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</si>
  <si>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</si>
  <si>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</si>
  <si>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</si>
  <si>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</si>
  <si>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</si>
  <si>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</si>
  <si>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</si>
  <si>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</si>
  <si>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</si>
  <si>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</si>
  <si>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</si>
  <si>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</si>
  <si>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</si>
  <si>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</si>
  <si>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</si>
  <si>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</si>
  <si>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</si>
  <si>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</si>
  <si>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</si>
  <si>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</si>
  <si>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</si>
  <si>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</si>
  <si>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</si>
  <si>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</si>
  <si>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</si>
  <si>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</si>
  <si>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</si>
  <si>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</si>
  <si>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</si>
  <si>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</si>
  <si>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</si>
  <si>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</si>
  <si>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</si>
  <si>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</si>
  <si>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</si>
  <si>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</si>
  <si>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</si>
  <si>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</si>
  <si>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</si>
  <si>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</si>
  <si>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</si>
  <si>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</si>
  <si>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</si>
  <si>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</si>
  <si>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</si>
  <si>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</si>
  <si>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</si>
  <si>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</si>
  <si>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</si>
  <si>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</si>
  <si>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</si>
  <si>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</si>
  <si>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</si>
  <si>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</si>
  <si>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</si>
  <si>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</si>
  <si>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</si>
  <si>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</si>
  <si>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</si>
  <si>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</si>
  <si>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</si>
  <si>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</si>
  <si>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</si>
  <si>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</si>
  <si>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</si>
  <si>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</si>
  <si>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</si>
  <si>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</si>
  <si>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</si>
  <si>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</si>
  <si>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</si>
  <si>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</si>
  <si>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</si>
  <si>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</si>
  <si>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</si>
  <si>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</si>
  <si>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</si>
  <si>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</si>
  <si>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</si>
  <si>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</si>
  <si>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</si>
  <si>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</si>
  <si>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</si>
  <si>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</si>
  <si>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</si>
  <si>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</si>
  <si>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</si>
  <si>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</si>
  <si>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</si>
  <si>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</si>
  <si>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</si>
  <si>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</si>
  <si>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</si>
  <si>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</si>
  <si>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</si>
  <si>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</si>
  <si>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</si>
  <si>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</si>
  <si>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</si>
  <si>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</si>
  <si>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</si>
  <si>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</si>
  <si>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</si>
  <si>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</si>
  <si>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</si>
  <si>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</si>
  <si>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</si>
  <si>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</si>
  <si>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</si>
  <si>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</si>
  <si>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</si>
  <si>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</si>
  <si>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</si>
  <si>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</si>
  <si>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</si>
  <si>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</si>
  <si>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</si>
  <si>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</si>
  <si>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</si>
  <si>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</si>
  <si>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</si>
  <si>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</si>
  <si>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</si>
  <si>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</si>
  <si>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</si>
  <si>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</si>
  <si>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</si>
  <si>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</si>
  <si>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</si>
  <si>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</si>
  <si>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</si>
  <si>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</si>
  <si>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</si>
  <si>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</si>
  <si>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</si>
  <si>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</si>
  <si>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</si>
  <si>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</si>
  <si>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</si>
  <si>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</si>
  <si>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</si>
  <si>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</si>
  <si>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</si>
  <si>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</si>
  <si>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</si>
  <si>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</si>
  <si>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</si>
  <si>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</si>
  <si>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</si>
  <si>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</si>
  <si>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</si>
  <si>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</si>
  <si>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</si>
  <si>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</si>
  <si>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</si>
  <si>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</si>
  <si>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</si>
  <si>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</si>
  <si>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</si>
  <si>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</si>
  <si>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</si>
  <si>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</si>
  <si>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</si>
  <si>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</si>
  <si>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</si>
  <si>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</si>
  <si>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</si>
  <si>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</si>
  <si>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</si>
  <si>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</si>
  <si>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</si>
  <si>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</si>
  <si>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</si>
  <si>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</si>
  <si>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</si>
  <si>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</si>
  <si>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</si>
  <si>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</si>
  <si>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</si>
  <si>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</si>
  <si>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</si>
  <si>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</si>
  <si>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</si>
  <si>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</si>
  <si>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</si>
  <si>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</si>
  <si>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</si>
  <si>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</si>
  <si>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</si>
  <si>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</si>
  <si>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</si>
  <si>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</si>
  <si>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</si>
  <si>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</si>
  <si>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</si>
  <si>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</si>
  <si>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</si>
  <si>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</si>
  <si>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</si>
  <si>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</si>
  <si>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</si>
  <si>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</si>
  <si>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</si>
  <si>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</si>
  <si>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</si>
  <si>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</si>
  <si>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</si>
  <si>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</si>
  <si>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</si>
  <si>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</si>
  <si>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</si>
  <si>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</si>
  <si>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</si>
  <si>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</si>
  <si>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</si>
  <si>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</si>
  <si>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</si>
  <si>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</si>
  <si>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</si>
  <si>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</si>
  <si>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</si>
  <si>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</si>
  <si>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</si>
  <si>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</si>
  <si>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</si>
  <si>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</si>
  <si>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</si>
  <si>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</si>
  <si>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</si>
  <si>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</si>
  <si>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</si>
  <si>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</si>
  <si>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</si>
  <si>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</si>
  <si>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</si>
  <si>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</si>
  <si>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</si>
  <si>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</si>
  <si>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</si>
  <si>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</si>
  <si>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</si>
  <si>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</si>
  <si>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</si>
  <si>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</si>
  <si>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</si>
  <si>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</si>
  <si>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</si>
  <si>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</si>
  <si>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</si>
  <si>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</si>
  <si>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</si>
  <si>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</si>
  <si>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</si>
  <si>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</si>
  <si>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</si>
  <si>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</si>
  <si>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</si>
  <si>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</si>
  <si>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</si>
  <si>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</si>
  <si>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</si>
  <si>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</si>
  <si>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</si>
  <si>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</si>
  <si>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</si>
  <si>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</si>
  <si>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</si>
  <si>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</si>
  <si>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</si>
  <si>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</si>
  <si>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</si>
  <si>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</si>
  <si>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</si>
  <si>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</si>
  <si>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</si>
  <si>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</si>
  <si>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</si>
  <si>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</si>
  <si>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</si>
  <si>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</si>
  <si>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</si>
  <si>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</si>
  <si>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</si>
  <si>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</si>
  <si>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</si>
  <si>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</si>
  <si>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</si>
  <si>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</si>
  <si>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</si>
  <si>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</si>
  <si>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</si>
  <si>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</si>
  <si>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</si>
  <si>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</si>
  <si>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</si>
  <si>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</si>
  <si>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</si>
  <si>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</si>
  <si>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</si>
  <si>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</si>
  <si>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</si>
  <si>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</si>
  <si>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</si>
  <si>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</si>
  <si>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</si>
  <si>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</si>
  <si>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</si>
  <si>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</si>
  <si>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</si>
  <si>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</si>
  <si>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</si>
  <si>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</si>
  <si>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</si>
  <si>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</si>
  <si>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</si>
  <si>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</si>
  <si>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</si>
  <si>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</si>
  <si>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</si>
  <si>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</si>
  <si>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</si>
  <si>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</si>
  <si>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</si>
  <si>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</si>
  <si>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</si>
  <si>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</si>
  <si>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</si>
  <si>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</si>
  <si>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</si>
  <si>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</si>
  <si>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</si>
  <si>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</si>
  <si>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</si>
  <si>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</si>
  <si>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</si>
  <si>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</si>
  <si>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</si>
  <si>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</si>
  <si>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</si>
  <si>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</si>
  <si>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</si>
  <si>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</si>
  <si>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</si>
  <si>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</si>
  <si>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</si>
  <si>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</si>
  <si>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</si>
  <si>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</si>
  <si>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</si>
  <si>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</si>
  <si>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</si>
  <si>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</si>
  <si>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</si>
  <si>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</si>
  <si>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</si>
  <si>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</si>
  <si>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</si>
  <si>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</si>
  <si>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</si>
  <si>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</si>
  <si>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</si>
  <si>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</si>
  <si>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</si>
  <si>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</si>
  <si>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</si>
  <si>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</si>
  <si>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</si>
  <si>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</si>
  <si>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</si>
  <si>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</si>
  <si>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</si>
  <si>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</si>
  <si>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</si>
  <si>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</si>
  <si>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</si>
  <si>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</si>
  <si>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</si>
  <si>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</si>
  <si>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</si>
  <si>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</si>
  <si>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</si>
  <si>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</si>
  <si>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</si>
  <si>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</si>
  <si>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</si>
  <si>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</si>
  <si>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</si>
  <si>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</si>
  <si>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</si>
  <si>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</si>
  <si>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</si>
  <si>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</si>
  <si>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</si>
  <si>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</si>
  <si>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</si>
  <si>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</si>
  <si>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</si>
  <si>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</si>
  <si>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</si>
  <si>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</si>
  <si>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</si>
  <si>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</si>
  <si>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</si>
  <si>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</si>
  <si>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</si>
  <si>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</si>
  <si>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</si>
  <si>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</si>
  <si>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</si>
  <si>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</si>
  <si>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</si>
  <si>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</si>
  <si>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</si>
  <si>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</si>
  <si>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</si>
  <si>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</si>
  <si>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</si>
  <si>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</si>
  <si>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</si>
  <si>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</si>
  <si>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</si>
  <si>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</si>
  <si>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</si>
  <si>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</si>
  <si>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</si>
  <si>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</si>
  <si>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</si>
  <si>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</si>
  <si>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</si>
  <si>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</si>
  <si>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</si>
  <si>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</si>
  <si>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</si>
  <si>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</si>
  <si>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</si>
  <si>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</si>
  <si>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</si>
  <si>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</si>
  <si>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</si>
  <si>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</si>
  <si>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</si>
  <si>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</si>
  <si>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</si>
  <si>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</si>
  <si>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</si>
  <si>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</si>
  <si>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</si>
  <si>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</si>
  <si>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</si>
  <si>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</si>
  <si>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</si>
  <si>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</si>
  <si>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</si>
  <si>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</si>
  <si>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</si>
  <si>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</si>
  <si>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</si>
  <si>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</si>
  <si>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</si>
  <si>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</si>
  <si>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</si>
  <si>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</si>
  <si>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</si>
  <si>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</si>
  <si>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</si>
  <si>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</si>
  <si>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</si>
  <si>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</si>
  <si>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</si>
  <si>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</si>
  <si>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</si>
  <si>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</si>
  <si>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</si>
  <si>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</si>
  <si>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</si>
  <si>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</si>
  <si>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</si>
  <si>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</si>
  <si>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</si>
  <si>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</si>
  <si>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</si>
  <si>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</si>
  <si>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</si>
  <si>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</si>
  <si>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</si>
  <si>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</si>
  <si>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</si>
  <si>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</si>
  <si>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</si>
  <si>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</si>
  <si>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</si>
  <si>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</si>
  <si>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</si>
  <si>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</si>
  <si>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</si>
  <si>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</si>
  <si>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</si>
  <si>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</si>
  <si>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</si>
  <si>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</si>
  <si>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</si>
  <si>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</si>
  <si>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</si>
  <si>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</si>
  <si>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</si>
  <si>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</si>
  <si>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</si>
  <si>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</si>
  <si>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</si>
  <si>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</si>
  <si>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</si>
  <si>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</si>
  <si>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</si>
  <si>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</si>
  <si>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</si>
  <si>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</si>
  <si>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</si>
  <si>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</si>
  <si>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</si>
  <si>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</si>
  <si>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</si>
  <si>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</si>
  <si>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</si>
  <si>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</si>
  <si>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</si>
  <si>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</si>
  <si>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</si>
  <si>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</si>
  <si>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</si>
  <si>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</si>
  <si>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</si>
  <si>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</si>
  <si>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</si>
  <si>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</si>
  <si>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</si>
  <si>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</si>
  <si>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</si>
  <si>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</si>
  <si>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</si>
  <si>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</si>
  <si>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</si>
  <si>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</si>
  <si>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</si>
  <si>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</si>
  <si>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</si>
  <si>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</si>
  <si>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</si>
  <si>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</si>
  <si>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</si>
  <si>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</si>
  <si>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</si>
  <si>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</si>
  <si>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</si>
  <si>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</si>
  <si>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</si>
  <si>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</si>
  <si>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</si>
  <si>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</si>
  <si>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</si>
  <si>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</si>
  <si>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</si>
  <si>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</si>
  <si>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</si>
  <si>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</si>
  <si>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</si>
  <si>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</si>
  <si>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</si>
  <si>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</si>
  <si>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</si>
  <si>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</si>
  <si>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</si>
  <si>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</si>
  <si>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</si>
  <si>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</si>
  <si>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</si>
  <si>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</si>
  <si>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</si>
  <si>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</si>
  <si>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</si>
  <si>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</si>
  <si>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</si>
  <si>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</si>
  <si>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</si>
  <si>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</si>
  <si>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</si>
  <si>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</si>
  <si>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</si>
  <si>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</si>
  <si>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</si>
  <si>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</si>
  <si>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</si>
  <si>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</si>
  <si>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</si>
  <si>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</si>
  <si>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</si>
  <si>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</si>
  <si>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</si>
  <si>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</si>
  <si>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</si>
  <si>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</si>
  <si>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</si>
  <si>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</si>
  <si>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</si>
  <si>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</si>
  <si>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</si>
  <si>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</si>
  <si>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</si>
  <si>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</si>
  <si>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</si>
  <si>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</si>
  <si>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</si>
  <si>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</si>
  <si>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</si>
  <si>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</si>
  <si>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</si>
  <si>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</si>
  <si>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</si>
  <si>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</si>
  <si>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</si>
  <si>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</si>
  <si>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</si>
  <si>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</si>
  <si>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</si>
  <si>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</si>
  <si>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</si>
  <si>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</si>
  <si>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</si>
  <si>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</si>
  <si>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</si>
  <si>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</si>
  <si>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</si>
  <si>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</si>
  <si>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</si>
  <si>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</si>
  <si>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</si>
  <si>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</si>
  <si>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</si>
  <si>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</si>
  <si>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</si>
  <si>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</si>
  <si>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</si>
  <si>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</si>
  <si>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</si>
  <si>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</si>
  <si>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</si>
  <si>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</si>
  <si>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</si>
  <si>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</si>
  <si>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</si>
  <si>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</si>
  <si>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</si>
  <si>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</si>
  <si>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</si>
  <si>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</si>
  <si>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</si>
  <si>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</si>
  <si>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</si>
  <si>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</si>
  <si>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</si>
  <si>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</si>
  <si>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</si>
  <si>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</si>
  <si>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</si>
  <si>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</si>
  <si>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</si>
  <si>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</si>
  <si>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</si>
  <si>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</si>
  <si>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</si>
  <si>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</si>
  <si>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</si>
  <si>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</si>
  <si>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</si>
  <si>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</si>
  <si>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</si>
  <si>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</si>
  <si>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</si>
  <si>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</si>
  <si>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</si>
  <si>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</si>
  <si>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</si>
  <si>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</si>
  <si>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</si>
  <si>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</si>
  <si>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</si>
  <si>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</si>
  <si>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</si>
  <si>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</si>
  <si>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</si>
  <si>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</si>
  <si>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</si>
  <si>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</si>
  <si>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</si>
  <si>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</si>
  <si>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</si>
  <si>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</si>
  <si>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</si>
  <si>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</si>
  <si>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</si>
  <si>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</si>
  <si>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</si>
  <si>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</si>
  <si>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</si>
  <si>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</si>
  <si>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</si>
  <si>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</si>
  <si>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</si>
  <si>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</si>
  <si>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</si>
  <si>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</si>
  <si>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</si>
  <si>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</si>
  <si>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</si>
  <si>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</si>
  <si>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</si>
  <si>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</si>
  <si>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</si>
  <si>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</si>
  <si>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</si>
  <si>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</si>
  <si>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</si>
  <si>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</si>
  <si>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</si>
  <si>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</si>
  <si>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</si>
  <si>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</si>
  <si>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</si>
  <si>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</si>
  <si>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</si>
  <si>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</si>
  <si>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</si>
  <si>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</si>
  <si>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</si>
  <si>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</si>
  <si>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</si>
  <si>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</si>
  <si>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</si>
  <si>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</si>
  <si>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</si>
  <si>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</si>
  <si>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</si>
  <si>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</si>
  <si>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</si>
  <si>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</si>
  <si>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</si>
  <si>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</si>
  <si>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</si>
  <si>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</si>
  <si>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</si>
  <si>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</si>
  <si>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</si>
  <si>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</si>
  <si>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</si>
  <si>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</si>
  <si>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</si>
  <si>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</si>
  <si>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</si>
  <si>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</si>
  <si>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</si>
  <si>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</si>
  <si>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</si>
  <si>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</si>
  <si>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</si>
  <si>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</si>
  <si>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</si>
  <si>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</si>
  <si>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</si>
  <si>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</si>
  <si>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</si>
  <si>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</si>
  <si>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</si>
  <si>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</si>
  <si>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</si>
  <si>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</si>
  <si>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</si>
  <si>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</si>
  <si>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</si>
  <si>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</si>
  <si>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</si>
  <si>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</si>
  <si>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</si>
  <si>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</si>
  <si>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</si>
  <si>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</si>
  <si>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</si>
  <si>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</si>
  <si>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</si>
  <si>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</si>
  <si>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</si>
  <si>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</si>
  <si>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</si>
  <si>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</si>
  <si>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</si>
  <si>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</si>
  <si>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</si>
  <si>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</si>
  <si>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</si>
  <si>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</si>
  <si>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</si>
  <si>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</si>
  <si>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</si>
  <si>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</si>
  <si>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</si>
  <si>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</si>
  <si>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</si>
  <si>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</si>
  <si>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</si>
  <si>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</si>
  <si>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</si>
  <si>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</si>
  <si>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</si>
  <si>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</si>
  <si>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</si>
  <si>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</si>
  <si>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</si>
  <si>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</si>
  <si>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</si>
  <si>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</si>
  <si>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</si>
  <si>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</si>
  <si>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</si>
  <si>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</si>
  <si>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</si>
  <si>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</si>
  <si>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Rise Urban Partners, LLC</t>
  </si>
  <si>
    <t>San Diego Housing Commission</t>
  </si>
  <si>
    <t>Colin Miller</t>
  </si>
  <si>
    <t>1122 Broadway</t>
  </si>
  <si>
    <t>(619) 578-7429</t>
  </si>
  <si>
    <t>colinm@sdhc.org</t>
  </si>
  <si>
    <t>3774 &amp; 3780 Fifth Avenue</t>
  </si>
  <si>
    <t>452-056-13-00
452-056-14-00</t>
  </si>
  <si>
    <t>3525 Del Mar Heights Rd #211</t>
  </si>
  <si>
    <t>CA</t>
  </si>
  <si>
    <t>Robert Morgan</t>
  </si>
  <si>
    <t>619-540-2859</t>
  </si>
  <si>
    <t>rob@trestlebuild.com</t>
  </si>
  <si>
    <t xml:space="preserve">Interfaith Development Corporation </t>
  </si>
  <si>
    <t>7956 Lester Avenue</t>
  </si>
  <si>
    <t>Managing GP</t>
  </si>
  <si>
    <t xml:space="preserve">Lemon Grove </t>
  </si>
  <si>
    <t xml:space="preserve">Matthew Jumper </t>
  </si>
  <si>
    <t>(619) 668-1532</t>
  </si>
  <si>
    <t>mjumper@sdihf.org</t>
  </si>
  <si>
    <t>San Diego, CA 92130</t>
  </si>
  <si>
    <t>DFH Architects</t>
  </si>
  <si>
    <t>1544 Twentieth Street</t>
  </si>
  <si>
    <t>Santa Monica, CA 90404</t>
  </si>
  <si>
    <t>James Fischer</t>
  </si>
  <si>
    <t xml:space="preserve">310.394.4045 </t>
  </si>
  <si>
    <t xml:space="preserve">fischer@dfhaia.com </t>
  </si>
  <si>
    <t>Nkechi C. Odu</t>
  </si>
  <si>
    <t>31805 Temecula Parkway #720</t>
  </si>
  <si>
    <t>Temecula, CA 92592</t>
  </si>
  <si>
    <t>Nkechi Odu</t>
  </si>
  <si>
    <t>951-215-6212</t>
  </si>
  <si>
    <t>nkechi@odulaw.com</t>
  </si>
  <si>
    <t>ECON Construction</t>
  </si>
  <si>
    <t>13230 Evening Creek Drive #213</t>
  </si>
  <si>
    <t>San Diego, CA 92128</t>
  </si>
  <si>
    <t>Geoff McMillen</t>
  </si>
  <si>
    <t>619-520-0148</t>
  </si>
  <si>
    <t>gmcmillen@econgc.com</t>
  </si>
  <si>
    <t>Novogradac</t>
  </si>
  <si>
    <t>1160 Battery Street, East Bldg 225</t>
  </si>
  <si>
    <t>San Francisco, CA 94111</t>
  </si>
  <si>
    <t>Thomas Stagg</t>
  </si>
  <si>
    <t>425-519-1234</t>
  </si>
  <si>
    <t>thomas.stagg@novoco.com</t>
  </si>
  <si>
    <t>VCA Green</t>
  </si>
  <si>
    <t>1845 W Orangewood Ave, Suite 220</t>
  </si>
  <si>
    <t>Orange, CA 92868</t>
  </si>
  <si>
    <t>Robyn Vettraino</t>
  </si>
  <si>
    <t>714-363-4700</t>
  </si>
  <si>
    <t>rvettraino@vca-green.com</t>
  </si>
  <si>
    <t>Red Stone Equity Partners</t>
  </si>
  <si>
    <t>5800 Armada Dr., Suite 235</t>
  </si>
  <si>
    <t>Carlsbad, CA 92008</t>
  </si>
  <si>
    <t>Matt Grosz</t>
  </si>
  <si>
    <t>619-535-3903</t>
  </si>
  <si>
    <t>Kidder Mathews</t>
  </si>
  <si>
    <t>12230 El Camino Real, 4th Fl</t>
  </si>
  <si>
    <t>Babak Sammak</t>
  </si>
  <si>
    <t>858-509-1200</t>
  </si>
  <si>
    <t>babak.sammak@kidder.com</t>
  </si>
  <si>
    <t>Novogradac Consulting LLP</t>
  </si>
  <si>
    <t>6060 North Central Expressway, 5th Floor</t>
  </si>
  <si>
    <t>Dallas, TX 75206</t>
  </si>
  <si>
    <t>Rebecca Arthur</t>
  </si>
  <si>
    <t>913-312-4615</t>
  </si>
  <si>
    <t>Rebecca.Arthur@novoco.com</t>
  </si>
  <si>
    <t>Matt.Grosz@RedstoneEquity.com</t>
  </si>
  <si>
    <t>Interfaith Housing Assistance Corporation</t>
  </si>
  <si>
    <t xml:space="preserve">Lemon Grove, CA 91945 </t>
  </si>
  <si>
    <t>Paul Koch</t>
  </si>
  <si>
    <t xml:space="preserve">619-668-1532 Ext. 311   </t>
  </si>
  <si>
    <t>pkoch@sdihf.org</t>
  </si>
  <si>
    <t>California Municipal Finance Authority</t>
  </si>
  <si>
    <t>2111 Palomar Airport Rd, Suite 320</t>
  </si>
  <si>
    <t>Carlsbad, CA 92011</t>
  </si>
  <si>
    <t>Jarod K. Suzuki</t>
  </si>
  <si>
    <t>(760) 940-8922</t>
  </si>
  <si>
    <t>jsuzuki@cmfa-ca.com</t>
  </si>
  <si>
    <t>Kalonymus Development Partners, LLC</t>
  </si>
  <si>
    <t>Max Zeff</t>
  </si>
  <si>
    <t>Manager</t>
  </si>
  <si>
    <t>13323 Washing Blvd., #204</t>
  </si>
  <si>
    <t>Los Angeles, CA 90066</t>
  </si>
  <si>
    <t xml:space="preserve">Approximately 3,000 sf located on the ground floor of the building. </t>
  </si>
  <si>
    <t>Communications Units</t>
  </si>
  <si>
    <t>Commercial Community</t>
  </si>
  <si>
    <t>None</t>
  </si>
  <si>
    <t>Other Admin</t>
  </si>
  <si>
    <t>Benefits/ Payroll Tax</t>
  </si>
  <si>
    <t>Issuer Fee</t>
  </si>
  <si>
    <t>5th Ave &amp; Robinson</t>
  </si>
  <si>
    <t>Citi Community Capital</t>
  </si>
  <si>
    <t>Accrued Interest on Soft Debt</t>
  </si>
  <si>
    <t>RedStone Equity Partners</t>
  </si>
  <si>
    <t>Accrued Interest on Subordinate Debt</t>
  </si>
  <si>
    <t>Deffered Developer Fee</t>
  </si>
  <si>
    <t>325 E Hillcrest Dr., Suite 160</t>
  </si>
  <si>
    <t>Thousand Oaks, CA 91360</t>
  </si>
  <si>
    <t>Mike Hemmens</t>
  </si>
  <si>
    <t>805-557-0933</t>
  </si>
  <si>
    <t>Private Placement</t>
  </si>
  <si>
    <t>San Diego CA 92130</t>
  </si>
  <si>
    <t>5800 Armada Dr Suit 235</t>
  </si>
  <si>
    <t>Tax Credit Equity</t>
  </si>
  <si>
    <t>Lemon Grove, CA 91945</t>
  </si>
  <si>
    <t>7956 Lester Ave</t>
  </si>
  <si>
    <t>Matt Jumper</t>
  </si>
  <si>
    <t>Lender 3rd Party Reports</t>
  </si>
  <si>
    <t>CLHFA Perm Closing costs</t>
  </si>
  <si>
    <t>Borrower Legal</t>
  </si>
  <si>
    <t>Rate CAP Fee</t>
  </si>
  <si>
    <t>Feasibility Studies</t>
  </si>
  <si>
    <t xml:space="preserve">Broker Fees </t>
  </si>
  <si>
    <t>Recycled Bonds</t>
  </si>
  <si>
    <t>Soft Loan</t>
  </si>
  <si>
    <t>Soft Debt</t>
  </si>
  <si>
    <t>San Diego Interfaith Housing (Subord. Loan)</t>
  </si>
  <si>
    <t>Late fees/ Forfeited Security Deposits</t>
  </si>
  <si>
    <t>Inner City Infill Site</t>
  </si>
  <si>
    <t>Site Development Permit</t>
  </si>
  <si>
    <t>40%/60% Average Income</t>
  </si>
  <si>
    <t>Land Contribution</t>
  </si>
  <si>
    <t>CC-3-10/Affordable Housing Density Bonus</t>
  </si>
  <si>
    <t xml:space="preserve">0 per Transit Priority Area </t>
  </si>
  <si>
    <t xml:space="preserve">Robert Morgan </t>
  </si>
  <si>
    <t xml:space="preserve">Authorized Representative </t>
  </si>
  <si>
    <t xml:space="preserve">September </t>
  </si>
  <si>
    <t xml:space="preserve">San Diego </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</si>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</sst>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0" fillId="5" borderId="6" xfId="0" applyFill="1" applyBorder="1" applyAlignment="1" applyProtection="1">
      <alignment horizontal="left"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25400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97155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
    <v>2</v>
    <v>5</v>
    <v>5</v>
  </rv>
</rvData>
</file>

<file path=xl/richData/rdrichvaluestructure.xml><?xml version="1.0" encoding="utf-8"?>
<rvStructures xmlns="http://schemas.microsoft.com/office/spreadsheetml/2017/richdata" count="1">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2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5" customHeight="1">
      <c r="A40" s="4"/>
      <c r="B40"/>
      <c r="C40" s="2"/>
      <c r="D40" s="4"/>
      <c r="E40" s="4" t="s">
        <v>654</v>
      </c>
      <c r="F40" s="1260" t="s">
        <v>1165</v>
      </c>
    </row>
    <row r="41" spans="1:38" s="1260" customFormat="1" ht="13.2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8" workbookViewId="0">
      <selection activeCell="D75" sqref="D75"/>
    </sheetView>
  </sheetViews>
  <sheetFormatPr baseColWidth="10" defaultColWidth="9.33203125" defaultRowHeight="14"/>
  <cols>
    <col min="1" max="1" width="2.5" style="1044" customWidth="1"/>
    <col min="2" max="9" width="14.6640625" style="1044" customWidth="1"/>
    <col min="10" max="10" width="2.33203125" style="1044" customWidth="1"/>
    <col min="11" max="11" width="11.6640625" style="1045" customWidth="1"/>
    <col min="12" max="12" width="10.6640625" style="1044" customWidth="1"/>
    <col min="13" max="13" width="10.5" style="1044" customWidth="1"/>
    <col min="14" max="14" width="10.6640625" style="1044" customWidth="1"/>
    <col min="15" max="18" width="9.33203125" style="1044"/>
    <col min="19" max="19" width="9.5" style="1044" bestFit="1" customWidth="1"/>
    <col min="20" max="16384" width="9.3320312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 customHeight="1">
      <c r="A3" s="1100"/>
      <c r="B3" s="1101"/>
      <c r="C3" s="1102"/>
      <c r="D3" s="1107"/>
      <c r="E3" s="1102"/>
      <c r="F3" s="1103" t="s">
        <v>1990</v>
      </c>
      <c r="G3" s="1102"/>
      <c r="H3" s="1104">
        <f>E18</f>
        <v>21882252</v>
      </c>
      <c r="I3" s="1105"/>
    </row>
    <row r="4" spans="1:13" s="1051" customFormat="1" ht="20" customHeight="1">
      <c r="B4" s="1094"/>
      <c r="D4" s="1108"/>
      <c r="F4" s="1092" t="s">
        <v>1992</v>
      </c>
      <c r="G4" s="1091" t="s">
        <v>1991</v>
      </c>
      <c r="H4" s="1093">
        <f>I18</f>
        <v>11823023.529411765</v>
      </c>
      <c r="I4" s="1095"/>
      <c r="K4" s="1055"/>
    </row>
    <row r="5" spans="1:13" s="1051" customFormat="1" ht="20" customHeight="1" thickBot="1">
      <c r="B5" s="1096"/>
      <c r="C5" s="1097"/>
      <c r="D5" s="1109"/>
      <c r="E5" s="1098"/>
      <c r="F5" s="1109" t="s">
        <v>1942</v>
      </c>
      <c r="G5" s="1110"/>
      <c r="H5" s="1106">
        <f>IFERROR(H3/H4,0)</f>
        <v>1.8508169205249578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4465000</v>
      </c>
      <c r="G9" s="2660" t="s">
        <v>1972</v>
      </c>
      <c r="H9" s="2660"/>
      <c r="I9" s="1060">
        <f>SUMIF(Application!M554:M565,"Loan, Tax-Exempt",Application!AM554:AM565)</f>
        <v>12456000</v>
      </c>
      <c r="K9" s="1061"/>
      <c r="M9" s="1062"/>
    </row>
    <row r="10" spans="1:13" ht="15" customHeight="1" thickBot="1">
      <c r="A10" s="1046"/>
      <c r="B10" s="2668" t="s">
        <v>1975</v>
      </c>
      <c r="C10" s="2668"/>
      <c r="D10" s="2668"/>
      <c r="E10" s="1060">
        <f>G47</f>
        <v>10718351.999999998</v>
      </c>
      <c r="G10" s="2674" t="s">
        <v>1943</v>
      </c>
      <c r="H10" s="2674"/>
      <c r="I10" s="1140">
        <f>'Basis &amp; Credits'!AB78</f>
        <v>0</v>
      </c>
      <c r="M10" s="1062"/>
    </row>
    <row r="11" spans="1:13" ht="15" customHeight="1">
      <c r="A11" s="1046"/>
      <c r="B11" s="2661" t="s">
        <v>2263</v>
      </c>
      <c r="C11" s="2662"/>
      <c r="D11" s="2663"/>
      <c r="E11" s="1060">
        <f>SUM(E12,E13)</f>
        <v>180000</v>
      </c>
      <c r="G11" s="2659" t="s">
        <v>1983</v>
      </c>
      <c r="H11" s="2659"/>
      <c r="I11" s="1139">
        <f>I9+I10</f>
        <v>12456000</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180000</v>
      </c>
      <c r="G13" s="2647" t="s">
        <v>2006</v>
      </c>
      <c r="H13" s="2648"/>
      <c r="I13" s="2649"/>
      <c r="M13" s="1062"/>
    </row>
    <row r="14" spans="1:13" ht="15" customHeight="1">
      <c r="A14" s="1049"/>
      <c r="B14" s="2661" t="s">
        <v>2264</v>
      </c>
      <c r="C14" s="2662"/>
      <c r="D14" s="2663"/>
      <c r="E14" s="1167">
        <f>MAX(E15,E16)+E17</f>
        <v>6518900</v>
      </c>
      <c r="G14" s="2660" t="s">
        <v>139</v>
      </c>
      <c r="H14" s="2660"/>
      <c r="I14" s="1064">
        <f>15%*(AND(G120="Yes",G122&lt;&gt;""))</f>
        <v>0</v>
      </c>
      <c r="M14" s="1062"/>
    </row>
    <row r="15" spans="1:13" ht="15" customHeight="1">
      <c r="A15" s="1049"/>
      <c r="B15" s="2644" t="s">
        <v>2270</v>
      </c>
      <c r="C15" s="2645"/>
      <c r="D15" s="2646"/>
      <c r="E15" s="1165">
        <f>G80</f>
        <v>0</v>
      </c>
      <c r="G15" s="1137" t="s">
        <v>1984</v>
      </c>
      <c r="H15" s="1137"/>
      <c r="I15" s="1064">
        <f>IF(Application!AJ1032&gt;0,10%,IF(Application!AJ1036&gt;0,5%,0))</f>
        <v>0.05</v>
      </c>
      <c r="M15" s="1062"/>
    </row>
    <row r="16" spans="1:13" ht="15" customHeight="1">
      <c r="A16" s="1049"/>
      <c r="B16" s="2644" t="s">
        <v>2269</v>
      </c>
      <c r="C16" s="2645"/>
      <c r="D16" s="2646"/>
      <c r="E16" s="1165">
        <f>G90</f>
        <v>0</v>
      </c>
      <c r="G16" s="2660" t="s">
        <v>1985</v>
      </c>
      <c r="H16" s="2660"/>
      <c r="I16" s="1064">
        <f>G132</f>
        <v>8.1699346405228761E-4</v>
      </c>
    </row>
    <row r="17" spans="1:21" ht="15" customHeight="1" thickBot="1">
      <c r="A17" s="1049"/>
      <c r="B17" s="2644" t="s">
        <v>2268</v>
      </c>
      <c r="C17" s="2645"/>
      <c r="D17" s="2646"/>
      <c r="E17" s="1165">
        <f>G115</f>
        <v>6518900</v>
      </c>
      <c r="G17" s="2660" t="s">
        <v>2278</v>
      </c>
      <c r="H17" s="2660"/>
      <c r="I17" s="1064">
        <f>IF(AND(G139="Yes",OR(G136,G137)),IF(G143&gt;15%,15%,G143),0)</f>
        <v>0</v>
      </c>
    </row>
    <row r="18" spans="1:21" ht="15" customHeight="1">
      <c r="A18" s="1046"/>
      <c r="B18" s="2673" t="s">
        <v>1939</v>
      </c>
      <c r="C18" s="2673"/>
      <c r="D18" s="2673"/>
      <c r="E18" s="1111">
        <f>SUM(E9:E11,E14)</f>
        <v>21882252</v>
      </c>
      <c r="G18" s="1138" t="s">
        <v>1973</v>
      </c>
      <c r="H18" s="1138"/>
      <c r="I18" s="1112">
        <f>I11-((I11*I14)+(I11*I15)+(I11*I16)+(I11*I17))</f>
        <v>11823023.529411765</v>
      </c>
      <c r="M18" s="1065">
        <f>SUM(Cdlac[Quantity])</f>
        <v>77</v>
      </c>
      <c r="O18" s="1084" t="s">
        <v>583</v>
      </c>
      <c r="P18" s="1044">
        <f>MATCH(Application!T189,Application!CB160:CB217,0)</f>
        <v>37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1447</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698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2609</v>
      </c>
      <c r="G22" s="2651" t="s">
        <v>1986</v>
      </c>
      <c r="H22" s="1070"/>
      <c r="I22" s="1069"/>
      <c r="L22" s="1044">
        <f>IFERROR(MIN(4,MATCH(Application!B720,UnitSizes,0)-1),"")</f>
        <v>0</v>
      </c>
      <c r="M22" s="1065">
        <f>Application!G720</f>
        <v>6</v>
      </c>
      <c r="N22" s="1071">
        <f>Application!AC720</f>
        <v>0.8</v>
      </c>
      <c r="O22" s="1071">
        <f>IF(Cdlac[[#This Row],[Quantity]]&gt;0,IF(Cdlac[[#This Row],[Federal]],30%,IF(AND(OR(NOT($G$38),$G$38=""),$G$43),40%,Cdlac[[#This Row],[iAMI]])),"")</f>
        <v>0.8</v>
      </c>
      <c r="P22" s="1065" cm="1">
        <f t="array" ref="P22">IF(Cdlac[[#This Row],[Quantity]]&gt;0,INDEX(TcacRents,$P$18,Cdlac[[#This Row],[Bedrooms]]+1)*Cdlac[[#This Row],[AMI]],"")</f>
        <v>2315.2000000000003</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3</v>
      </c>
      <c r="N23" s="1071">
        <f>Application!AC721</f>
        <v>0.3</v>
      </c>
      <c r="O23" s="1071">
        <f>IF(Cdlac[[#This Row],[Quantity]]&gt;0,IF(Cdlac[[#This Row],[Federal]],30%,IF(AND(OR(NOT($G$38),$G$38=""),$G$43),40%,Cdlac[[#This Row],[iAMI]])),"")</f>
        <v>0.3</v>
      </c>
      <c r="P23" s="1065" cm="1">
        <f t="array" ref="P23">IF(Cdlac[[#This Row],[Quantity]]&gt;0,INDEX(TcacRents,$P$18,Cdlac[[#This Row],[Bedrooms]]+1)*Cdlac[[#This Row],[AMI]],"")</f>
        <v>930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1398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12</v>
      </c>
      <c r="F24" s="1072">
        <f>E24</f>
        <v>12</v>
      </c>
      <c r="G24" s="1072">
        <f>D24*F24</f>
        <v>10.8</v>
      </c>
      <c r="L24" s="1044">
        <f>IFERROR(MIN(4,MATCH(Application!B722,UnitSizes,0)-1),"")</f>
        <v>1</v>
      </c>
      <c r="M24" s="1065">
        <f>Application!G722</f>
        <v>12</v>
      </c>
      <c r="N24" s="1071">
        <f>Application!AC722</f>
        <v>0.5</v>
      </c>
      <c r="O24" s="1071">
        <f>IF(Cdlac[[#This Row],[Quantity]]&gt;0,IF(Cdlac[[#This Row],[Federal]],30%,IF(AND(OR(NOT($G$38),$G$38=""),$G$43),40%,Cdlac[[#This Row],[iAMI]])),"")</f>
        <v>0.5</v>
      </c>
      <c r="P24" s="1065" cm="1">
        <f t="array" ref="P24">IF(Cdlac[[#This Row],[Quantity]]&gt;0,INDEX(TcacRents,$P$18,Cdlac[[#This Row],[Bedrooms]]+1)*Cdlac[[#This Row],[AMI]],"")</f>
        <v>1550</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778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29</v>
      </c>
      <c r="F25" s="1072">
        <f>E25</f>
        <v>29</v>
      </c>
      <c r="G25" s="1072">
        <f>D25*F25</f>
        <v>29</v>
      </c>
      <c r="L25" s="1044">
        <f>IFERROR(MIN(4,MATCH(Application!B723,UnitSizes,0)-1),"")</f>
        <v>1</v>
      </c>
      <c r="M25" s="1065">
        <f>Application!G723</f>
        <v>2</v>
      </c>
      <c r="N25" s="1071">
        <f>Application!AC723</f>
        <v>0.6</v>
      </c>
      <c r="O25" s="1071">
        <f>IF(Cdlac[[#This Row],[Quantity]]&gt;0,IF(Cdlac[[#This Row],[Federal]],30%,IF(AND(OR(NOT($G$38),$G$38=""),$G$43),40%,Cdlac[[#This Row],[iAMI]])),"")</f>
        <v>0.6</v>
      </c>
      <c r="P25" s="1065" cm="1">
        <f t="array" ref="P25">IF(Cdlac[[#This Row],[Quantity]]&gt;0,INDEX(TcacRents,$P$18,Cdlac[[#This Row],[Bedrooms]]+1)*Cdlac[[#This Row],[AMI]],"")</f>
        <v>1860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468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18</v>
      </c>
      <c r="F26" s="1075">
        <f>SUM(E26:E28)-SUM(F27:F28)</f>
        <v>18</v>
      </c>
      <c r="G26" s="1072">
        <f>D26*F26</f>
        <v>22.5</v>
      </c>
      <c r="H26" s="1074"/>
      <c r="I26" s="1074"/>
      <c r="L26" s="1044">
        <f>IFERROR(MIN(4,MATCH(Application!B724,UnitSizes,0)-1),"")</f>
        <v>1</v>
      </c>
      <c r="M26" s="1065">
        <f>Application!G724</f>
        <v>12</v>
      </c>
      <c r="N26" s="1071">
        <f>Application!AC724</f>
        <v>0.8</v>
      </c>
      <c r="O26" s="1071">
        <f>IF(Cdlac[[#This Row],[Quantity]]&gt;0,IF(Cdlac[[#This Row],[Federal]],30%,IF(AND(OR(NOT($G$38),$G$38=""),$G$43),40%,Cdlac[[#This Row],[iAMI]])),"")</f>
        <v>0.8</v>
      </c>
      <c r="P26" s="1065" cm="1">
        <f t="array" ref="P26">IF(Cdlac[[#This Row],[Quantity]]&gt;0,INDEX(TcacRents,$P$18,Cdlac[[#This Row],[Bedrooms]]+1)*Cdlac[[#This Row],[AMI]],"")</f>
        <v>2480</v>
      </c>
      <c r="Q26" s="1164"/>
      <c r="R26" s="1065" cm="1">
        <f t="array" ref="R26">IF(Cdlac[[#This Row],[Quantity]]&gt;0,INDEX(HudFmrs,$P$18,Cdlac[[#This Row],[Bedrooms]]+1),"")</f>
        <v>2328</v>
      </c>
      <c r="S26" s="1065">
        <f>IF(Cdlac[[#This Row],[Quantity]]&gt;0,MAX(0,Cdlac[[#This Row],[Fair Market Rent]]-IF(AND($G$37,$G$38,$G$38&lt;&gt;"",NOT(Cdlac[[#This Row],[Federal]]),Cdlac[[#This Row],[Preservation Rent]]&lt;&gt;""),Cdlac[[#This Row],[Preservation Rent]],Cdlac[[#This Row],[Restricted Rent]])),"")</f>
        <v>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18</v>
      </c>
      <c r="F27" s="1075">
        <f>MIN(E27,ROUNDDOWN(E29*30%,0))</f>
        <v>18</v>
      </c>
      <c r="G27" s="1072">
        <f>D27*F27</f>
        <v>27</v>
      </c>
      <c r="H27" s="1074"/>
      <c r="I27" s="1074"/>
      <c r="L27" s="1044">
        <f>IFERROR(MIN(4,MATCH(Application!B725,UnitSizes,0)-1),"")</f>
        <v>2</v>
      </c>
      <c r="M27" s="1065">
        <f>Application!G725</f>
        <v>2</v>
      </c>
      <c r="N27" s="1071">
        <f>Application!AC725</f>
        <v>0.3</v>
      </c>
      <c r="O27" s="1071">
        <f>IF(Cdlac[[#This Row],[Quantity]]&gt;0,IF(Cdlac[[#This Row],[Federal]],30%,IF(AND(OR(NOT($G$38),$G$38=""),$G$43),40%,Cdlac[[#This Row],[iAMI]])),"")</f>
        <v>0.3</v>
      </c>
      <c r="P27" s="1065" cm="1">
        <f t="array" ref="P27">IF(Cdlac[[#This Row],[Quantity]]&gt;0,INDEX(TcacRents,$P$18,Cdlac[[#This Row],[Bedrooms]]+1)*Cdlac[[#This Row],[AMI]],"")</f>
        <v>1116.5999999999999</v>
      </c>
      <c r="Q27" s="1164"/>
      <c r="R27" s="1065" cm="1">
        <f t="array" ref="R27">IF(Cdlac[[#This Row],[Quantity]]&gt;0,INDEX(HudFmrs,$P$18,Cdlac[[#This Row],[Bedrooms]]+1),"")</f>
        <v>2881</v>
      </c>
      <c r="S27" s="1065">
        <f>IF(Cdlac[[#This Row],[Quantity]]&gt;0,MAX(0,Cdlac[[#This Row],[Fair Market Rent]]-IF(AND($G$37,$G$38,$G$38&lt;&gt;"",NOT(Cdlac[[#This Row],[Federal]]),Cdlac[[#This Row],[Preservation Rent]]&lt;&gt;""),Cdlac[[#This Row],[Preservation Rent]],Cdlac[[#This Row],[Restricted Rent]])),"")</f>
        <v>1764.4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16</v>
      </c>
      <c r="N28" s="1071">
        <f>Application!AC726</f>
        <v>0.5</v>
      </c>
      <c r="O28" s="1071">
        <f>IF(Cdlac[[#This Row],[Quantity]]&gt;0,IF(Cdlac[[#This Row],[Federal]],30%,IF(AND(OR(NOT($G$38),$G$38=""),$G$43),40%,Cdlac[[#This Row],[iAMI]])),"")</f>
        <v>0.5</v>
      </c>
      <c r="P28" s="1065" cm="1">
        <f t="array" ref="P28">IF(Cdlac[[#This Row],[Quantity]]&gt;0,INDEX(TcacRents,$P$18,Cdlac[[#This Row],[Bedrooms]]+1)*Cdlac[[#This Row],[AMI]],"")</f>
        <v>1861</v>
      </c>
      <c r="Q28" s="1164"/>
      <c r="R28" s="1065" cm="1">
        <f t="array" ref="R28">IF(Cdlac[[#This Row],[Quantity]]&gt;0,INDEX(HudFmrs,$P$18,Cdlac[[#This Row],[Bedrooms]]+1),"")</f>
        <v>2881</v>
      </c>
      <c r="S28" s="1065">
        <f>IF(Cdlac[[#This Row],[Quantity]]&gt;0,MAX(0,Cdlac[[#This Row],[Fair Market Rent]]-IF(AND($G$37,$G$38,$G$38&lt;&gt;"",NOT(Cdlac[[#This Row],[Federal]]),Cdlac[[#This Row],[Preservation Rent]]&lt;&gt;""),Cdlac[[#This Row],[Preservation Rent]],Cdlac[[#This Row],[Restricted Rent]])),"")</f>
        <v>1020</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77</v>
      </c>
      <c r="F29" s="1089">
        <f>SUM(F24:F28)</f>
        <v>77</v>
      </c>
      <c r="G29" s="1090">
        <f>SUMPRODUCT(D24:D28,F24:F28)</f>
        <v>89.3</v>
      </c>
      <c r="H29" s="1074"/>
      <c r="I29" s="1074"/>
      <c r="L29" s="1044">
        <f>IFERROR(MIN(4,MATCH(Application!B727,UnitSizes,0)-1),"")</f>
        <v>3</v>
      </c>
      <c r="M29" s="1065">
        <f>Application!G727</f>
        <v>2</v>
      </c>
      <c r="N29" s="1071">
        <f>Application!AC727</f>
        <v>0.3</v>
      </c>
      <c r="O29" s="1071">
        <f>IF(Cdlac[[#This Row],[Quantity]]&gt;0,IF(Cdlac[[#This Row],[Federal]],30%,IF(AND(OR(NOT($G$38),$G$38=""),$G$43),40%,Cdlac[[#This Row],[iAMI]])),"")</f>
        <v>0.3</v>
      </c>
      <c r="P29" s="1065" cm="1">
        <f t="array" ref="P29">IF(Cdlac[[#This Row],[Quantity]]&gt;0,INDEX(TcacRents,$P$18,Cdlac[[#This Row],[Bedrooms]]+1)*Cdlac[[#This Row],[AMI]],"")</f>
        <v>1290</v>
      </c>
      <c r="Q29" s="1164"/>
      <c r="R29" s="1065" cm="1">
        <f t="array" ref="R29">IF(Cdlac[[#This Row],[Quantity]]&gt;0,INDEX(HudFmrs,$P$18,Cdlac[[#This Row],[Bedrooms]]+1),"")</f>
        <v>3852</v>
      </c>
      <c r="S29" s="1065">
        <f>IF(Cdlac[[#This Row],[Quantity]]&gt;0,MAX(0,Cdlac[[#This Row],[Fair Market Rent]]-IF(AND($G$37,$G$38,$G$38&lt;&gt;"",NOT(Cdlac[[#This Row],[Federal]]),Cdlac[[#This Row],[Preservation Rent]]&lt;&gt;""),Cdlac[[#This Row],[Preservation Rent]],Cdlac[[#This Row],[Restricted Rent]])),"")</f>
        <v>2562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3</v>
      </c>
      <c r="N30" s="1071">
        <f>Application!AC728</f>
        <v>0.5</v>
      </c>
      <c r="O30" s="1071">
        <f>IF(Cdlac[[#This Row],[Quantity]]&gt;0,IF(Cdlac[[#This Row],[Federal]],30%,IF(AND(OR(NOT($G$38),$G$38=""),$G$43),40%,Cdlac[[#This Row],[iAMI]])),"")</f>
        <v>0.5</v>
      </c>
      <c r="P30" s="1065" cm="1">
        <f t="array" ref="P30">IF(Cdlac[[#This Row],[Quantity]]&gt;0,INDEX(TcacRents,$P$18,Cdlac[[#This Row],[Bedrooms]]+1)*Cdlac[[#This Row],[AMI]],"")</f>
        <v>2150</v>
      </c>
      <c r="Q30" s="1164"/>
      <c r="R30" s="1065" cm="1">
        <f t="array" ref="R30">IF(Cdlac[[#This Row],[Quantity]]&gt;0,INDEX(HudFmrs,$P$18,Cdlac[[#This Row],[Bedrooms]]+1),"")</f>
        <v>3852</v>
      </c>
      <c r="S30" s="1065">
        <f>IF(Cdlac[[#This Row],[Quantity]]&gt;0,MAX(0,Cdlac[[#This Row],[Fair Market Rent]]-IF(AND($G$37,$G$38,$G$38&lt;&gt;"",NOT(Cdlac[[#This Row],[Federal]]),Cdlac[[#This Row],[Preservation Rent]]&lt;&gt;""),Cdlac[[#This Row],[Preservation Rent]],Cdlac[[#This Row],[Restricted Rent]])),"")</f>
        <v>1702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89.3</v>
      </c>
      <c r="H31" s="1074"/>
      <c r="I31" s="1074"/>
      <c r="L31" s="1044">
        <f>IFERROR(MIN(4,MATCH(Application!B729,UnitSizes,0)-1),"")</f>
        <v>3</v>
      </c>
      <c r="M31" s="1065">
        <f>Application!G729</f>
        <v>5</v>
      </c>
      <c r="N31" s="1071">
        <f>Application!AC729</f>
        <v>0.6</v>
      </c>
      <c r="O31" s="1071">
        <f>IF(Cdlac[[#This Row],[Quantity]]&gt;0,IF(Cdlac[[#This Row],[Federal]],30%,IF(AND(OR(NOT($G$38),$G$38=""),$G$43),40%,Cdlac[[#This Row],[iAMI]])),"")</f>
        <v>0.6</v>
      </c>
      <c r="P31" s="1065" cm="1">
        <f t="array" ref="P31">IF(Cdlac[[#This Row],[Quantity]]&gt;0,INDEX(TcacRents,$P$18,Cdlac[[#This Row],[Bedrooms]]+1)*Cdlac[[#This Row],[AMI]],"")</f>
        <v>2580</v>
      </c>
      <c r="Q31" s="1164"/>
      <c r="R31" s="1065" cm="1">
        <f t="array" ref="R31">IF(Cdlac[[#This Row],[Quantity]]&gt;0,INDEX(HudFmrs,$P$18,Cdlac[[#This Row],[Bedrooms]]+1),"")</f>
        <v>3852</v>
      </c>
      <c r="S31" s="1065">
        <f>IF(Cdlac[[#This Row],[Quantity]]&gt;0,MAX(0,Cdlac[[#This Row],[Fair Market Rent]]-IF(AND($G$37,$G$38,$G$38&lt;&gt;"",NOT(Cdlac[[#This Row],[Federal]]),Cdlac[[#This Row],[Preservation Rent]]&lt;&gt;""),Cdlac[[#This Row],[Preservation Rent]],Cdlac[[#This Row],[Restricted Rent]])),"")</f>
        <v>1272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8</v>
      </c>
      <c r="N32" s="1071">
        <f>Application!AC730</f>
        <v>0.8</v>
      </c>
      <c r="O32" s="1071">
        <f>IF(Cdlac[[#This Row],[Quantity]]&gt;0,IF(Cdlac[[#This Row],[Federal]],30%,IF(AND(OR(NOT($G$38),$G$38=""),$G$43),40%,Cdlac[[#This Row],[iAMI]])),"")</f>
        <v>0.8</v>
      </c>
      <c r="P32" s="1065" cm="1">
        <f t="array" ref="P32">IF(Cdlac[[#This Row],[Quantity]]&gt;0,INDEX(TcacRents,$P$18,Cdlac[[#This Row],[Bedrooms]]+1)*Cdlac[[#This Row],[AMI]],"")</f>
        <v>3440</v>
      </c>
      <c r="Q32" s="1164"/>
      <c r="R32" s="1065" cm="1">
        <f t="array" ref="R32">IF(Cdlac[[#This Row],[Quantity]]&gt;0,INDEX(HudFmrs,$P$18,Cdlac[[#This Row],[Bedrooms]]+1),"")</f>
        <v>3852</v>
      </c>
      <c r="S32" s="1065">
        <f>IF(Cdlac[[#This Row],[Quantity]]&gt;0,MAX(0,Cdlac[[#This Row],[Fair Market Rent]]-IF(AND($G$37,$G$38,$G$38&lt;&gt;"",NOT(Cdlac[[#This Row],[Federal]]),Cdlac[[#This Row],[Preservation Rent]]&lt;&gt;""),Cdlac[[#This Row],[Preservation Rent]],Cdlac[[#This Row],[Restricted Rent]])),"")</f>
        <v>412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4465000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0.5870129870129871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59546.399999999994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10718351.999999998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9</v>
      </c>
    </row>
    <row r="61" spans="2:21" ht="15" customHeight="1">
      <c r="E61" s="1117" t="s">
        <v>1995</v>
      </c>
      <c r="G61" s="1079">
        <f>ROUNDDOWN(E29*50%,0)</f>
        <v>38</v>
      </c>
    </row>
    <row r="62" spans="2:21" ht="15" customHeight="1">
      <c r="E62" s="1117"/>
      <c r="G62" s="1079"/>
    </row>
    <row r="63" spans="2:21" ht="15" customHeight="1">
      <c r="E63" s="1117" t="s">
        <v>1955</v>
      </c>
      <c r="G63" s="1114">
        <f>MIN(G60:G61)</f>
        <v>9</v>
      </c>
    </row>
    <row r="64" spans="2:21" ht="15" customHeight="1">
      <c r="E64" s="1117" t="s">
        <v>1945</v>
      </c>
      <c r="F64" s="1113" t="s">
        <v>1993</v>
      </c>
      <c r="G64" s="1124">
        <v>20000</v>
      </c>
    </row>
    <row r="65" spans="2:14" ht="15" customHeight="1">
      <c r="E65" s="1118" t="s">
        <v>1977</v>
      </c>
      <c r="F65" s="1046"/>
      <c r="G65" s="1123">
        <f>G63*G64</f>
        <v>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High Resource</v>
      </c>
      <c r="L72" s="2664" t="s">
        <v>1970</v>
      </c>
      <c r="M72" s="2665"/>
      <c r="N72" s="1131">
        <v>30000</v>
      </c>
    </row>
    <row r="73" spans="2:14" ht="15" customHeight="1">
      <c r="C73" s="2666" t="s">
        <v>2262</v>
      </c>
      <c r="D73" s="2666"/>
      <c r="E73" s="2666"/>
      <c r="F73" s="2666"/>
      <c r="G73" s="1043"/>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89.3</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89.3</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89.3</v>
      </c>
    </row>
    <row r="97" spans="2:14" ht="15" customHeight="1">
      <c r="E97" s="1118" t="s">
        <v>1962</v>
      </c>
      <c r="F97" s="1046"/>
      <c r="G97" s="1123">
        <f>G94*G95*G96</f>
        <v>2500400</v>
      </c>
      <c r="L97" s="1127" t="str">
        <f>'Points System'!H638</f>
        <v>(i)</v>
      </c>
      <c r="M97" s="2683" t="s">
        <v>1406</v>
      </c>
      <c r="N97" s="2684"/>
    </row>
    <row r="98" spans="2:14" ht="15" customHeight="1">
      <c r="C98" s="1077"/>
      <c r="G98" s="1114"/>
      <c r="L98" s="1128" t="str">
        <f>'Points System'!H650</f>
        <v>(i)</v>
      </c>
      <c r="M98" s="2679" t="s">
        <v>1957</v>
      </c>
      <c r="N98" s="2680"/>
    </row>
    <row r="99" spans="2:14" ht="15" customHeight="1">
      <c r="E99" s="1084" t="s">
        <v>1998</v>
      </c>
      <c r="G99" s="1126">
        <f>COUNTIFS(L97:L104,"(i)")</f>
        <v>5</v>
      </c>
      <c r="L99" s="1128" t="str">
        <f>'Points System'!H685</f>
        <v>(i)</v>
      </c>
      <c r="M99" s="2679" t="s">
        <v>1958</v>
      </c>
      <c r="N99" s="2680"/>
    </row>
    <row r="100" spans="2:14" ht="15" customHeight="1">
      <c r="E100" s="1084" t="s">
        <v>1945</v>
      </c>
      <c r="F100" s="1113" t="s">
        <v>1993</v>
      </c>
      <c r="G100" s="1124">
        <v>4000</v>
      </c>
      <c r="L100" s="1128" t="str">
        <f>IF(OR('Points System'!H709="(ii)",'Points System'!H709="(i)"),"(i)","N/A")</f>
        <v>N/A</v>
      </c>
      <c r="M100" s="2679" t="s">
        <v>1959</v>
      </c>
      <c r="N100" s="2680"/>
    </row>
    <row r="101" spans="2:14" ht="15" customHeight="1">
      <c r="E101" s="1118" t="s">
        <v>1963</v>
      </c>
      <c r="F101" s="1046"/>
      <c r="G101" s="1123">
        <f>G96*G99*G100</f>
        <v>1786000</v>
      </c>
      <c r="L101" s="1129" t="str">
        <f>'Points System'!H723</f>
        <v>N/A</v>
      </c>
      <c r="M101" s="2679" t="s">
        <v>1432</v>
      </c>
      <c r="N101" s="2680"/>
    </row>
    <row r="102" spans="2:14" ht="15" customHeight="1">
      <c r="L102" s="1128" t="str">
        <f>'Points System'!H735</f>
        <v>N/A</v>
      </c>
      <c r="M102" s="2679" t="s">
        <v>1960</v>
      </c>
      <c r="N102" s="2680"/>
    </row>
    <row r="103" spans="2:14" ht="15" customHeight="1">
      <c r="C103" s="1080" t="s">
        <v>1965</v>
      </c>
      <c r="L103" s="1128" t="str">
        <f>'Points System'!H751</f>
        <v>(i)</v>
      </c>
      <c r="M103" s="2679" t="s">
        <v>1961</v>
      </c>
      <c r="N103" s="2680"/>
    </row>
    <row r="104" spans="2:14" ht="15" customHeight="1" thickBot="1">
      <c r="C104" s="1077" t="s">
        <v>1966</v>
      </c>
      <c r="G104" s="1043"/>
      <c r="L104" s="1130" t="str">
        <f>'Points System'!H763</f>
        <v>(i)</v>
      </c>
      <c r="M104" s="2681" t="s">
        <v>1435</v>
      </c>
      <c r="N104" s="2682"/>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89.3</v>
      </c>
    </row>
    <row r="112" spans="2:14" ht="15" customHeight="1">
      <c r="E112" s="1084" t="s">
        <v>1945</v>
      </c>
      <c r="F112" s="1113" t="s">
        <v>1993</v>
      </c>
      <c r="G112" s="1124">
        <v>25000</v>
      </c>
    </row>
    <row r="113" spans="2:9" ht="15" customHeight="1">
      <c r="E113" s="1118" t="s">
        <v>1964</v>
      </c>
      <c r="F113" s="1046"/>
      <c r="G113" s="1123">
        <f>G109*G112*G96</f>
        <v>2232500</v>
      </c>
    </row>
    <row r="114" spans="2:9" ht="15" customHeight="1">
      <c r="C114" s="1077"/>
      <c r="E114" s="1077"/>
    </row>
    <row r="115" spans="2:9" ht="15" customHeight="1">
      <c r="E115" s="1118" t="s">
        <v>2272</v>
      </c>
      <c r="G115" s="1123">
        <f>G113+G101+G97</f>
        <v>6518900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row>
    <row r="121" spans="2:9" ht="15" customHeight="1"/>
    <row r="122" spans="2:9" ht="15" customHeight="1">
      <c r="C122" s="1044" t="s">
        <v>2229</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2001</v>
      </c>
      <c r="G131" s="1078">
        <f>MEDIAN((Application!CU160:CU217))</f>
        <v>489600</v>
      </c>
    </row>
    <row r="132" spans="2:9">
      <c r="D132" s="1046"/>
      <c r="E132" s="1118" t="s">
        <v>2003</v>
      </c>
      <c r="F132" s="1134"/>
      <c r="G132" s="1135">
        <f>((G130-G131)/G131)*0.25</f>
        <v>8.1699346405228761E-4</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1868400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332031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3320312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76">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2</v>
      </c>
      <c r="C4" s="1162"/>
      <c r="D4" s="428">
        <f>Application!O718</f>
        <v>796</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c r="D5" s="428">
        <f>Application!O719</f>
        <v>1375</v>
      </c>
      <c r="E5" s="429"/>
      <c r="F5" s="1083"/>
      <c r="G5" s="428">
        <f t="shared" ref="G5:G38" si="2">F5*B5</f>
        <v>0</v>
      </c>
      <c r="H5" s="429"/>
      <c r="I5" s="428" t="str">
        <f t="shared" si="0"/>
        <v/>
      </c>
      <c r="J5" s="428" t="str">
        <f t="shared" si="1"/>
        <v/>
      </c>
      <c r="K5" s="204"/>
      <c r="L5" s="305"/>
    </row>
    <row r="6" spans="1:12">
      <c r="A6" s="428" t="str">
        <f>Application!B720</f>
        <v>SRO/Studio</v>
      </c>
      <c r="B6" s="1082">
        <f>Application!G720</f>
        <v>6</v>
      </c>
      <c r="C6" s="1162"/>
      <c r="D6" s="428">
        <f>Application!O720</f>
        <v>2243</v>
      </c>
      <c r="E6" s="429"/>
      <c r="F6" s="1083"/>
      <c r="G6" s="428">
        <f t="shared" si="2"/>
        <v>0</v>
      </c>
      <c r="H6" s="429"/>
      <c r="I6" s="428" t="str">
        <f t="shared" si="0"/>
        <v/>
      </c>
      <c r="J6" s="428" t="str">
        <f t="shared" si="1"/>
        <v/>
      </c>
      <c r="K6" s="204"/>
      <c r="L6" s="305"/>
    </row>
    <row r="7" spans="1:12">
      <c r="A7" s="428" t="str">
        <f>Application!B721</f>
        <v>1 Bedroom</v>
      </c>
      <c r="B7" s="1082">
        <f>Application!G721</f>
        <v>3</v>
      </c>
      <c r="C7" s="1162"/>
      <c r="D7" s="428">
        <f>Application!O721</f>
        <v>844</v>
      </c>
      <c r="E7" s="429"/>
      <c r="F7" s="1083"/>
      <c r="G7" s="428">
        <f t="shared" si="2"/>
        <v>0</v>
      </c>
      <c r="H7" s="429"/>
      <c r="I7" s="428" t="str">
        <f t="shared" si="0"/>
        <v/>
      </c>
      <c r="J7" s="428" t="str">
        <f t="shared" si="1"/>
        <v/>
      </c>
      <c r="K7" s="204"/>
      <c r="L7" s="305"/>
    </row>
    <row r="8" spans="1:12">
      <c r="A8" s="428" t="str">
        <f>Application!B722</f>
        <v>1 Bedroom</v>
      </c>
      <c r="B8" s="1082">
        <f>Application!G722</f>
        <v>12</v>
      </c>
      <c r="C8" s="1162"/>
      <c r="D8" s="428">
        <f>Application!O722</f>
        <v>1464</v>
      </c>
      <c r="E8" s="429"/>
      <c r="F8" s="1083"/>
      <c r="G8" s="428">
        <f t="shared" si="2"/>
        <v>0</v>
      </c>
      <c r="H8" s="429"/>
      <c r="I8" s="428" t="str">
        <f t="shared" si="0"/>
        <v/>
      </c>
      <c r="J8" s="428" t="str">
        <f t="shared" si="1"/>
        <v/>
      </c>
      <c r="K8" s="204"/>
      <c r="L8" s="305"/>
    </row>
    <row r="9" spans="1:12">
      <c r="A9" s="428" t="str">
        <f>Application!B723</f>
        <v>1 Bedroom</v>
      </c>
      <c r="B9" s="1082">
        <f>Application!G723</f>
        <v>2</v>
      </c>
      <c r="C9" s="1162"/>
      <c r="D9" s="428">
        <f>Application!O723</f>
        <v>1774</v>
      </c>
      <c r="E9" s="429"/>
      <c r="F9" s="1083"/>
      <c r="G9" s="428">
        <f t="shared" si="2"/>
        <v>0</v>
      </c>
      <c r="H9" s="429"/>
      <c r="I9" s="428" t="str">
        <f t="shared" si="0"/>
        <v/>
      </c>
      <c r="J9" s="428" t="str">
        <f t="shared" si="1"/>
        <v/>
      </c>
      <c r="K9" s="204"/>
      <c r="L9" s="305"/>
    </row>
    <row r="10" spans="1:12">
      <c r="A10" s="428" t="str">
        <f>Application!B724</f>
        <v>1 Bedroom</v>
      </c>
      <c r="B10" s="1082">
        <f>Application!G724</f>
        <v>12</v>
      </c>
      <c r="C10" s="1162"/>
      <c r="D10" s="428">
        <f>Application!O724</f>
        <v>2394</v>
      </c>
      <c r="E10" s="429"/>
      <c r="F10" s="1083"/>
      <c r="G10" s="428">
        <f t="shared" si="2"/>
        <v>0</v>
      </c>
      <c r="H10" s="429"/>
      <c r="I10" s="428" t="str">
        <f t="shared" si="0"/>
        <v/>
      </c>
      <c r="J10" s="428" t="str">
        <f t="shared" si="1"/>
        <v/>
      </c>
      <c r="K10" s="204"/>
      <c r="L10" s="305"/>
    </row>
    <row r="11" spans="1:12">
      <c r="A11" s="428" t="str">
        <f>Application!B725</f>
        <v>2 Bedrooms</v>
      </c>
      <c r="B11" s="1082">
        <f>Application!G725</f>
        <v>2</v>
      </c>
      <c r="C11" s="1162"/>
      <c r="D11" s="428">
        <f>Application!O725</f>
        <v>1003</v>
      </c>
      <c r="E11" s="429"/>
      <c r="F11" s="1083"/>
      <c r="G11" s="428">
        <f t="shared" si="2"/>
        <v>0</v>
      </c>
      <c r="H11" s="429"/>
      <c r="I11" s="428" t="str">
        <f t="shared" si="0"/>
        <v/>
      </c>
      <c r="J11" s="428" t="str">
        <f t="shared" si="1"/>
        <v/>
      </c>
      <c r="K11" s="204"/>
      <c r="L11" s="305"/>
    </row>
    <row r="12" spans="1:12">
      <c r="A12" s="428" t="str">
        <f>Application!B726</f>
        <v>2 Bedrooms</v>
      </c>
      <c r="B12" s="1082">
        <f>Application!G726</f>
        <v>16</v>
      </c>
      <c r="C12" s="1162"/>
      <c r="D12" s="428">
        <f>Application!O726</f>
        <v>1747</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1144</v>
      </c>
      <c r="E13" s="429"/>
      <c r="F13" s="1083"/>
      <c r="G13" s="428">
        <f t="shared" si="2"/>
        <v>0</v>
      </c>
      <c r="H13" s="429"/>
      <c r="I13" s="428" t="str">
        <f t="shared" si="0"/>
        <v/>
      </c>
      <c r="J13" s="428" t="str">
        <f t="shared" si="1"/>
        <v/>
      </c>
      <c r="K13" s="204"/>
      <c r="L13" s="305"/>
    </row>
    <row r="14" spans="1:12">
      <c r="A14" s="428" t="str">
        <f>Application!B728</f>
        <v>3 Bedrooms</v>
      </c>
      <c r="B14" s="1082">
        <f>Application!G728</f>
        <v>3</v>
      </c>
      <c r="C14" s="1162"/>
      <c r="D14" s="428">
        <f>Application!O728</f>
        <v>2004</v>
      </c>
      <c r="E14" s="429"/>
      <c r="F14" s="1083"/>
      <c r="G14" s="428">
        <f t="shared" si="2"/>
        <v>0</v>
      </c>
      <c r="H14" s="429"/>
      <c r="I14" s="428" t="str">
        <f t="shared" si="0"/>
        <v/>
      </c>
      <c r="J14" s="428" t="str">
        <f t="shared" si="1"/>
        <v/>
      </c>
      <c r="K14" s="204"/>
      <c r="L14" s="305"/>
    </row>
    <row r="15" spans="1:12">
      <c r="A15" s="428" t="str">
        <f>Application!B729</f>
        <v>3 Bedrooms</v>
      </c>
      <c r="B15" s="1082">
        <f>Application!G729</f>
        <v>5</v>
      </c>
      <c r="C15" s="1162"/>
      <c r="D15" s="428">
        <f>Application!O729</f>
        <v>2434</v>
      </c>
      <c r="E15" s="429"/>
      <c r="F15" s="1083"/>
      <c r="G15" s="428">
        <f t="shared" si="2"/>
        <v>0</v>
      </c>
      <c r="H15" s="429"/>
      <c r="I15" s="428" t="str">
        <f t="shared" si="0"/>
        <v/>
      </c>
      <c r="J15" s="428" t="str">
        <f t="shared" si="1"/>
        <v/>
      </c>
      <c r="K15" s="204"/>
      <c r="L15" s="305"/>
    </row>
    <row r="16" spans="1:12">
      <c r="A16" s="428" t="str">
        <f>Application!B730</f>
        <v>3 Bedrooms</v>
      </c>
      <c r="B16" s="1082">
        <f>Application!G730</f>
        <v>8</v>
      </c>
      <c r="C16" s="1162"/>
      <c r="D16" s="428">
        <f>Application!O730</f>
        <v>3294</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149706</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9" workbookViewId="0">
      <selection activeCell="E49" sqref="E49"/>
    </sheetView>
  </sheetViews>
  <sheetFormatPr baseColWidth="10" defaultColWidth="0" defaultRowHeight="13" zeroHeight="1"/>
  <cols>
    <col min="1" max="1" width="3.6640625" customWidth="1"/>
    <col min="2" max="2" width="30.5" customWidth="1"/>
    <col min="3" max="3" width="9.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211" t="s">
        <v>2094</v>
      </c>
      <c r="B1" s="211"/>
    </row>
    <row r="2" spans="1:34"/>
    <row r="3" spans="1:34" ht="1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1796472</v>
      </c>
      <c r="G4" s="219">
        <f>E4*$C$4</f>
        <v>1841383.7999999998</v>
      </c>
      <c r="I4" s="219">
        <f>G4*$C$4</f>
        <v>1887418.3949999996</v>
      </c>
      <c r="K4" s="219">
        <f>I4*$C$4</f>
        <v>1934603.8548749993</v>
      </c>
      <c r="M4" s="219">
        <f>K4*$C$4</f>
        <v>1982968.9512468742</v>
      </c>
      <c r="O4" s="219">
        <f>M4*$C$4</f>
        <v>2032543.1750280459</v>
      </c>
      <c r="Q4" s="219">
        <f>O4*$C$4</f>
        <v>2083356.7544037469</v>
      </c>
      <c r="S4" s="219">
        <f>Q4*$C$4</f>
        <v>2135440.6732638404</v>
      </c>
      <c r="U4" s="219">
        <f>S4*$C$4</f>
        <v>2188826.6900954363</v>
      </c>
      <c r="W4" s="219">
        <f>U4*$C$4</f>
        <v>2243547.3573478218</v>
      </c>
      <c r="Y4" s="219">
        <f>W4*$C$4</f>
        <v>2299636.0412815171</v>
      </c>
      <c r="AA4" s="219">
        <f>Y4*$C$4</f>
        <v>2357126.9423135547</v>
      </c>
      <c r="AC4" s="219">
        <f>AA4*$C$4</f>
        <v>2416055.1158713936</v>
      </c>
      <c r="AE4" s="219">
        <f>AC4*$C$4</f>
        <v>2476456.4937681784</v>
      </c>
      <c r="AG4" s="219">
        <f>AE4*$C$4</f>
        <v>2538367.9061123827</v>
      </c>
    </row>
    <row r="5" spans="1:34" s="210" customFormat="1" ht="14">
      <c r="B5" s="210" t="s">
        <v>839</v>
      </c>
      <c r="C5" s="238">
        <f>IF(Application!$D$211="Special Needs",(((0.1*Application!$T$212)+(0.05*(1-Application!$T$212)))),0.05)</f>
        <v>0.05</v>
      </c>
      <c r="E5" s="221">
        <f>-E4*$C$5</f>
        <v>-89823.6</v>
      </c>
      <c r="F5" s="221"/>
      <c r="G5" s="221">
        <f>-G4*$C$5</f>
        <v>-92069.19</v>
      </c>
      <c r="H5" s="221"/>
      <c r="I5" s="221">
        <f>-I4*$C$5</f>
        <v>-94370.919749999986</v>
      </c>
      <c r="J5" s="221"/>
      <c r="K5" s="221">
        <f>-K4*$C$5</f>
        <v>-96730.192743749969</v>
      </c>
      <c r="L5" s="221"/>
      <c r="M5" s="221">
        <f>-M4*$C$5</f>
        <v>-99148.447562343717</v>
      </c>
      <c r="N5" s="221"/>
      <c r="O5" s="221">
        <f>-O4*$C$5</f>
        <v>-101627.1587514023</v>
      </c>
      <c r="P5" s="221"/>
      <c r="Q5" s="221">
        <f>-Q4*$C$5</f>
        <v>-104167.83772018735</v>
      </c>
      <c r="R5" s="221"/>
      <c r="S5" s="221">
        <f>-S4*$C$5</f>
        <v>-106772.03366319202</v>
      </c>
      <c r="T5" s="221"/>
      <c r="U5" s="221">
        <f>-U4*$C$5</f>
        <v>-109441.33450477182</v>
      </c>
      <c r="V5" s="221"/>
      <c r="W5" s="221">
        <f>-W4*$C$5</f>
        <v>-112177.36786739109</v>
      </c>
      <c r="X5" s="221"/>
      <c r="Y5" s="221">
        <f>-Y4*$C$5</f>
        <v>-114981.80206407586</v>
      </c>
      <c r="Z5" s="221"/>
      <c r="AA5" s="221">
        <f>-AA4*$C$5</f>
        <v>-117856.34711567774</v>
      </c>
      <c r="AB5" s="221"/>
      <c r="AC5" s="221">
        <f>-AC4*$C$5</f>
        <v>-120802.75579356968</v>
      </c>
      <c r="AD5" s="221"/>
      <c r="AE5" s="221">
        <f>-AE4*$C$5</f>
        <v>-123822.82468840893</v>
      </c>
      <c r="AF5" s="221"/>
      <c r="AG5" s="221">
        <f>-AG4*$C$5</f>
        <v>-126918.39530561914</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15444</v>
      </c>
      <c r="F8" s="222"/>
      <c r="G8" s="222">
        <f>E8*$C$8</f>
        <v>15830.099999999999</v>
      </c>
      <c r="H8" s="222"/>
      <c r="I8" s="222">
        <f>G8*$C$8</f>
        <v>16225.852499999997</v>
      </c>
      <c r="J8" s="222"/>
      <c r="K8" s="222">
        <f>I8*$C$8</f>
        <v>16631.498812499995</v>
      </c>
      <c r="L8" s="222"/>
      <c r="M8" s="222">
        <f>K8*$C$8</f>
        <v>17047.286282812493</v>
      </c>
      <c r="N8" s="222"/>
      <c r="O8" s="222">
        <f>M8*$C$8</f>
        <v>17473.468439882803</v>
      </c>
      <c r="P8" s="222"/>
      <c r="Q8" s="222">
        <f>O8*$C$8</f>
        <v>17910.305150879871</v>
      </c>
      <c r="R8" s="222"/>
      <c r="S8" s="222">
        <f>Q8*$C$8</f>
        <v>18358.062779651867</v>
      </c>
      <c r="T8" s="222"/>
      <c r="U8" s="222">
        <f>S8*$C$8</f>
        <v>18817.014349143163</v>
      </c>
      <c r="V8" s="222"/>
      <c r="W8" s="222">
        <f>U8*$C$8</f>
        <v>19287.439707871741</v>
      </c>
      <c r="X8" s="222"/>
      <c r="Y8" s="222">
        <f>W8*$C$8</f>
        <v>19769.625700568533</v>
      </c>
      <c r="Z8" s="222"/>
      <c r="AA8" s="222">
        <f>Y8*$C$8</f>
        <v>20263.866343082744</v>
      </c>
      <c r="AB8" s="222"/>
      <c r="AC8" s="222">
        <f>AA8*$C$8</f>
        <v>20770.463001659809</v>
      </c>
      <c r="AD8" s="222"/>
      <c r="AE8" s="222">
        <f>AC8*$C$8</f>
        <v>21289.724576701301</v>
      </c>
      <c r="AF8" s="222"/>
      <c r="AG8" s="222">
        <f>AE8*$C$8</f>
        <v>21821.967691118833</v>
      </c>
    </row>
    <row r="9" spans="1:34" s="210" customFormat="1" ht="14">
      <c r="B9" s="210" t="s">
        <v>839</v>
      </c>
      <c r="C9" s="238">
        <f>IF(Application!$D$211="Special Needs",(((0.1*Application!$T$212)+(0.05*(1-Application!$T$212)))),0.05)</f>
        <v>0.05</v>
      </c>
      <c r="E9" s="221">
        <f>-E8*$C$9</f>
        <v>-772.2</v>
      </c>
      <c r="F9" s="221"/>
      <c r="G9" s="221">
        <f>-G8*$C$9</f>
        <v>-791.505</v>
      </c>
      <c r="H9" s="221"/>
      <c r="I9" s="221">
        <f>-I8*$C$9</f>
        <v>-811.29262499999993</v>
      </c>
      <c r="J9" s="221"/>
      <c r="K9" s="221">
        <f>-K8*$C$9</f>
        <v>-831.57494062499973</v>
      </c>
      <c r="L9" s="221"/>
      <c r="M9" s="221">
        <f>-M8*$C$9</f>
        <v>-852.36431414062463</v>
      </c>
      <c r="N9" s="221"/>
      <c r="O9" s="221">
        <f>-O8*$C$9</f>
        <v>-873.6734219941402</v>
      </c>
      <c r="P9" s="221"/>
      <c r="Q9" s="221">
        <f>-Q8*$C$9</f>
        <v>-895.51525754399358</v>
      </c>
      <c r="R9" s="221"/>
      <c r="S9" s="221">
        <f>-S8*$C$9</f>
        <v>-917.90313898259342</v>
      </c>
      <c r="T9" s="221"/>
      <c r="U9" s="221">
        <f>-U8*$C$9</f>
        <v>-940.85071745715823</v>
      </c>
      <c r="V9" s="221"/>
      <c r="W9" s="221">
        <f>-W8*$C$9</f>
        <v>-964.37198539358712</v>
      </c>
      <c r="X9" s="221"/>
      <c r="Y9" s="221">
        <f>-Y8*$C$9</f>
        <v>-988.48128502842667</v>
      </c>
      <c r="Z9" s="221"/>
      <c r="AA9" s="221">
        <f>-AA8*$C$9</f>
        <v>-1013.1933171541373</v>
      </c>
      <c r="AB9" s="221"/>
      <c r="AC9" s="221">
        <f>-AC8*$C$9</f>
        <v>-1038.5231500829905</v>
      </c>
      <c r="AD9" s="221"/>
      <c r="AE9" s="221">
        <f>-AE8*$C$9</f>
        <v>-1064.486228835065</v>
      </c>
      <c r="AF9" s="221"/>
      <c r="AG9" s="221">
        <f>-AG8*$C$9</f>
        <v>-1091.0983845559417</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1721320.2</v>
      </c>
      <c r="G11" s="223">
        <f>SUM(G4:G10)</f>
        <v>1764353.2050000001</v>
      </c>
      <c r="I11" s="223">
        <f>SUM(I4:I10)</f>
        <v>1808462.0351249997</v>
      </c>
      <c r="K11" s="223">
        <f>SUM(K4:K10)</f>
        <v>1853673.586003124</v>
      </c>
      <c r="M11" s="223">
        <f>SUM(M4:M10)</f>
        <v>1900015.4256532025</v>
      </c>
      <c r="O11" s="223">
        <f>SUM(O4:O10)</f>
        <v>1947515.8112945324</v>
      </c>
      <c r="Q11" s="223">
        <f>SUM(Q4:Q10)</f>
        <v>1996203.7065768954</v>
      </c>
      <c r="S11" s="223">
        <f>SUM(S4:S10)</f>
        <v>2046108.7992413177</v>
      </c>
      <c r="U11" s="223">
        <f>SUM(U4:U10)</f>
        <v>2097261.5192223508</v>
      </c>
      <c r="W11" s="223">
        <f>SUM(W4:W10)</f>
        <v>2149693.0572029087</v>
      </c>
      <c r="Y11" s="223">
        <f>SUM(Y4:Y10)</f>
        <v>2203435.3836329808</v>
      </c>
      <c r="AA11" s="223">
        <f>SUM(AA4:AA10)</f>
        <v>2258521.2682238058</v>
      </c>
      <c r="AC11" s="223">
        <f>SUM(AC4:AC10)</f>
        <v>2314984.2999294004</v>
      </c>
      <c r="AE11" s="223">
        <f>SUM(AE4:AE10)</f>
        <v>2372858.907427636</v>
      </c>
      <c r="AG11" s="223">
        <f>SUM(AG4:AG10)</f>
        <v>2432180.3801133265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45150</v>
      </c>
      <c r="G15" s="219">
        <f>E15*$C$14</f>
        <v>46730.25</v>
      </c>
      <c r="I15" s="219">
        <f>G15*$C$14</f>
        <v>48365.808749999997</v>
      </c>
      <c r="K15" s="219">
        <f>I15*$C$14</f>
        <v>50058.612056249993</v>
      </c>
      <c r="M15" s="219">
        <f>K15*$C$14</f>
        <v>51810.663478218739</v>
      </c>
      <c r="O15" s="219">
        <f>M15*$C$14</f>
        <v>53624.036699956392</v>
      </c>
      <c r="Q15" s="219">
        <f>O15*$C$14</f>
        <v>55500.877984454863</v>
      </c>
      <c r="S15" s="219">
        <f>Q15*$C$14</f>
        <v>57443.40871391078</v>
      </c>
      <c r="U15" s="219">
        <f>S15*$C$14</f>
        <v>59453.928018897655</v>
      </c>
      <c r="W15" s="219">
        <f>U15*$C$14</f>
        <v>61534.815499559067</v>
      </c>
      <c r="Y15" s="219">
        <f>W15*$C$14</f>
        <v>63688.534042043626</v>
      </c>
      <c r="AA15" s="219">
        <f>Y15*$C$14</f>
        <v>65917.632733515144</v>
      </c>
      <c r="AC15" s="219">
        <f>AA15*$C$14</f>
        <v>68224.749879188166</v>
      </c>
      <c r="AE15" s="219">
        <f>AC15*$C$14</f>
        <v>70612.61612495975</v>
      </c>
      <c r="AG15" s="219">
        <f>AE15*$C$14</f>
        <v>73084.057689333335</v>
      </c>
    </row>
    <row r="16" spans="1:34" s="210" customFormat="1" ht="14">
      <c r="A16" s="210" t="s">
        <v>344</v>
      </c>
      <c r="C16" s="233"/>
      <c r="E16" s="222">
        <f>Application!W849</f>
        <v>72093</v>
      </c>
      <c r="F16" s="222"/>
      <c r="G16" s="222">
        <f t="shared" ref="G16:AG21" si="0">E16*$C$14</f>
        <v>74616.25499999999</v>
      </c>
      <c r="H16" s="222"/>
      <c r="I16" s="222">
        <f t="shared" si="0"/>
        <v>77227.82392499999</v>
      </c>
      <c r="J16" s="222"/>
      <c r="K16" s="222">
        <f t="shared" si="0"/>
        <v>79930.79776237499</v>
      </c>
      <c r="L16" s="222"/>
      <c r="M16" s="222">
        <f t="shared" si="0"/>
        <v>82728.375684058105</v>
      </c>
      <c r="N16" s="222"/>
      <c r="O16" s="222">
        <f t="shared" si="0"/>
        <v>85623.868833000131</v>
      </c>
      <c r="P16" s="222"/>
      <c r="Q16" s="222">
        <f t="shared" si="0"/>
        <v>88620.70424215513</v>
      </c>
      <c r="R16" s="222"/>
      <c r="S16" s="222">
        <f t="shared" si="0"/>
        <v>91722.428890630559</v>
      </c>
      <c r="T16" s="222"/>
      <c r="U16" s="222">
        <f t="shared" si="0"/>
        <v>94932.713901802621</v>
      </c>
      <c r="V16" s="222"/>
      <c r="W16" s="222">
        <f t="shared" si="0"/>
        <v>98255.358888365707</v>
      </c>
      <c r="X16" s="222"/>
      <c r="Y16" s="222">
        <f t="shared" si="0"/>
        <v>101694.2964494585</v>
      </c>
      <c r="Z16" s="222"/>
      <c r="AA16" s="222">
        <f t="shared" si="0"/>
        <v>105253.59682518954</v>
      </c>
      <c r="AB16" s="222"/>
      <c r="AC16" s="222">
        <f t="shared" si="0"/>
        <v>108937.47271407116</v>
      </c>
      <c r="AD16" s="222"/>
      <c r="AE16" s="222">
        <f t="shared" si="0"/>
        <v>112750.28425906364</v>
      </c>
      <c r="AF16" s="222"/>
      <c r="AG16" s="222">
        <f t="shared" si="0"/>
        <v>116696.54420813086</v>
      </c>
    </row>
    <row r="17" spans="1:33" s="210" customFormat="1" ht="14">
      <c r="A17" s="210" t="s">
        <v>562</v>
      </c>
      <c r="C17" s="233"/>
      <c r="E17" s="222">
        <f>Application!W855</f>
        <v>76440</v>
      </c>
      <c r="F17" s="222"/>
      <c r="G17" s="222">
        <f t="shared" si="0"/>
        <v>79115.399999999994</v>
      </c>
      <c r="H17" s="222"/>
      <c r="I17" s="222">
        <f t="shared" si="0"/>
        <v>81884.438999999984</v>
      </c>
      <c r="J17" s="222"/>
      <c r="K17" s="222">
        <f t="shared" si="0"/>
        <v>84750.394364999971</v>
      </c>
      <c r="L17" s="222"/>
      <c r="M17" s="222">
        <f t="shared" si="0"/>
        <v>87716.658167774964</v>
      </c>
      <c r="N17" s="222"/>
      <c r="O17" s="222">
        <f t="shared" si="0"/>
        <v>90786.741203647078</v>
      </c>
      <c r="P17" s="222"/>
      <c r="Q17" s="222">
        <f t="shared" si="0"/>
        <v>93964.277145774715</v>
      </c>
      <c r="R17" s="222"/>
      <c r="S17" s="222">
        <f t="shared" si="0"/>
        <v>97253.026845876826</v>
      </c>
      <c r="T17" s="222"/>
      <c r="U17" s="222">
        <f t="shared" si="0"/>
        <v>100656.88278548251</v>
      </c>
      <c r="V17" s="222"/>
      <c r="W17" s="222">
        <f t="shared" si="0"/>
        <v>104179.87368297439</v>
      </c>
      <c r="X17" s="222"/>
      <c r="Y17" s="222">
        <f t="shared" si="0"/>
        <v>107826.16926187849</v>
      </c>
      <c r="Z17" s="222"/>
      <c r="AA17" s="222">
        <f t="shared" si="0"/>
        <v>111600.08518604422</v>
      </c>
      <c r="AB17" s="222"/>
      <c r="AC17" s="222">
        <f t="shared" si="0"/>
        <v>115506.08816755576</v>
      </c>
      <c r="AD17" s="222"/>
      <c r="AE17" s="222">
        <f t="shared" si="0"/>
        <v>119548.8012534202</v>
      </c>
      <c r="AF17" s="222"/>
      <c r="AG17" s="222">
        <f t="shared" si="0"/>
        <v>123733.0092972899</v>
      </c>
    </row>
    <row r="18" spans="1:33" s="210" customFormat="1" ht="14">
      <c r="A18" s="210" t="s">
        <v>843</v>
      </c>
      <c r="C18" s="233"/>
      <c r="E18" s="222">
        <f>Application!W862</f>
        <v>148029</v>
      </c>
      <c r="F18" s="222"/>
      <c r="G18" s="222">
        <f t="shared" si="0"/>
        <v>153210.01499999998</v>
      </c>
      <c r="H18" s="222"/>
      <c r="I18" s="222">
        <f t="shared" si="0"/>
        <v>158572.36552499997</v>
      </c>
      <c r="J18" s="222"/>
      <c r="K18" s="222">
        <f t="shared" si="0"/>
        <v>164122.39831837497</v>
      </c>
      <c r="L18" s="222"/>
      <c r="M18" s="222">
        <f t="shared" si="0"/>
        <v>169866.68225951807</v>
      </c>
      <c r="N18" s="222"/>
      <c r="O18" s="222">
        <f t="shared" si="0"/>
        <v>175812.0161386012</v>
      </c>
      <c r="P18" s="222"/>
      <c r="Q18" s="222">
        <f t="shared" si="0"/>
        <v>181965.43670345223</v>
      </c>
      <c r="R18" s="222"/>
      <c r="S18" s="222">
        <f t="shared" si="0"/>
        <v>188334.22698807303</v>
      </c>
      <c r="T18" s="222"/>
      <c r="U18" s="222">
        <f t="shared" si="0"/>
        <v>194925.92493265556</v>
      </c>
      <c r="V18" s="222"/>
      <c r="W18" s="222">
        <f t="shared" si="0"/>
        <v>201748.33230529848</v>
      </c>
      <c r="X18" s="222"/>
      <c r="Y18" s="222">
        <f t="shared" si="0"/>
        <v>208809.52393598392</v>
      </c>
      <c r="Z18" s="222"/>
      <c r="AA18" s="222">
        <f t="shared" si="0"/>
        <v>216117.85727374334</v>
      </c>
      <c r="AB18" s="222"/>
      <c r="AC18" s="222">
        <f t="shared" si="0"/>
        <v>223681.98227832434</v>
      </c>
      <c r="AD18" s="222"/>
      <c r="AE18" s="222">
        <f t="shared" si="0"/>
        <v>231510.85165806569</v>
      </c>
      <c r="AF18" s="222"/>
      <c r="AG18" s="222">
        <f t="shared" si="0"/>
        <v>239613.73146609796</v>
      </c>
    </row>
    <row r="19" spans="1:33" s="210" customFormat="1" ht="14">
      <c r="A19" s="210" t="s">
        <v>155</v>
      </c>
      <c r="C19" s="233"/>
      <c r="E19" s="222">
        <f>Application!W863</f>
        <v>93600</v>
      </c>
      <c r="F19" s="222"/>
      <c r="G19" s="222">
        <f t="shared" si="0"/>
        <v>96875.999999999985</v>
      </c>
      <c r="H19" s="222"/>
      <c r="I19" s="222">
        <f t="shared" si="0"/>
        <v>100266.65999999997</v>
      </c>
      <c r="J19" s="222"/>
      <c r="K19" s="222">
        <f t="shared" si="0"/>
        <v>103775.99309999996</v>
      </c>
      <c r="L19" s="222"/>
      <c r="M19" s="222">
        <f t="shared" si="0"/>
        <v>107408.15285849995</v>
      </c>
      <c r="N19" s="222"/>
      <c r="O19" s="222">
        <f t="shared" si="0"/>
        <v>111167.43820854744</v>
      </c>
      <c r="P19" s="222"/>
      <c r="Q19" s="222">
        <f t="shared" si="0"/>
        <v>115058.29854584658</v>
      </c>
      <c r="R19" s="222"/>
      <c r="S19" s="222">
        <f t="shared" si="0"/>
        <v>119085.33899495121</v>
      </c>
      <c r="T19" s="222"/>
      <c r="U19" s="222">
        <f t="shared" si="0"/>
        <v>123253.32585977449</v>
      </c>
      <c r="V19" s="222"/>
      <c r="W19" s="222">
        <f t="shared" si="0"/>
        <v>127567.19226486658</v>
      </c>
      <c r="X19" s="222"/>
      <c r="Y19" s="222">
        <f t="shared" si="0"/>
        <v>132032.04399413691</v>
      </c>
      <c r="Z19" s="222"/>
      <c r="AA19" s="222">
        <f t="shared" si="0"/>
        <v>136653.16553393169</v>
      </c>
      <c r="AB19" s="222"/>
      <c r="AC19" s="222">
        <f t="shared" si="0"/>
        <v>141436.0263276193</v>
      </c>
      <c r="AD19" s="222"/>
      <c r="AE19" s="222">
        <f t="shared" si="0"/>
        <v>146386.28724908596</v>
      </c>
      <c r="AF19" s="222"/>
      <c r="AG19" s="222">
        <f t="shared" si="0"/>
        <v>151509.80730280397</v>
      </c>
    </row>
    <row r="20" spans="1:33" s="210" customFormat="1" ht="14">
      <c r="A20" s="210" t="s">
        <v>390</v>
      </c>
      <c r="C20" s="233"/>
      <c r="E20" s="222">
        <f>Application!W872</f>
        <v>72150</v>
      </c>
      <c r="F20" s="222"/>
      <c r="G20" s="222">
        <f t="shared" si="0"/>
        <v>74675.25</v>
      </c>
      <c r="H20" s="222"/>
      <c r="I20" s="222">
        <f t="shared" si="0"/>
        <v>77288.883749999994</v>
      </c>
      <c r="J20" s="222"/>
      <c r="K20" s="222">
        <f t="shared" si="0"/>
        <v>79993.994681249984</v>
      </c>
      <c r="L20" s="222"/>
      <c r="M20" s="222">
        <f t="shared" si="0"/>
        <v>82793.784495093729</v>
      </c>
      <c r="N20" s="222"/>
      <c r="O20" s="222">
        <f t="shared" si="0"/>
        <v>85691.566952421999</v>
      </c>
      <c r="P20" s="222"/>
      <c r="Q20" s="222">
        <f t="shared" si="0"/>
        <v>88690.771795756766</v>
      </c>
      <c r="R20" s="222"/>
      <c r="S20" s="222">
        <f t="shared" si="0"/>
        <v>91794.948808608242</v>
      </c>
      <c r="T20" s="222"/>
      <c r="U20" s="222">
        <f t="shared" si="0"/>
        <v>95007.772016909526</v>
      </c>
      <c r="V20" s="222"/>
      <c r="W20" s="222">
        <f t="shared" si="0"/>
        <v>98333.044037501357</v>
      </c>
      <c r="X20" s="222"/>
      <c r="Y20" s="222">
        <f t="shared" si="0"/>
        <v>101774.70057881389</v>
      </c>
      <c r="Z20" s="222"/>
      <c r="AA20" s="222">
        <f t="shared" si="0"/>
        <v>105336.81509907237</v>
      </c>
      <c r="AB20" s="222"/>
      <c r="AC20" s="222">
        <f t="shared" si="0"/>
        <v>109023.60362753989</v>
      </c>
      <c r="AD20" s="222"/>
      <c r="AE20" s="222">
        <f t="shared" si="0"/>
        <v>112839.42975450378</v>
      </c>
      <c r="AF20" s="222"/>
      <c r="AG20" s="222">
        <f t="shared" si="0"/>
        <v>116788.80979591141</v>
      </c>
    </row>
    <row r="21" spans="1:33" s="210" customFormat="1" ht="14">
      <c r="A21" s="226" t="s">
        <v>963</v>
      </c>
      <c r="B21" s="226"/>
      <c r="C21" s="233"/>
      <c r="E21" s="232">
        <f>Application!W879</f>
        <v>15570</v>
      </c>
      <c r="F21" s="222"/>
      <c r="G21" s="232">
        <f t="shared" si="0"/>
        <v>16114.949999999999</v>
      </c>
      <c r="H21" s="222"/>
      <c r="I21" s="232">
        <f t="shared" si="0"/>
        <v>16678.973249999999</v>
      </c>
      <c r="J21" s="222"/>
      <c r="K21" s="232">
        <f t="shared" si="0"/>
        <v>17262.737313749996</v>
      </c>
      <c r="L21" s="222"/>
      <c r="M21" s="232">
        <f t="shared" si="0"/>
        <v>17866.933119731246</v>
      </c>
      <c r="N21" s="222"/>
      <c r="O21" s="232">
        <f t="shared" si="0"/>
        <v>18492.275778921838</v>
      </c>
      <c r="P21" s="222"/>
      <c r="Q21" s="232">
        <f t="shared" si="0"/>
        <v>19139.505431184101</v>
      </c>
      <c r="R21" s="222"/>
      <c r="S21" s="232">
        <f t="shared" si="0"/>
        <v>19809.388121275544</v>
      </c>
      <c r="T21" s="222"/>
      <c r="U21" s="232">
        <f t="shared" si="0"/>
        <v>20502.716705520186</v>
      </c>
      <c r="V21" s="222"/>
      <c r="W21" s="232">
        <f t="shared" si="0"/>
        <v>21220.311790213393</v>
      </c>
      <c r="X21" s="222"/>
      <c r="Y21" s="232">
        <f t="shared" si="0"/>
        <v>21963.022702870861</v>
      </c>
      <c r="Z21" s="222"/>
      <c r="AA21" s="232">
        <f t="shared" si="0"/>
        <v>22731.72849747134</v>
      </c>
      <c r="AB21" s="222"/>
      <c r="AC21" s="232">
        <f t="shared" si="0"/>
        <v>23527.338994882837</v>
      </c>
      <c r="AD21" s="222"/>
      <c r="AE21" s="232">
        <f t="shared" si="0"/>
        <v>24350.795859703736</v>
      </c>
      <c r="AF21" s="222"/>
      <c r="AG21" s="232">
        <f t="shared" si="0"/>
        <v>25203.073714793365</v>
      </c>
    </row>
    <row r="22" spans="1:33" s="223" customFormat="1" ht="14">
      <c r="A22" s="223" t="s">
        <v>844</v>
      </c>
      <c r="C22" s="233"/>
      <c r="E22" s="223">
        <f>SUM(E15:E21)</f>
        <v>523032</v>
      </c>
      <c r="G22" s="223">
        <f>SUM(G15:G21)</f>
        <v>541338.11999999988</v>
      </c>
      <c r="I22" s="223">
        <f>SUM(I15:I21)</f>
        <v>560284.95419999992</v>
      </c>
      <c r="K22" s="223">
        <f>SUM(K15:K21)</f>
        <v>579894.9275969998</v>
      </c>
      <c r="M22" s="223">
        <f>SUM(M15:M21)</f>
        <v>600191.25006289477</v>
      </c>
      <c r="O22" s="223">
        <f>SUM(O15:O21)</f>
        <v>621197.94381509605</v>
      </c>
      <c r="Q22" s="223">
        <f>SUM(Q15:Q21)</f>
        <v>642939.87184862432</v>
      </c>
      <c r="S22" s="223">
        <f>SUM(S15:S21)</f>
        <v>665442.76736332616</v>
      </c>
      <c r="U22" s="223">
        <f>SUM(U15:U21)</f>
        <v>688733.26422104251</v>
      </c>
      <c r="W22" s="223">
        <f>SUM(W15:W21)</f>
        <v>712838.92846877885</v>
      </c>
      <c r="Y22" s="223">
        <f>SUM(Y15:Y21)</f>
        <v>737788.2909651862</v>
      </c>
      <c r="AA22" s="223">
        <f>SUM(AA15:AA21)</f>
        <v>763610.88114896766</v>
      </c>
      <c r="AC22" s="223">
        <f>SUM(AC15:AC21)</f>
        <v>790337.26198918163</v>
      </c>
      <c r="AE22" s="223">
        <f>SUM(AE15:AE21)</f>
        <v>817999.06615880271</v>
      </c>
      <c r="AG22" s="223">
        <f>SUM(AG15:AG21)</f>
        <v>846629.03347436071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12000</v>
      </c>
      <c r="F27" s="222"/>
      <c r="G27" s="222">
        <f>E27*$C$27</f>
        <v>12419.999999999998</v>
      </c>
      <c r="H27" s="222"/>
      <c r="I27" s="222">
        <f>G27*$C$27</f>
        <v>12854.699999999997</v>
      </c>
      <c r="J27" s="222"/>
      <c r="K27" s="222">
        <f>I27*$C$27</f>
        <v>13304.614499999996</v>
      </c>
      <c r="L27" s="222"/>
      <c r="M27" s="222">
        <f>K27*$C$27</f>
        <v>13770.276007499995</v>
      </c>
      <c r="N27" s="222"/>
      <c r="O27" s="222">
        <f>M27*$C$27</f>
        <v>14252.235667762494</v>
      </c>
      <c r="P27" s="222"/>
      <c r="Q27" s="222">
        <f>O27*$C$27</f>
        <v>14751.063916134181</v>
      </c>
      <c r="R27" s="222"/>
      <c r="S27" s="222">
        <f>Q27*$C$27</f>
        <v>15267.351153198875</v>
      </c>
      <c r="T27" s="222"/>
      <c r="U27" s="222">
        <f>S27*$C$27</f>
        <v>15801.708443560834</v>
      </c>
      <c r="V27" s="222"/>
      <c r="W27" s="222">
        <f>U27*$C$27</f>
        <v>16354.768239085462</v>
      </c>
      <c r="X27" s="222"/>
      <c r="Y27" s="222">
        <f>W27*$C$27</f>
        <v>16927.185127453453</v>
      </c>
      <c r="Z27" s="222"/>
      <c r="AA27" s="222">
        <f>Y27*$C$27</f>
        <v>17519.636606914322</v>
      </c>
      <c r="AB27" s="222"/>
      <c r="AC27" s="222">
        <f>AA27*$C$27</f>
        <v>18132.823888156323</v>
      </c>
      <c r="AD27" s="222"/>
      <c r="AE27" s="222">
        <f>AC27*$C$27</f>
        <v>18767.472724241794</v>
      </c>
      <c r="AF27" s="222"/>
      <c r="AG27" s="222">
        <f>AE27*$C$27</f>
        <v>19424.334269590254</v>
      </c>
    </row>
    <row r="28" spans="1:33" s="210" customFormat="1" ht="14">
      <c r="A28" s="210" t="s">
        <v>847</v>
      </c>
      <c r="C28" s="237"/>
      <c r="E28" s="222">
        <f>Application!AC889</f>
        <v>23400</v>
      </c>
      <c r="F28" s="222"/>
      <c r="G28" s="222">
        <f>$E$28</f>
        <v>23400</v>
      </c>
      <c r="H28" s="222"/>
      <c r="I28" s="222">
        <f>$E$28</f>
        <v>23400</v>
      </c>
      <c r="J28" s="222"/>
      <c r="K28" s="222">
        <f>$E$28</f>
        <v>23400</v>
      </c>
      <c r="L28" s="222"/>
      <c r="M28" s="222">
        <f>$E$28</f>
        <v>23400</v>
      </c>
      <c r="N28" s="222"/>
      <c r="O28" s="222">
        <f>$E$28</f>
        <v>23400</v>
      </c>
      <c r="P28" s="222"/>
      <c r="Q28" s="222">
        <f>$E$28</f>
        <v>23400</v>
      </c>
      <c r="R28" s="222"/>
      <c r="S28" s="222">
        <f>$E$28</f>
        <v>23400</v>
      </c>
      <c r="T28" s="222"/>
      <c r="U28" s="222">
        <f>$E$28</f>
        <v>23400</v>
      </c>
      <c r="V28" s="222"/>
      <c r="W28" s="222">
        <f>$E$28</f>
        <v>23400</v>
      </c>
      <c r="X28" s="222"/>
      <c r="Y28" s="222">
        <f>$E$28</f>
        <v>23400</v>
      </c>
      <c r="Z28" s="222"/>
      <c r="AA28" s="222">
        <f>$E$28</f>
        <v>23400</v>
      </c>
      <c r="AB28" s="222"/>
      <c r="AC28" s="222">
        <f>$E$28</f>
        <v>23400</v>
      </c>
      <c r="AD28" s="222"/>
      <c r="AE28" s="222">
        <f>$E$28</f>
        <v>23400</v>
      </c>
      <c r="AF28" s="222"/>
      <c r="AG28" s="222">
        <f>$E$28</f>
        <v>23400</v>
      </c>
    </row>
    <row r="29" spans="1:33" s="210" customFormat="1" ht="14">
      <c r="A29" s="210" t="s">
        <v>1681</v>
      </c>
      <c r="C29" s="237"/>
      <c r="E29" s="222">
        <f>Application!AC890</f>
        <v>12480</v>
      </c>
      <c r="F29" s="222"/>
      <c r="G29" s="222">
        <f>$E$29</f>
        <v>12480</v>
      </c>
      <c r="H29" s="222"/>
      <c r="I29" s="222">
        <f>$E$29</f>
        <v>12480</v>
      </c>
      <c r="J29" s="222"/>
      <c r="K29" s="222">
        <f>$E$29</f>
        <v>12480</v>
      </c>
      <c r="L29" s="222"/>
      <c r="M29" s="222">
        <f>$E$29</f>
        <v>12480</v>
      </c>
      <c r="N29" s="222"/>
      <c r="O29" s="222">
        <f>$E$29</f>
        <v>12480</v>
      </c>
      <c r="P29" s="222"/>
      <c r="Q29" s="222">
        <f>$E$29</f>
        <v>12480</v>
      </c>
      <c r="R29" s="222"/>
      <c r="S29" s="222">
        <f>$E$29</f>
        <v>12480</v>
      </c>
      <c r="T29" s="222"/>
      <c r="U29" s="222">
        <f>$E$29</f>
        <v>12480</v>
      </c>
      <c r="V29" s="222"/>
      <c r="W29" s="222">
        <f>$E$29</f>
        <v>12480</v>
      </c>
      <c r="X29" s="222"/>
      <c r="Y29" s="222">
        <f>$E$29</f>
        <v>12480</v>
      </c>
      <c r="Z29" s="222"/>
      <c r="AA29" s="222">
        <f>$E$29</f>
        <v>12480</v>
      </c>
      <c r="AB29" s="222"/>
      <c r="AC29" s="222">
        <f>$E$29</f>
        <v>12480</v>
      </c>
      <c r="AD29" s="222"/>
      <c r="AE29" s="222">
        <f>$E$29</f>
        <v>12480</v>
      </c>
      <c r="AF29" s="222"/>
      <c r="AG29" s="222">
        <f>$E$29</f>
        <v>12480</v>
      </c>
    </row>
    <row r="30" spans="1:33" s="210" customFormat="1" ht="14">
      <c r="A30" s="210" t="s">
        <v>845</v>
      </c>
      <c r="C30" s="237">
        <v>1.02</v>
      </c>
      <c r="E30" s="222">
        <f>Application!AC891</f>
        <v>2500</v>
      </c>
      <c r="F30" s="222"/>
      <c r="G30" s="222">
        <f>E30*$C$30</f>
        <v>2550</v>
      </c>
      <c r="H30" s="222"/>
      <c r="I30" s="222">
        <f>G30*$C$30</f>
        <v>2601</v>
      </c>
      <c r="J30" s="222"/>
      <c r="K30" s="222">
        <f>I30*$C$30</f>
        <v>2653.02</v>
      </c>
      <c r="L30" s="222"/>
      <c r="M30" s="222">
        <f>K30*$C$30</f>
        <v>2706.0803999999998</v>
      </c>
      <c r="N30" s="222"/>
      <c r="O30" s="222">
        <f>M30*$C$30</f>
        <v>2760.2020079999998</v>
      </c>
      <c r="P30" s="222"/>
      <c r="Q30" s="222">
        <f>O30*$C$30</f>
        <v>2815.40604816</v>
      </c>
      <c r="R30" s="222"/>
      <c r="S30" s="222">
        <f>Q30*$C$30</f>
        <v>2871.7141691232</v>
      </c>
      <c r="T30" s="222"/>
      <c r="U30" s="222">
        <f>S30*$C$30</f>
        <v>2929.148452505664</v>
      </c>
      <c r="V30" s="222"/>
      <c r="W30" s="222">
        <f>U30*$C$30</f>
        <v>2987.7314215557772</v>
      </c>
      <c r="X30" s="222"/>
      <c r="Y30" s="222">
        <f>W30*$C$30</f>
        <v>3047.4860499868928</v>
      </c>
      <c r="Z30" s="222"/>
      <c r="AA30" s="222">
        <f>Y30*$C$30</f>
        <v>3108.4357709866308</v>
      </c>
      <c r="AB30" s="222"/>
      <c r="AC30" s="222">
        <f>AA30*$C$30</f>
        <v>3170.6044864063633</v>
      </c>
      <c r="AD30" s="222"/>
      <c r="AE30" s="222">
        <f>AC30*$C$30</f>
        <v>3234.0165761344906</v>
      </c>
      <c r="AF30" s="222"/>
      <c r="AG30" s="222">
        <f>AE30*$C$30</f>
        <v>3298.6969076571804</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573412</v>
      </c>
      <c r="G35" s="223">
        <f>SUM(G22:G33)</f>
        <v>592188.11999999988</v>
      </c>
      <c r="I35" s="223">
        <f>SUM(I22:I33)</f>
        <v>611620.65419999987</v>
      </c>
      <c r="K35" s="223">
        <f>SUM(K22:K33)</f>
        <v>631732.56209699984</v>
      </c>
      <c r="M35" s="223">
        <f>SUM(M22:M33)</f>
        <v>652547.60647039476</v>
      </c>
      <c r="O35" s="223">
        <f>SUM(O22:O33)</f>
        <v>674090.3814908585</v>
      </c>
      <c r="Q35" s="223">
        <f>SUM(Q22:Q33)</f>
        <v>696386.34181291854</v>
      </c>
      <c r="S35" s="223">
        <f>SUM(S22:S33)</f>
        <v>719461.83268564823</v>
      </c>
      <c r="U35" s="223">
        <f>SUM(U22:U33)</f>
        <v>743344.12111710908</v>
      </c>
      <c r="W35" s="223">
        <f>SUM(W22:W33)</f>
        <v>768061.42812942003</v>
      </c>
      <c r="Y35" s="223">
        <f>SUM(Y22:Y33)</f>
        <v>793642.96214262652</v>
      </c>
      <c r="AA35" s="223">
        <f>SUM(AA22:AA33)</f>
        <v>820118.9535268686</v>
      </c>
      <c r="AC35" s="223">
        <f>SUM(AC22:AC33)</f>
        <v>847520.69036374427</v>
      </c>
      <c r="AE35" s="223">
        <f>SUM(AE22:AE33)</f>
        <v>875880.55545917898</v>
      </c>
      <c r="AG35" s="223">
        <f>SUM(AG22:AG33)</f>
        <v>905232.06465160812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1147908.2</v>
      </c>
      <c r="G37" s="223">
        <f>G11-G35</f>
        <v>1172165.0850000002</v>
      </c>
      <c r="I37" s="223">
        <f>I11-I35</f>
        <v>1196841.3809249997</v>
      </c>
      <c r="K37" s="223">
        <f>K11-K35</f>
        <v>1221941.0239061243</v>
      </c>
      <c r="M37" s="223">
        <f>M11-M35</f>
        <v>1247467.8191828076</v>
      </c>
      <c r="O37" s="223">
        <f>O11-O35</f>
        <v>1273425.4298036739</v>
      </c>
      <c r="Q37" s="223">
        <f>Q11-Q35</f>
        <v>1299817.364763977</v>
      </c>
      <c r="S37" s="223">
        <f>S11-S35</f>
        <v>1326646.9665556694</v>
      </c>
      <c r="U37" s="223">
        <f>U11-U35</f>
        <v>1353917.3981052418</v>
      </c>
      <c r="W37" s="223">
        <f>W11-W35</f>
        <v>1381631.6290734885</v>
      </c>
      <c r="Y37" s="223">
        <f>Y11-Y35</f>
        <v>1409792.4214903542</v>
      </c>
      <c r="AA37" s="223">
        <f>AA11-AA35</f>
        <v>1438402.3146969373</v>
      </c>
      <c r="AC37" s="223">
        <f>AC11-AC35</f>
        <v>1467463.6095656562</v>
      </c>
      <c r="AE37" s="223">
        <f>AE11-AE35</f>
        <v>1496978.351968457</v>
      </c>
      <c r="AG37" s="223">
        <f>AG11-AG35</f>
        <v>1526948.3154617185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 Community Capital</v>
      </c>
      <c r="B40" s="226"/>
      <c r="C40" s="220"/>
      <c r="E40" s="222">
        <f>Application!AF627</f>
        <v>826599.48</v>
      </c>
      <c r="F40" s="222"/>
      <c r="G40" s="222">
        <f>$E$40</f>
        <v>826599.48</v>
      </c>
      <c r="H40" s="222"/>
      <c r="I40" s="222">
        <f>$E$40</f>
        <v>826599.48</v>
      </c>
      <c r="J40" s="222"/>
      <c r="K40" s="222">
        <f>$E$40</f>
        <v>826599.48</v>
      </c>
      <c r="L40" s="222"/>
      <c r="M40" s="222">
        <f>$E$40</f>
        <v>826599.48</v>
      </c>
      <c r="N40" s="222"/>
      <c r="O40" s="222">
        <f>$E$40</f>
        <v>826599.48</v>
      </c>
      <c r="P40" s="222"/>
      <c r="Q40" s="222">
        <f>$E$40</f>
        <v>826599.48</v>
      </c>
      <c r="R40" s="222"/>
      <c r="S40" s="222">
        <f>$E$40</f>
        <v>826599.48</v>
      </c>
      <c r="T40" s="222"/>
      <c r="U40" s="222">
        <f>$E$40</f>
        <v>826599.48</v>
      </c>
      <c r="V40" s="222"/>
      <c r="W40" s="222">
        <f>$E$40</f>
        <v>826599.48</v>
      </c>
      <c r="X40" s="222"/>
      <c r="Y40" s="222">
        <f>$E$40</f>
        <v>826599.48</v>
      </c>
      <c r="Z40" s="222"/>
      <c r="AA40" s="222">
        <f>$E$40</f>
        <v>826599.48</v>
      </c>
      <c r="AB40" s="222"/>
      <c r="AC40" s="222">
        <f>$E$40</f>
        <v>826599.48</v>
      </c>
      <c r="AD40" s="222"/>
      <c r="AE40" s="222">
        <f>$E$40</f>
        <v>826599.48</v>
      </c>
      <c r="AF40" s="222"/>
      <c r="AG40" s="222">
        <f>$E$40</f>
        <v>826599.48</v>
      </c>
    </row>
    <row r="41" spans="1:33" s="210" customFormat="1" ht="14">
      <c r="A41" s="225" t="str">
        <f>Application!C629</f>
        <v>Citi Community Capital</v>
      </c>
      <c r="B41" s="226"/>
      <c r="C41" s="220"/>
      <c r="E41" s="222">
        <f>Application!AF629</f>
        <v>171256.15517809242</v>
      </c>
      <c r="F41" s="222"/>
      <c r="G41" s="222">
        <f>$E$41</f>
        <v>171256.15517809242</v>
      </c>
      <c r="H41" s="222"/>
      <c r="I41" s="222">
        <f>$E$41</f>
        <v>171256.15517809242</v>
      </c>
      <c r="J41" s="222"/>
      <c r="K41" s="222">
        <f>$E$41</f>
        <v>171256.15517809242</v>
      </c>
      <c r="L41" s="222"/>
      <c r="M41" s="222">
        <f>$E$41</f>
        <v>171256.15517809242</v>
      </c>
      <c r="N41" s="222"/>
      <c r="O41" s="222">
        <f>$E$41</f>
        <v>171256.15517809242</v>
      </c>
      <c r="P41" s="222"/>
      <c r="Q41" s="222">
        <f>$E$41</f>
        <v>171256.15517809242</v>
      </c>
      <c r="R41" s="222"/>
      <c r="S41" s="222">
        <f>$E$41</f>
        <v>171256.15517809242</v>
      </c>
      <c r="T41" s="222"/>
      <c r="U41" s="222">
        <f>$E$41</f>
        <v>171256.15517809242</v>
      </c>
      <c r="V41" s="222"/>
      <c r="W41" s="222">
        <f>$E$41</f>
        <v>171256.15517809242</v>
      </c>
      <c r="X41" s="222"/>
      <c r="Y41" s="222">
        <f>$E$41</f>
        <v>171256.15517809242</v>
      </c>
      <c r="Z41" s="222"/>
      <c r="AA41" s="222">
        <f>$E$41</f>
        <v>171256.15517809242</v>
      </c>
      <c r="AB41" s="222"/>
      <c r="AC41" s="222">
        <f>$E$41</f>
        <v>171256.15517809242</v>
      </c>
      <c r="AD41" s="222"/>
      <c r="AE41" s="222">
        <f>$E$41</f>
        <v>171256.15517809242</v>
      </c>
      <c r="AF41" s="222"/>
      <c r="AG41" s="222">
        <f>$E$41</f>
        <v>171256.15517809242</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997855.6351780924</v>
      </c>
      <c r="G43" s="223">
        <f>SUM(G40:G42)</f>
        <v>997855.6351780924</v>
      </c>
      <c r="I43" s="223">
        <f>SUM(I40:I42)</f>
        <v>997855.6351780924</v>
      </c>
      <c r="K43" s="223">
        <f>SUM(K40:K42)</f>
        <v>997855.6351780924</v>
      </c>
      <c r="M43" s="223">
        <f>SUM(M40:M42)</f>
        <v>997855.6351780924</v>
      </c>
      <c r="O43" s="223">
        <f>SUM(O40:O42)</f>
        <v>997855.6351780924</v>
      </c>
      <c r="Q43" s="223">
        <f>SUM(Q40:Q42)</f>
        <v>997855.6351780924</v>
      </c>
      <c r="S43" s="223">
        <f>SUM(S40:S42)</f>
        <v>997855.6351780924</v>
      </c>
      <c r="U43" s="223">
        <f>SUM(U40:U42)</f>
        <v>997855.6351780924</v>
      </c>
      <c r="W43" s="223">
        <f>SUM(W40:W42)</f>
        <v>997855.6351780924</v>
      </c>
      <c r="Y43" s="223">
        <f>SUM(Y40:Y42)</f>
        <v>997855.6351780924</v>
      </c>
      <c r="AA43" s="223">
        <f>SUM(AA40:AA42)</f>
        <v>997855.6351780924</v>
      </c>
      <c r="AC43" s="223">
        <f>SUM(AC40:AC42)</f>
        <v>997855.6351780924</v>
      </c>
      <c r="AE43" s="223">
        <f>SUM(AE40:AE42)</f>
        <v>997855.6351780924</v>
      </c>
      <c r="AG43" s="223">
        <f>SUM(AG40:AG42)</f>
        <v>997855.6351780924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150052.56482190755</v>
      </c>
      <c r="G45" s="223">
        <f>G37-G43</f>
        <v>174309.44982190779</v>
      </c>
      <c r="I45" s="223">
        <f>I37-I43</f>
        <v>198985.74574690731</v>
      </c>
      <c r="K45" s="223">
        <f>K37-K43</f>
        <v>224085.38872803189</v>
      </c>
      <c r="M45" s="223">
        <f>M37-M43</f>
        <v>249612.18400471518</v>
      </c>
      <c r="O45" s="223">
        <f>O37-O43</f>
        <v>275569.79462558147</v>
      </c>
      <c r="Q45" s="223">
        <f>Q37-Q43</f>
        <v>301961.7295858846</v>
      </c>
      <c r="S45" s="223">
        <f>S37-S43</f>
        <v>328791.33137757704</v>
      </c>
      <c r="U45" s="223">
        <f>U37-U43</f>
        <v>356061.76292714942</v>
      </c>
      <c r="W45" s="223">
        <f>W37-W43</f>
        <v>383775.99389539612</v>
      </c>
      <c r="Y45" s="223">
        <f>Y37-Y43</f>
        <v>411936.78631226183</v>
      </c>
      <c r="AA45" s="223">
        <f>AA37-AA43</f>
        <v>440546.67951884493</v>
      </c>
      <c r="AC45" s="223">
        <f>AC37-AC43</f>
        <v>469607.97438756377</v>
      </c>
      <c r="AE45" s="223">
        <f>AE37-AE43</f>
        <v>499122.71679036459</v>
      </c>
      <c r="AG45" s="223">
        <f>AG37-AG43</f>
        <v>529092.68028362608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8.2814305311011957E-2</v>
      </c>
      <c r="G47" s="227">
        <f>G45/(G4+G6+G8)</f>
        <v>9.3855344191591389E-2</v>
      </c>
      <c r="I47" s="227">
        <f>I45/(I4+I6+I8)</f>
        <v>0.10452885091751228</v>
      </c>
      <c r="K47" s="227">
        <f>K45/(K4+K6+K8)</f>
        <v>0.11484282934119099</v>
      </c>
      <c r="M47" s="227">
        <f>M45/(M4+M6+M8)</f>
        <v>0.12480507873927205</v>
      </c>
      <c r="O47" s="227">
        <f>O45/(O4+O6+O8)</f>
        <v>0.13442319871091943</v>
      </c>
      <c r="Q47" s="227">
        <f>Q45/(Q4+Q6+Q8)</f>
        <v>0.14370459395574725</v>
      </c>
      <c r="S47" s="227">
        <f>S45/(S4+S6+S8)</f>
        <v>0.15265647893431472</v>
      </c>
      <c r="U47" s="227">
        <f>U45/(U4+U6+U8)</f>
        <v>0.1612858824140424</v>
      </c>
      <c r="W47" s="227">
        <f>W45/(W4+W6+W8)</f>
        <v>0.16959965190333359</v>
      </c>
      <c r="Y47" s="227">
        <f>Y45/(Y4+Y6+Y8)</f>
        <v>0.17760445797662333</v>
      </c>
      <c r="AA47" s="227">
        <f>AA45/(AA4+AA6+AA8)</f>
        <v>0.18530679849299961</v>
      </c>
      <c r="AC47" s="227">
        <f>AC45/(AC4+AC6+AC8)</f>
        <v>0.19271300271098643</v>
      </c>
      <c r="AE47" s="227">
        <f>AE45/(AE4+AE6+AE8)</f>
        <v>0.19982923530201799</v>
      </c>
      <c r="AG47" s="227">
        <f>AG45/(AG4+AG6+AG8)</f>
        <v>0.20666150026505212</v>
      </c>
    </row>
    <row r="48" spans="1:33" s="227" customFormat="1" ht="14">
      <c r="A48" s="227" t="s">
        <v>853</v>
      </c>
      <c r="C48" s="220"/>
      <c r="E48" s="227">
        <f>E45/E43</f>
        <v>0.15037502373289388</v>
      </c>
      <c r="G48" s="227">
        <f>G45/G43</f>
        <v>0.17468403612392078</v>
      </c>
      <c r="I48" s="227">
        <f>I45/I43</f>
        <v>0.19941336074270233</v>
      </c>
      <c r="K48" s="227">
        <f>K45/K43</f>
        <v>0.22456694217900391</v>
      </c>
      <c r="M48" s="227">
        <f>M45/M43</f>
        <v>0.25014859384961596</v>
      </c>
      <c r="O48" s="227">
        <f>O45/O43</f>
        <v>0.27616198667495534</v>
      </c>
      <c r="Q48" s="227">
        <f>Q45/Q43</f>
        <v>0.30261063719101206</v>
      </c>
      <c r="S48" s="227">
        <f>S45/S43</f>
        <v>0.32949789507266347</v>
      </c>
      <c r="U48" s="227">
        <f>U45/U43</f>
        <v>0.35682693004344385</v>
      </c>
      <c r="W48" s="227">
        <f>W45/W43</f>
        <v>0.38460071814586855</v>
      </c>
      <c r="Y48" s="227">
        <f>Y45/Y43</f>
        <v>0.4128220273454099</v>
      </c>
      <c r="AA48" s="227">
        <f>AA45/AA43</f>
        <v>0.44149340244014185</v>
      </c>
      <c r="AC48" s="227">
        <f>AC45/AC43</f>
        <v>0.47061714924699544</v>
      </c>
      <c r="AE48" s="227">
        <f>AE45/AE43</f>
        <v>0.50019531803444051</v>
      </c>
      <c r="AG48" s="227">
        <f>AG45/AG43</f>
        <v>0.53022968617018051</v>
      </c>
    </row>
    <row r="49" spans="1:34" s="228" customFormat="1" ht="14">
      <c r="A49" s="228" t="s">
        <v>851</v>
      </c>
      <c r="C49" s="229"/>
      <c r="E49" s="228">
        <f>E37/E43</f>
        <v>1.1503750237328938</v>
      </c>
      <c r="G49" s="228">
        <f>G37/G43</f>
        <v>1.1746840361239208</v>
      </c>
      <c r="I49" s="228">
        <f>I37/I43</f>
        <v>1.1994133607427024</v>
      </c>
      <c r="K49" s="228">
        <f>K37/K43</f>
        <v>1.224566942179004</v>
      </c>
      <c r="M49" s="228">
        <f>M37/M43</f>
        <v>1.250148593849616</v>
      </c>
      <c r="O49" s="228">
        <f>O37/O43</f>
        <v>1.2761619866749554</v>
      </c>
      <c r="Q49" s="228">
        <f>Q37/Q43</f>
        <v>1.302610637191012</v>
      </c>
      <c r="S49" s="228">
        <f>S37/S43</f>
        <v>1.3294978950726635</v>
      </c>
      <c r="U49" s="228">
        <f>U37/U43</f>
        <v>1.3568269300434439</v>
      </c>
      <c r="W49" s="228">
        <f>W37/W43</f>
        <v>1.3846007181458686</v>
      </c>
      <c r="Y49" s="228">
        <f>Y37/Y43</f>
        <v>1.41282202734541</v>
      </c>
      <c r="AA49" s="228">
        <f>AA37/AA43</f>
        <v>1.4414934024401418</v>
      </c>
      <c r="AC49" s="228">
        <f>AC37/AC43</f>
        <v>1.4706171492469955</v>
      </c>
      <c r="AE49" s="228">
        <f>AE37/AE43</f>
        <v>1.5001953180344405</v>
      </c>
      <c r="AG49" s="228">
        <f>AG37/AG43</f>
        <v>1.5302296861701805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150052.56482190755</v>
      </c>
      <c r="G60" s="962">
        <f>G45-G58</f>
        <v>174309.44982190779</v>
      </c>
      <c r="I60" s="962">
        <f>I45-I58</f>
        <v>198985.74574690731</v>
      </c>
      <c r="K60" s="962">
        <f>K45-K58</f>
        <v>224085.38872803189</v>
      </c>
      <c r="M60" s="962">
        <f>M45-M58</f>
        <v>249612.18400471518</v>
      </c>
      <c r="O60" s="962">
        <f>O45-O58</f>
        <v>275569.79462558147</v>
      </c>
      <c r="Q60" s="962">
        <f>Q45-Q58</f>
        <v>301961.7295858846</v>
      </c>
      <c r="S60" s="962">
        <f>S45-S58</f>
        <v>328791.33137757704</v>
      </c>
      <c r="U60" s="962">
        <f>U45-U58</f>
        <v>356061.76292714942</v>
      </c>
      <c r="W60" s="962">
        <f>W45-W58</f>
        <v>383775.99389539612</v>
      </c>
      <c r="Y60" s="962">
        <f>Y45-Y58</f>
        <v>411936.78631226183</v>
      </c>
      <c r="AA60" s="962">
        <f>AA45-AA58</f>
        <v>440546.67951884493</v>
      </c>
      <c r="AC60" s="962">
        <f>AC45-AC58</f>
        <v>469607.97438756377</v>
      </c>
      <c r="AE60" s="962">
        <f>AE45-AE58</f>
        <v>499122.71679036459</v>
      </c>
      <c r="AG60" s="962">
        <f>AG45-AG58</f>
        <v>529092.68028362608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75026.282410953776</v>
      </c>
      <c r="G62" s="962">
        <f>G60*$C$62</f>
        <v>87154.724910953897</v>
      </c>
      <c r="I62" s="962">
        <f>I60*$C$62</f>
        <v>99492.872873453656</v>
      </c>
      <c r="K62" s="962">
        <f>K60*$C$62</f>
        <v>112042.69436401594</v>
      </c>
      <c r="M62" s="962">
        <f>M60*$C$62</f>
        <v>124806.09200235759</v>
      </c>
      <c r="O62" s="962">
        <f>O60*$C$62</f>
        <v>137784.89731279074</v>
      </c>
      <c r="Q62" s="962">
        <f>Q60*$C$62</f>
        <v>150980.8647929423</v>
      </c>
      <c r="S62" s="962">
        <f>S60*$C$62</f>
        <v>164395.66568878852</v>
      </c>
      <c r="U62" s="962">
        <f>U60*$C$62</f>
        <v>178030.88146357471</v>
      </c>
      <c r="W62" s="962">
        <f>W60*$C$62</f>
        <v>191887.99694769806</v>
      </c>
      <c r="Y62" s="962">
        <f>Y60*$C$62</f>
        <v>205968.39315613091</v>
      </c>
      <c r="AA62" s="962">
        <f>AA60*$C$62</f>
        <v>220273.33975942247</v>
      </c>
      <c r="AC62" s="962">
        <f>AC60*$C$62</f>
        <v>234803.98719378188</v>
      </c>
      <c r="AE62" s="962">
        <f>AE60*$C$62</f>
        <v>249561.35839518229</v>
      </c>
      <c r="AG62" s="962">
        <f>AG60*$C$62</f>
        <v>264546.34014181304</v>
      </c>
    </row>
    <row r="63" spans="1:34" s="962" customFormat="1">
      <c r="A63" s="2689" t="s">
        <v>1185</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37513.141205476888</v>
      </c>
      <c r="G66" s="960">
        <f>G60*$C$65</f>
        <v>43577.362455476949</v>
      </c>
      <c r="I66" s="960">
        <f>I60*$C$65</f>
        <v>49746.436436726828</v>
      </c>
      <c r="K66" s="960">
        <f>K60*$C$65</f>
        <v>56021.347182007972</v>
      </c>
      <c r="M66" s="960">
        <f>M60*$C$65</f>
        <v>62403.046001178795</v>
      </c>
      <c r="O66" s="960">
        <f>O60*$C$65</f>
        <v>68892.448656395369</v>
      </c>
      <c r="Q66" s="960">
        <f>Q60*$C$65</f>
        <v>75490.432396471151</v>
      </c>
      <c r="S66" s="960">
        <f>S60*$C$65</f>
        <v>82197.832844394259</v>
      </c>
      <c r="U66" s="960">
        <f>U60*$C$65</f>
        <v>89015.440731787356</v>
      </c>
      <c r="W66" s="960">
        <f>W60*$C$65</f>
        <v>95943.998473849031</v>
      </c>
      <c r="Y66" s="960">
        <f>Y60*$C$65</f>
        <v>102984.19657806546</v>
      </c>
      <c r="AA66" s="960">
        <f>AA60*$C$65</f>
        <v>110136.66987971123</v>
      </c>
      <c r="AC66" s="960">
        <f>AC60*$C$65</f>
        <v>117401.99359689094</v>
      </c>
      <c r="AE66" s="960">
        <f>AE60*$C$65</f>
        <v>124780.67919759115</v>
      </c>
      <c r="AG66" s="960">
        <f>AG60*$C$65</f>
        <v>132273.17007090652</v>
      </c>
    </row>
    <row r="67" spans="1:34" s="960" customFormat="1">
      <c r="A67" s="965"/>
      <c r="B67" s="965"/>
      <c r="C67" s="970"/>
      <c r="E67" s="964">
        <f>$E60*$C$65</f>
        <v>37513.141205476888</v>
      </c>
      <c r="G67" s="960">
        <f>G60*$C$65</f>
        <v>43577.362455476949</v>
      </c>
      <c r="I67" s="960">
        <f>I60*$C$65</f>
        <v>49746.436436726828</v>
      </c>
      <c r="K67" s="960">
        <f>K60*$C$65</f>
        <v>56021.347182007972</v>
      </c>
      <c r="M67" s="960">
        <f>M60*$C$65</f>
        <v>62403.046001178795</v>
      </c>
      <c r="O67" s="960">
        <f>O60*$C$65</f>
        <v>68892.448656395369</v>
      </c>
      <c r="Q67" s="960">
        <f>Q60*$C$65</f>
        <v>75490.432396471151</v>
      </c>
      <c r="S67" s="960">
        <f>S60*$C$65</f>
        <v>82197.832844394259</v>
      </c>
      <c r="U67" s="960">
        <f>U60*$C$65</f>
        <v>89015.440731787356</v>
      </c>
      <c r="W67" s="960">
        <f>W60*$C$65</f>
        <v>95943.998473849031</v>
      </c>
      <c r="Y67" s="960">
        <f>Y60*$C$65</f>
        <v>102984.19657806546</v>
      </c>
      <c r="AA67" s="960">
        <f>AA60*$C$65</f>
        <v>110136.66987971123</v>
      </c>
      <c r="AC67" s="960">
        <f>AC60*$C$65</f>
        <v>117401.99359689094</v>
      </c>
      <c r="AE67" s="960">
        <f>AE60*$C$65</f>
        <v>124780.67919759115</v>
      </c>
      <c r="AG67" s="960">
        <f>AG60*$C$65</f>
        <v>132273.17007090652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75026.282410953776</v>
      </c>
      <c r="G70" s="960">
        <f>SUM(G66:G69)</f>
        <v>87154.724910953897</v>
      </c>
      <c r="I70" s="960">
        <f>SUM(I66:I69)</f>
        <v>99492.872873453656</v>
      </c>
      <c r="K70" s="960">
        <f>SUM(K66:K69)</f>
        <v>112042.69436401594</v>
      </c>
      <c r="M70" s="960">
        <f>SUM(M66:M69)</f>
        <v>124806.09200235759</v>
      </c>
      <c r="O70" s="960">
        <f>SUM(O66:O69)</f>
        <v>137784.89731279074</v>
      </c>
      <c r="Q70" s="960">
        <f>SUM(Q66:Q69)</f>
        <v>150980.8647929423</v>
      </c>
      <c r="S70" s="960">
        <f>SUM(S66:S69)</f>
        <v>164395.66568878852</v>
      </c>
      <c r="U70" s="960">
        <f>SUM(U66:U69)</f>
        <v>178030.88146357471</v>
      </c>
      <c r="W70" s="960">
        <f>SUM(W66:W69)</f>
        <v>191887.99694769806</v>
      </c>
      <c r="Y70" s="960">
        <f>SUM(Y66:Y69)</f>
        <v>205968.39315613091</v>
      </c>
      <c r="AA70" s="960">
        <f>SUM(AA66:AA69)</f>
        <v>220273.33975942247</v>
      </c>
      <c r="AC70" s="960">
        <f>SUM(AC66:AC69)</f>
        <v>234803.98719378188</v>
      </c>
      <c r="AE70" s="960">
        <f>SUM(AE66:AE69)</f>
        <v>249561.35839518229</v>
      </c>
      <c r="AG70" s="960">
        <f>SUM(AG66:AG69)</f>
        <v>264546.34014181304</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6640625" hidden="1"/>
  </cols>
  <sheetData>
    <row r="1" spans="1:1" ht="34">
      <c r="A1" s="313" t="s">
        <v>972</v>
      </c>
    </row>
    <row r="2" spans="1:1" ht="16">
      <c r="A2" s="314"/>
    </row>
    <row r="3" spans="1:1" ht="16">
      <c r="A3" s="315" t="s">
        <v>967</v>
      </c>
    </row>
    <row r="4" spans="1:1" ht="16">
      <c r="A4" s="315" t="s">
        <v>968</v>
      </c>
    </row>
    <row r="5" spans="1:1" ht="16">
      <c r="A5" s="315" t="s">
        <v>969</v>
      </c>
    </row>
    <row r="6" spans="1:1" ht="16">
      <c r="A6" s="315" t="s">
        <v>971</v>
      </c>
    </row>
    <row r="7" spans="1:1" ht="16">
      <c r="A7" s="315" t="s">
        <v>970</v>
      </c>
    </row>
    <row r="8" spans="1:1" ht="16">
      <c r="A8" s="346" t="s">
        <v>1025</v>
      </c>
    </row>
    <row r="9" spans="1:1" ht="1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33203125" defaultRowHeight="13" zeroHeight="1"/>
  <cols>
    <col min="1" max="1" width="35.6640625" style="204" customWidth="1"/>
    <col min="2" max="4" width="14.6640625" style="204" customWidth="1"/>
    <col min="5" max="5" width="50.6640625" style="204" customWidth="1"/>
    <col min="6" max="253" width="9.33203125" style="204" customWidth="1"/>
    <col min="254" max="16384" width="9.332031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4">
      <c r="A4" s="264" t="s">
        <v>26</v>
      </c>
      <c r="B4" s="264"/>
      <c r="C4" s="264"/>
      <c r="D4" s="264"/>
      <c r="E4" s="282"/>
      <c r="F4" s="264"/>
    </row>
    <row r="5" spans="1:6" s="352" customFormat="1">
      <c r="A5" s="364" t="s">
        <v>27</v>
      </c>
      <c r="B5" s="266">
        <f>'Sources and Uses Budget'!$C4</f>
        <v>67500</v>
      </c>
      <c r="C5" s="266">
        <f>'Sources and Uses Budget'!$C4</f>
        <v>67500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67500</v>
      </c>
      <c r="C9" s="270">
        <f>SUM(C5:C8)</f>
        <v>67500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67500</v>
      </c>
      <c r="C13" s="270">
        <f>SUM(C9+C12)</f>
        <v>67500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6">
      <c r="A15" s="364" t="s">
        <v>904</v>
      </c>
      <c r="B15" s="266">
        <f>'Sources and Uses Budget'!$C14</f>
        <v>10000</v>
      </c>
      <c r="C15" s="266">
        <f>'Sources and Uses Budget'!$C14</f>
        <v>10000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4">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187985</v>
      </c>
      <c r="C28" s="266">
        <f>'Sources and Uses Budget'!$C$27</f>
        <v>187985</v>
      </c>
      <c r="D28" s="270">
        <f t="shared" si="0"/>
        <v>0</v>
      </c>
      <c r="E28" s="268"/>
      <c r="F28" s="267"/>
    </row>
    <row r="29" spans="1:6" s="352" customFormat="1" ht="14">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24667011</v>
      </c>
      <c r="C31" s="266">
        <f>'Sources and Uses Budget'!$C30</f>
        <v>24667011</v>
      </c>
      <c r="D31" s="270">
        <f t="shared" si="0"/>
        <v>0</v>
      </c>
      <c r="E31" s="268"/>
      <c r="F31" s="267"/>
    </row>
    <row r="32" spans="1:6" s="352" customFormat="1">
      <c r="A32" s="145" t="s">
        <v>601</v>
      </c>
      <c r="B32" s="266">
        <f>'Sources and Uses Budget'!$C31</f>
        <v>1250000</v>
      </c>
      <c r="C32" s="266">
        <f>'Sources and Uses Budget'!$C31</f>
        <v>1250000</v>
      </c>
      <c r="D32" s="270">
        <f t="shared" si="0"/>
        <v>0</v>
      </c>
      <c r="E32" s="268"/>
      <c r="F32" s="267"/>
    </row>
    <row r="33" spans="1:6" s="352" customFormat="1">
      <c r="A33" s="145" t="s">
        <v>137</v>
      </c>
      <c r="B33" s="266">
        <f>'Sources and Uses Budget'!$C32</f>
        <v>1250000</v>
      </c>
      <c r="C33" s="266">
        <f>'Sources and Uses Budget'!$C32</f>
        <v>1250000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192500</v>
      </c>
      <c r="C37" s="266">
        <f>'Sources and Uses Budget'!$C36</f>
        <v>192500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27359511</v>
      </c>
      <c r="C39" s="270">
        <f>SUM(C30:C38)</f>
        <v>27359511</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1657539</v>
      </c>
      <c r="C41" s="266">
        <f>'Sources and Uses Budget'!$C40</f>
        <v>1657539</v>
      </c>
      <c r="D41" s="270">
        <f t="shared" si="0"/>
        <v>0</v>
      </c>
      <c r="E41" s="268"/>
      <c r="F41" s="267"/>
    </row>
    <row r="42" spans="1:6" s="352" customFormat="1" ht="14">
      <c r="A42" s="269" t="s">
        <v>146</v>
      </c>
      <c r="B42" s="266">
        <f>'Sources and Uses Budget'!$C41</f>
        <v>0</v>
      </c>
      <c r="C42" s="266">
        <f>'Sources and Uses Budget'!$C41</f>
        <v>0</v>
      </c>
      <c r="D42" s="270">
        <f t="shared" si="0"/>
        <v>0</v>
      </c>
      <c r="E42" s="268"/>
      <c r="F42" s="267"/>
    </row>
    <row r="43" spans="1:6" s="352" customFormat="1" ht="14">
      <c r="A43" s="271" t="s">
        <v>147</v>
      </c>
      <c r="B43" s="270">
        <f>SUM(B41:B42)</f>
        <v>1657539</v>
      </c>
      <c r="C43" s="270">
        <f>SUM(C41:C42)</f>
        <v>1657539</v>
      </c>
      <c r="D43" s="270">
        <f t="shared" si="0"/>
        <v>0</v>
      </c>
      <c r="E43" s="268"/>
      <c r="F43" s="267"/>
    </row>
    <row r="44" spans="1:6" s="352" customFormat="1" ht="14">
      <c r="A44" s="271" t="s">
        <v>148</v>
      </c>
      <c r="B44" s="266">
        <f>'Sources and Uses Budget'!$C43</f>
        <v>149835</v>
      </c>
      <c r="C44" s="266">
        <f>'Sources and Uses Budget'!$C43</f>
        <v>149835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2382000</v>
      </c>
      <c r="C46" s="266">
        <f>'Sources and Uses Budget'!$C45</f>
        <v>2382000</v>
      </c>
      <c r="D46" s="270">
        <f t="shared" si="0"/>
        <v>0</v>
      </c>
      <c r="E46" s="268"/>
      <c r="F46" s="267"/>
    </row>
    <row r="47" spans="1:6" s="352" customFormat="1">
      <c r="A47" s="145" t="s">
        <v>151</v>
      </c>
      <c r="B47" s="266">
        <f>'Sources and Uses Budget'!$C46</f>
        <v>194560</v>
      </c>
      <c r="C47" s="266">
        <f>'Sources and Uses Budget'!$C46</f>
        <v>194560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161630</v>
      </c>
      <c r="C50" s="266">
        <f>'Sources and Uses Budget'!$C49</f>
        <v>161630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784474</v>
      </c>
      <c r="C53" s="266">
        <f>'Sources and Uses Budget'!$C52</f>
        <v>784474</v>
      </c>
      <c r="D53" s="270">
        <f t="shared" si="0"/>
        <v>0</v>
      </c>
      <c r="E53" s="268"/>
      <c r="F53" s="267"/>
    </row>
    <row r="54" spans="1:6" s="352" customFormat="1">
      <c r="A54" s="155" t="str">
        <f>'Sources and Uses Budget'!A53</f>
        <v>Lender 3rd Party Reports</v>
      </c>
      <c r="B54" s="266">
        <f>'Sources and Uses Budget'!$C53</f>
        <v>77500</v>
      </c>
      <c r="C54" s="266">
        <f>'Sources and Uses Budget'!$C53</f>
        <v>77500</v>
      </c>
      <c r="D54" s="270">
        <f t="shared" si="0"/>
        <v>0</v>
      </c>
      <c r="E54" s="268"/>
      <c r="F54" s="267"/>
    </row>
    <row r="55" spans="1:6" s="353" customFormat="1" ht="14">
      <c r="A55" s="271" t="s">
        <v>157</v>
      </c>
      <c r="B55" s="273">
        <f>SUM(B46:B54)</f>
        <v>3605164</v>
      </c>
      <c r="C55" s="273">
        <f>SUM(C46:C54)</f>
        <v>3605164</v>
      </c>
      <c r="D55" s="270">
        <f t="shared" si="0"/>
        <v>0</v>
      </c>
      <c r="E55" s="268"/>
      <c r="F55" s="267"/>
    </row>
    <row r="56" spans="1:6" s="352" customFormat="1" ht="14">
      <c r="A56" s="264" t="s">
        <v>418</v>
      </c>
      <c r="B56" s="264"/>
      <c r="C56" s="264"/>
      <c r="D56" s="264"/>
      <c r="E56" s="282"/>
      <c r="F56" s="264"/>
    </row>
    <row r="57" spans="1:6" s="352" customFormat="1" ht="14">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58368</v>
      </c>
      <c r="C59" s="266">
        <f>'Sources and Uses Budget'!$C58</f>
        <v>58368</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CLHFA Perm Closing costs</v>
      </c>
      <c r="B62" s="266">
        <f>'Sources and Uses Budget'!$C61</f>
        <v>15000</v>
      </c>
      <c r="C62" s="266">
        <f>'Sources and Uses Budget'!$C61</f>
        <v>15000</v>
      </c>
      <c r="D62" s="270">
        <f t="shared" si="0"/>
        <v>0</v>
      </c>
      <c r="E62" s="268"/>
      <c r="F62" s="267"/>
    </row>
    <row r="63" spans="1:6" s="352" customFormat="1" ht="14" customHeight="1">
      <c r="A63" s="271" t="s">
        <v>301</v>
      </c>
      <c r="B63" s="270">
        <f>SUM(B57:B62)</f>
        <v>83368</v>
      </c>
      <c r="C63" s="270">
        <f>SUM(C57:C62)</f>
        <v>83368</v>
      </c>
      <c r="D63" s="270">
        <f t="shared" si="0"/>
        <v>0</v>
      </c>
      <c r="E63" s="268"/>
      <c r="F63" s="267"/>
    </row>
    <row r="64" spans="1:6" s="352" customFormat="1" ht="14">
      <c r="A64" s="274" t="s">
        <v>302</v>
      </c>
      <c r="B64" s="270">
        <f>SUM(B9+B12+B14+B15+B17+B26+B28+B39+B43+B44+B55+B63)</f>
        <v>33120902</v>
      </c>
      <c r="C64" s="270">
        <f>SUM(C9+C12+C14+C15+C17+C26+C28+C39+C43+C44+C55+C63)</f>
        <v>33120902</v>
      </c>
      <c r="D64" s="270">
        <f t="shared" si="0"/>
        <v>0</v>
      </c>
      <c r="E64" s="268"/>
      <c r="F64" s="267"/>
    </row>
    <row r="65" spans="1:6" s="352" customFormat="1" ht="26">
      <c r="A65" s="141" t="s">
        <v>1645</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6">
      <c r="A67" s="283" t="s">
        <v>1642</v>
      </c>
      <c r="B67" s="266">
        <f>'Sources and Uses Budget'!$C66</f>
        <v>0</v>
      </c>
      <c r="C67" s="266">
        <f>'Sources and Uses Budget'!$C66</f>
        <v>0</v>
      </c>
      <c r="D67" s="270"/>
      <c r="E67" s="268"/>
      <c r="F67" s="267"/>
    </row>
    <row r="68" spans="1:6" s="352" customFormat="1">
      <c r="A68" s="283" t="s">
        <v>1643</v>
      </c>
      <c r="B68" s="266">
        <f>'Sources and Uses Budget'!$C67</f>
        <v>0</v>
      </c>
      <c r="C68" s="266">
        <f>'Sources and Uses Budget'!$C67</f>
        <v>0</v>
      </c>
      <c r="D68" s="270"/>
      <c r="E68" s="268"/>
      <c r="F68" s="267"/>
    </row>
    <row r="69" spans="1:6" s="352" customFormat="1">
      <c r="A69" s="283" t="s">
        <v>1649</v>
      </c>
      <c r="B69" s="266">
        <f>'Sources and Uses Budget'!$C68</f>
        <v>50000</v>
      </c>
      <c r="C69" s="266">
        <f>'Sources and Uses Budget'!$C68</f>
        <v>50000</v>
      </c>
      <c r="D69" s="270"/>
      <c r="E69" s="268"/>
      <c r="F69" s="267"/>
    </row>
    <row r="70" spans="1:6" s="352" customFormat="1">
      <c r="A70" s="155" t="str">
        <f>'Sources and Uses Budget'!A69</f>
        <v>Borrower Legal</v>
      </c>
      <c r="B70" s="266">
        <f>'Sources and Uses Budget'!$C69</f>
        <v>361602</v>
      </c>
      <c r="C70" s="266">
        <f>'Sources and Uses Budget'!$C69</f>
        <v>361602</v>
      </c>
      <c r="D70" s="270">
        <f t="shared" si="0"/>
        <v>0</v>
      </c>
      <c r="E70" s="268"/>
      <c r="F70" s="267"/>
    </row>
    <row r="71" spans="1:6" s="352" customFormat="1">
      <c r="A71" s="149" t="s">
        <v>1646</v>
      </c>
      <c r="B71" s="270">
        <f>SUM(B66:B70)</f>
        <v>491602</v>
      </c>
      <c r="C71" s="270">
        <f>SUM(C66:C70)</f>
        <v>491602</v>
      </c>
      <c r="D71" s="270">
        <f t="shared" si="0"/>
        <v>0</v>
      </c>
      <c r="E71" s="268"/>
      <c r="F71" s="267"/>
    </row>
    <row r="72" spans="1:6" s="352" customFormat="1" ht="14">
      <c r="A72" s="264" t="s">
        <v>603</v>
      </c>
      <c r="B72" s="264"/>
      <c r="C72" s="264"/>
      <c r="D72" s="264"/>
      <c r="E72" s="282"/>
      <c r="F72" s="264"/>
    </row>
    <row r="73" spans="1:6" s="352" customFormat="1" ht="14">
      <c r="A73" s="269" t="s">
        <v>604</v>
      </c>
      <c r="B73" s="266">
        <f>'Sources and Uses Budget'!$C72</f>
        <v>0</v>
      </c>
      <c r="C73" s="266">
        <f>'Sources and Uses Budget'!$C72</f>
        <v>0</v>
      </c>
      <c r="D73" s="270">
        <f t="shared" si="0"/>
        <v>0</v>
      </c>
      <c r="E73" s="268"/>
      <c r="F73" s="267"/>
    </row>
    <row r="74" spans="1:6" s="352" customFormat="1" ht="14">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ht="14">
      <c r="A76" s="269" t="s">
        <v>606</v>
      </c>
      <c r="B76" s="266">
        <f>'Sources and Uses Budget'!$C75</f>
        <v>422671</v>
      </c>
      <c r="C76" s="266">
        <f>'Sources and Uses Budget'!$C75</f>
        <v>422671</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607</v>
      </c>
      <c r="B78" s="270">
        <f>SUM(B73:B77)</f>
        <v>422671</v>
      </c>
      <c r="C78" s="270">
        <f>SUM(C73:C77)</f>
        <v>422671</v>
      </c>
      <c r="D78" s="270">
        <f t="shared" ref="D78:D106" si="1">C78-B78</f>
        <v>0</v>
      </c>
      <c r="E78" s="268"/>
      <c r="F78" s="267"/>
    </row>
    <row r="79" spans="1:6" s="352" customFormat="1" ht="14">
      <c r="A79" s="264" t="s">
        <v>1211</v>
      </c>
      <c r="B79" s="264"/>
      <c r="C79" s="264"/>
      <c r="D79" s="264"/>
      <c r="E79" s="282"/>
      <c r="F79" s="264"/>
    </row>
    <row r="80" spans="1:6" s="352" customFormat="1" ht="14">
      <c r="A80" s="510" t="s">
        <v>1213</v>
      </c>
      <c r="B80" s="266">
        <f>'Sources and Uses Budget'!$C79</f>
        <v>1418451</v>
      </c>
      <c r="C80" s="266">
        <f>'Sources and Uses Budget'!$C79</f>
        <v>1418451</v>
      </c>
      <c r="D80" s="270">
        <f t="shared" si="1"/>
        <v>0</v>
      </c>
      <c r="E80" s="268"/>
      <c r="F80" s="267"/>
    </row>
    <row r="81" spans="1:6" s="352" customFormat="1" ht="14">
      <c r="A81" s="510" t="s">
        <v>58</v>
      </c>
      <c r="B81" s="266">
        <f>'Sources and Uses Budget'!$C80</f>
        <v>650590</v>
      </c>
      <c r="C81" s="266">
        <f>'Sources and Uses Budget'!$C80</f>
        <v>650590</v>
      </c>
      <c r="D81" s="270">
        <f>C81-B81</f>
        <v>0</v>
      </c>
      <c r="E81" s="268"/>
      <c r="F81" s="267"/>
    </row>
    <row r="82" spans="1:6" s="352" customFormat="1" ht="14">
      <c r="A82" s="271" t="s">
        <v>1210</v>
      </c>
      <c r="B82" s="270">
        <f>SUM(B80:B81)</f>
        <v>2069041</v>
      </c>
      <c r="C82" s="270">
        <f>SUM(C80:C81)</f>
        <v>2069041</v>
      </c>
      <c r="D82" s="270">
        <f t="shared" si="1"/>
        <v>0</v>
      </c>
      <c r="E82" s="268"/>
      <c r="F82" s="267"/>
    </row>
    <row r="83" spans="1:6" s="352" customFormat="1" ht="14">
      <c r="A83" s="264" t="s">
        <v>766</v>
      </c>
      <c r="B83" s="264"/>
      <c r="C83" s="264"/>
      <c r="D83" s="264"/>
      <c r="E83" s="282"/>
      <c r="F83" s="264"/>
    </row>
    <row r="84" spans="1:6" s="352" customFormat="1" ht="14" customHeight="1">
      <c r="A84" s="269" t="s">
        <v>767</v>
      </c>
      <c r="B84" s="266">
        <f>'Sources and Uses Budget'!$C83</f>
        <v>76905</v>
      </c>
      <c r="C84" s="266">
        <f>'Sources and Uses Budget'!$C83</f>
        <v>76905</v>
      </c>
      <c r="D84" s="270">
        <f t="shared" si="1"/>
        <v>0</v>
      </c>
      <c r="E84" s="268"/>
      <c r="F84" s="267"/>
    </row>
    <row r="85" spans="1:6" s="352" customFormat="1" ht="14">
      <c r="A85" s="269" t="s">
        <v>768</v>
      </c>
      <c r="B85" s="266">
        <f>'Sources and Uses Budget'!$C84</f>
        <v>112642</v>
      </c>
      <c r="C85" s="266">
        <f>'Sources and Uses Budget'!$C84</f>
        <v>112642</v>
      </c>
      <c r="D85" s="270">
        <f t="shared" si="1"/>
        <v>0</v>
      </c>
      <c r="E85" s="268"/>
      <c r="F85" s="267"/>
    </row>
    <row r="86" spans="1:6" s="352" customFormat="1" ht="14">
      <c r="A86" s="269" t="s">
        <v>769</v>
      </c>
      <c r="B86" s="266">
        <f>'Sources and Uses Budget'!$C85</f>
        <v>1832385</v>
      </c>
      <c r="C86" s="266">
        <f>'Sources and Uses Budget'!$C85</f>
        <v>1832385</v>
      </c>
      <c r="D86" s="270">
        <f t="shared" si="1"/>
        <v>0</v>
      </c>
      <c r="E86" s="268"/>
      <c r="F86" s="267"/>
    </row>
    <row r="87" spans="1:6" s="352" customFormat="1" ht="14">
      <c r="A87" s="269" t="s">
        <v>770</v>
      </c>
      <c r="B87" s="266">
        <f>'Sources and Uses Budget'!$C86</f>
        <v>283928</v>
      </c>
      <c r="C87" s="266">
        <f>'Sources and Uses Budget'!$C86</f>
        <v>283928</v>
      </c>
      <c r="D87" s="270">
        <f t="shared" si="1"/>
        <v>0</v>
      </c>
      <c r="E87" s="268"/>
      <c r="F87" s="267"/>
    </row>
    <row r="88" spans="1:6" s="352" customFormat="1" ht="14">
      <c r="A88" s="269" t="s">
        <v>771</v>
      </c>
      <c r="B88" s="266">
        <f>'Sources and Uses Budget'!$C87</f>
        <v>0</v>
      </c>
      <c r="C88" s="266">
        <f>'Sources and Uses Budget'!$C87</f>
        <v>0</v>
      </c>
      <c r="D88" s="270">
        <f t="shared" si="1"/>
        <v>0</v>
      </c>
      <c r="E88" s="268"/>
      <c r="F88" s="267"/>
    </row>
    <row r="89" spans="1:6" s="352" customFormat="1" ht="14">
      <c r="A89" s="269" t="s">
        <v>772</v>
      </c>
      <c r="B89" s="266">
        <f>'Sources and Uses Budget'!$C88</f>
        <v>125000</v>
      </c>
      <c r="C89" s="266">
        <f>'Sources and Uses Budget'!$C88</f>
        <v>125000</v>
      </c>
      <c r="D89" s="270">
        <f t="shared" si="1"/>
        <v>0</v>
      </c>
      <c r="E89" s="268"/>
      <c r="F89" s="267"/>
    </row>
    <row r="90" spans="1:6" s="352" customFormat="1" ht="14">
      <c r="A90" s="269" t="s">
        <v>773</v>
      </c>
      <c r="B90" s="266">
        <f>'Sources and Uses Budget'!$C89</f>
        <v>150000</v>
      </c>
      <c r="C90" s="266">
        <f>'Sources and Uses Budget'!$C89</f>
        <v>150000</v>
      </c>
      <c r="D90" s="270">
        <f t="shared" si="1"/>
        <v>0</v>
      </c>
      <c r="E90" s="268"/>
      <c r="F90" s="267"/>
    </row>
    <row r="91" spans="1:6" s="352" customFormat="1" ht="14">
      <c r="A91" s="269" t="s">
        <v>774</v>
      </c>
      <c r="B91" s="266">
        <f>'Sources and Uses Budget'!$C90</f>
        <v>8500</v>
      </c>
      <c r="C91" s="266">
        <f>'Sources and Uses Budget'!$C90</f>
        <v>8500</v>
      </c>
      <c r="D91" s="270">
        <f t="shared" si="1"/>
        <v>0</v>
      </c>
      <c r="E91" s="268"/>
      <c r="F91" s="267"/>
    </row>
    <row r="92" spans="1:6" s="352" customFormat="1" ht="14">
      <c r="A92" s="269" t="s">
        <v>372</v>
      </c>
      <c r="B92" s="266">
        <f>'Sources and Uses Budget'!$C91</f>
        <v>35000</v>
      </c>
      <c r="C92" s="266">
        <f>'Sources and Uses Budget'!$C91</f>
        <v>35000</v>
      </c>
      <c r="D92" s="270">
        <f t="shared" si="1"/>
        <v>0</v>
      </c>
      <c r="E92" s="268"/>
      <c r="F92" s="267"/>
    </row>
    <row r="93" spans="1:6" s="352" customFormat="1" ht="14">
      <c r="A93" s="510" t="s">
        <v>1212</v>
      </c>
      <c r="B93" s="266">
        <f>'Sources and Uses Budget'!$C92</f>
        <v>7500</v>
      </c>
      <c r="C93" s="266">
        <f>'Sources and Uses Budget'!$C92</f>
        <v>7500</v>
      </c>
      <c r="D93" s="270">
        <f t="shared" si="1"/>
        <v>0</v>
      </c>
      <c r="E93" s="268"/>
      <c r="F93" s="267"/>
    </row>
    <row r="94" spans="1:6" s="352" customFormat="1" ht="14">
      <c r="A94" s="272" t="s">
        <v>34</v>
      </c>
      <c r="B94" s="266">
        <f>'Sources and Uses Budget'!$C93</f>
        <v>400000</v>
      </c>
      <c r="C94" s="266">
        <f>'Sources and Uses Budget'!$C93</f>
        <v>400000</v>
      </c>
      <c r="D94" s="270">
        <f t="shared" si="1"/>
        <v>0</v>
      </c>
      <c r="E94" s="268"/>
      <c r="F94" s="267"/>
    </row>
    <row r="95" spans="1:6" s="352" customFormat="1" ht="14">
      <c r="A95" s="272" t="s">
        <v>34</v>
      </c>
      <c r="B95" s="266">
        <f>'Sources and Uses Budget'!$C94</f>
        <v>5000</v>
      </c>
      <c r="C95" s="266">
        <f>'Sources and Uses Budget'!$C94</f>
        <v>5000</v>
      </c>
      <c r="D95" s="270">
        <f t="shared" si="1"/>
        <v>0</v>
      </c>
      <c r="E95" s="268"/>
      <c r="F95" s="267"/>
    </row>
    <row r="96" spans="1:6" s="352" customFormat="1" ht="14">
      <c r="A96" s="272" t="s">
        <v>34</v>
      </c>
      <c r="B96" s="266">
        <f>'Sources and Uses Budget'!$C95</f>
        <v>276000</v>
      </c>
      <c r="C96" s="266">
        <f>'Sources and Uses Budget'!$C95</f>
        <v>276000</v>
      </c>
      <c r="D96" s="270">
        <f t="shared" si="1"/>
        <v>0</v>
      </c>
      <c r="E96" s="268"/>
      <c r="F96" s="267"/>
    </row>
    <row r="97" spans="1:6" s="352" customFormat="1" ht="14">
      <c r="A97" s="271" t="s">
        <v>775</v>
      </c>
      <c r="B97" s="270">
        <f>SUM(B84:B96)</f>
        <v>3312860</v>
      </c>
      <c r="C97" s="270">
        <f>SUM(C84:C96)</f>
        <v>3312860</v>
      </c>
      <c r="D97" s="270">
        <f t="shared" si="1"/>
        <v>0</v>
      </c>
      <c r="E97" s="268"/>
      <c r="F97" s="267"/>
    </row>
    <row r="98" spans="1:6" s="352" customFormat="1" ht="14">
      <c r="A98" s="271" t="s">
        <v>776</v>
      </c>
      <c r="B98" s="270">
        <f>SUM(B64+B71+B78+B82+B97)</f>
        <v>39417076</v>
      </c>
      <c r="C98" s="270">
        <f>SUM(C64+C71+C78+C82+C97)</f>
        <v>39417076</v>
      </c>
      <c r="D98" s="270">
        <f t="shared" si="1"/>
        <v>0</v>
      </c>
      <c r="E98" s="268"/>
      <c r="F98" s="267"/>
    </row>
    <row r="99" spans="1:6" s="352" customFormat="1" ht="14">
      <c r="A99" s="264" t="s">
        <v>777</v>
      </c>
      <c r="B99" s="264"/>
      <c r="C99" s="264"/>
      <c r="D99" s="264"/>
      <c r="E99" s="282"/>
      <c r="F99" s="264"/>
    </row>
    <row r="100" spans="1:6" s="352" customFormat="1">
      <c r="A100" s="145" t="s">
        <v>778</v>
      </c>
      <c r="B100" s="266">
        <f>'Sources and Uses Budget'!$C99</f>
        <v>5417546</v>
      </c>
      <c r="C100" s="266">
        <f>'Sources and Uses Budget'!$C99</f>
        <v>5417546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780</v>
      </c>
      <c r="B105" s="270">
        <f>SUM(B100:B104)</f>
        <v>5417546</v>
      </c>
      <c r="C105" s="270">
        <f>SUM(C100:C104)</f>
        <v>5417546</v>
      </c>
      <c r="D105" s="270">
        <f t="shared" si="1"/>
        <v>0</v>
      </c>
      <c r="E105" s="268"/>
      <c r="F105" s="267"/>
    </row>
    <row r="106" spans="1:6" s="352" customFormat="1" ht="14">
      <c r="A106" s="271" t="s">
        <v>781</v>
      </c>
      <c r="B106" s="273">
        <f>SUM(B98+B105)</f>
        <v>44834622</v>
      </c>
      <c r="C106" s="273">
        <f>SUM(C98+C105)</f>
        <v>44834622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6640625" style="402" hidden="1"/>
  </cols>
  <sheetData>
    <row r="1" spans="1:10" ht="16">
      <c r="A1" s="1274" t="s">
        <v>1869</v>
      </c>
      <c r="B1" s="1275"/>
      <c r="C1" s="1275"/>
      <c r="D1" s="1275"/>
      <c r="E1" s="1275"/>
      <c r="F1" s="1275"/>
      <c r="G1" s="1275"/>
      <c r="H1" s="1275"/>
      <c r="I1" s="1275"/>
      <c r="J1" s="1275"/>
    </row>
    <row r="2" spans="1:10" ht="16">
      <c r="A2" s="1278" t="s">
        <v>1269</v>
      </c>
      <c r="B2" s="1279"/>
      <c r="C2" s="1279"/>
      <c r="D2" s="1279"/>
      <c r="E2" s="1279"/>
      <c r="F2" s="1279"/>
      <c r="G2" s="1279"/>
      <c r="H2" s="1279"/>
      <c r="I2" s="1279"/>
      <c r="J2" s="1279"/>
    </row>
    <row r="3" spans="1:10" ht="13"/>
    <row r="4" spans="1:10" ht="12.75" customHeight="1">
      <c r="A4" s="1276" t="s">
        <v>2047</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
    <row r="10" spans="1:10" ht="12.75" customHeight="1">
      <c r="A10" s="1280" t="s">
        <v>1874</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1873</v>
      </c>
      <c r="B17" s="416"/>
      <c r="C17" s="416"/>
      <c r="D17" s="416"/>
      <c r="E17" s="416"/>
      <c r="F17" s="416"/>
      <c r="G17" s="416"/>
      <c r="H17" s="416"/>
      <c r="I17" s="416"/>
      <c r="J17" s="416"/>
    </row>
    <row r="18" spans="1:10" ht="14">
      <c r="A18" s="416" t="s">
        <v>250</v>
      </c>
      <c r="B18" s="416"/>
      <c r="C18" s="416"/>
      <c r="D18" s="416"/>
      <c r="E18" s="416"/>
      <c r="F18" s="416"/>
      <c r="G18" s="416"/>
      <c r="H18" s="416"/>
      <c r="I18" s="416"/>
      <c r="J18" s="416"/>
    </row>
    <row r="19" spans="1:10" ht="13">
      <c r="A19" s="1279" t="s">
        <v>1190</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1191</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1190</v>
      </c>
    </row>
    <row r="61" spans="1:10" ht="13"/>
    <row r="62" spans="1:10" ht="13"/>
    <row r="63" spans="1:10" ht="13"/>
    <row r="64" spans="1:10" ht="13"/>
    <row r="65" spans="1:9" ht="13"/>
    <row r="66" spans="1:9" ht="13"/>
    <row r="67" spans="1:9" ht="13"/>
    <row r="68" spans="1:9" ht="13"/>
    <row r="69" spans="1:9" ht="13"/>
    <row r="70" spans="1:9" ht="13"/>
    <row r="71" spans="1:9" ht="13">
      <c r="A71" s="1277" t="s">
        <v>1870</v>
      </c>
      <c r="B71" s="1277"/>
      <c r="C71" s="1277"/>
      <c r="D71" s="1277"/>
      <c r="E71" s="1277"/>
      <c r="F71" s="1277"/>
      <c r="G71" s="1277"/>
      <c r="H71" s="1277"/>
      <c r="I71" s="1277"/>
    </row>
    <row r="72" spans="1:9" ht="13">
      <c r="A72" s="1267" t="s">
        <v>2045</v>
      </c>
      <c r="B72" s="1267"/>
      <c r="C72" s="1267"/>
      <c r="D72" s="1267"/>
      <c r="E72" s="1267"/>
    </row>
    <row r="73" spans="1:9" ht="13">
      <c r="A73" s="1267" t="s">
        <v>2046</v>
      </c>
      <c r="B73" s="1267"/>
      <c r="C73" s="1267"/>
      <c r="D73" s="1267"/>
      <c r="E73" s="1267"/>
    </row>
    <row r="74" spans="1:9" ht="13">
      <c r="A74" s="1267" t="s">
        <v>1871</v>
      </c>
      <c r="B74" s="1267"/>
      <c r="C74" s="1267"/>
      <c r="D74" s="1267"/>
      <c r="E74" s="1267"/>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25400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33203125" style="404" customWidth="1"/>
    <col min="10" max="10" width="8.6640625" style="402" hidden="1" customWidth="1"/>
    <col min="11" max="16384" width="8.664062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4"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c r="A20" s="484"/>
      <c r="B20" s="485" t="s">
        <v>307</v>
      </c>
      <c r="D20" s="1283" t="s">
        <v>1923</v>
      </c>
      <c r="E20" s="1283"/>
      <c r="F20" s="1283"/>
      <c r="I20" s="490"/>
    </row>
    <row r="21" spans="1:9">
      <c r="A21" s="484"/>
      <c r="D21" s="1283"/>
      <c r="E21" s="1283"/>
      <c r="F21" s="1283"/>
      <c r="I21" s="490"/>
    </row>
    <row r="22" spans="1:9">
      <c r="A22" s="484"/>
      <c r="D22" s="392"/>
      <c r="E22" s="96" t="s">
        <v>1919</v>
      </c>
      <c r="F22" s="392"/>
      <c r="I22" s="490"/>
    </row>
    <row r="23" spans="1:9">
      <c r="A23" s="484"/>
      <c r="B23" s="484"/>
      <c r="D23" s="446"/>
      <c r="I23" s="490"/>
    </row>
    <row r="24" spans="1:9">
      <c r="A24" s="484"/>
      <c r="B24" s="485" t="s">
        <v>307</v>
      </c>
      <c r="D24" s="1283" t="s">
        <v>1092</v>
      </c>
      <c r="E24" s="1283"/>
      <c r="F24" s="1283"/>
      <c r="I24" s="490"/>
    </row>
    <row r="25" spans="1:9">
      <c r="A25" s="484"/>
      <c r="B25" s="484"/>
      <c r="D25" s="1283"/>
      <c r="E25" s="1283"/>
      <c r="F25" s="1283"/>
      <c r="I25" s="490"/>
    </row>
    <row r="26" spans="1:9">
      <c r="I26" s="490"/>
    </row>
    <row r="27" spans="1:9">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c r="A35" s="484"/>
      <c r="B35" s="484"/>
      <c r="D35" s="447"/>
      <c r="I35" s="490"/>
    </row>
    <row r="36" spans="1:9" ht="14.75" customHeight="1">
      <c r="A36" s="484"/>
      <c r="B36" s="485" t="s">
        <v>307</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307</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307</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75" customHeight="1">
      <c r="A52" s="484"/>
      <c r="B52" s="485" t="s">
        <v>307</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307</v>
      </c>
      <c r="D56" s="1307" t="s">
        <v>1096</v>
      </c>
      <c r="E56" s="1307"/>
      <c r="F56" s="1307"/>
      <c r="I56" s="490"/>
    </row>
    <row r="57" spans="1:9">
      <c r="A57" s="484"/>
      <c r="B57" s="484"/>
      <c r="D57" s="1307"/>
      <c r="E57" s="1307"/>
      <c r="F57" s="1307"/>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307</v>
      </c>
      <c r="D65" s="1283" t="s">
        <v>1098</v>
      </c>
      <c r="E65" s="1283"/>
      <c r="F65" s="1283"/>
      <c r="I65" s="490"/>
    </row>
    <row r="66" spans="1:9">
      <c r="D66" s="1283"/>
      <c r="E66" s="1283"/>
      <c r="F66" s="1283"/>
      <c r="I66" s="490"/>
    </row>
    <row r="67" spans="1:9">
      <c r="I67" s="490"/>
    </row>
    <row r="68" spans="1:9">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307</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4" customHeight="1">
      <c r="A80" s="484"/>
      <c r="B80" s="485" t="s">
        <v>307</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307</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307</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307</v>
      </c>
      <c r="D96" s="1283" t="s">
        <v>1745</v>
      </c>
      <c r="E96" s="1283"/>
      <c r="F96" s="1283"/>
      <c r="I96" s="490"/>
    </row>
    <row r="97" spans="1:9" s="987" customFormat="1">
      <c r="A97" s="985"/>
      <c r="B97" s="985"/>
      <c r="C97" s="986"/>
      <c r="D97" s="1283"/>
      <c r="E97" s="1283"/>
      <c r="F97" s="1283"/>
      <c r="I97" s="1154"/>
    </row>
    <row r="98" spans="1:9">
      <c r="A98" s="484"/>
      <c r="B98" s="484"/>
      <c r="D98" s="392"/>
      <c r="E98" s="312" t="s">
        <v>1924</v>
      </c>
      <c r="F98" s="445"/>
      <c r="I98" s="490"/>
    </row>
    <row r="99" spans="1:9">
      <c r="A99" s="484"/>
      <c r="B99" s="484"/>
      <c r="D99" s="385"/>
      <c r="E99" s="385"/>
      <c r="F99" s="385"/>
      <c r="I99" s="490"/>
    </row>
    <row r="100" spans="1:9">
      <c r="A100" s="484"/>
      <c r="B100" s="485" t="s">
        <v>307</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75" customHeight="1">
      <c r="A103" s="484"/>
      <c r="B103" s="485" t="s">
        <v>307</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307</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307</v>
      </c>
      <c r="C128" s="402"/>
      <c r="D128" s="1303" t="s">
        <v>2050</v>
      </c>
      <c r="E128" s="1303"/>
      <c r="F128" s="1303"/>
      <c r="I128" s="490"/>
    </row>
    <row r="129" spans="1:9">
      <c r="A129" s="484"/>
      <c r="B129" s="484"/>
      <c r="C129" s="402"/>
      <c r="D129" s="1303"/>
      <c r="E129" s="1303"/>
      <c r="F129" s="1303"/>
      <c r="I129" s="490"/>
    </row>
    <row r="130" spans="1:9">
      <c r="I130" s="490"/>
    </row>
    <row r="131" spans="1:9">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307</v>
      </c>
      <c r="D137" s="1283" t="s">
        <v>1106</v>
      </c>
      <c r="E137" s="1283"/>
      <c r="F137" s="1283"/>
      <c r="I137" s="490"/>
    </row>
    <row r="138" spans="1:9" s="417" customFormat="1" ht="14" customHeight="1">
      <c r="A138" s="488"/>
      <c r="B138" s="488"/>
      <c r="C138" s="488"/>
      <c r="D138" s="1283"/>
      <c r="E138" s="1283"/>
      <c r="F138" s="1283"/>
      <c r="I138" s="1155"/>
    </row>
    <row r="139" spans="1:9" ht="14" customHeight="1">
      <c r="D139" s="1283"/>
      <c r="E139" s="1283"/>
      <c r="F139" s="1283"/>
      <c r="I139" s="490"/>
    </row>
    <row r="140" spans="1:9" ht="14" customHeight="1">
      <c r="D140" s="1283"/>
      <c r="E140" s="1283"/>
      <c r="F140" s="1283"/>
      <c r="I140" s="490"/>
    </row>
    <row r="141" spans="1:9" ht="14" customHeight="1">
      <c r="D141" s="1283"/>
      <c r="E141" s="1283"/>
      <c r="F141" s="1283"/>
      <c r="I141" s="490"/>
    </row>
    <row r="142" spans="1:9" ht="14" customHeight="1">
      <c r="A142" s="489"/>
      <c r="B142" s="489"/>
      <c r="D142" s="1283"/>
      <c r="E142" s="1283"/>
      <c r="F142" s="1283"/>
      <c r="I142" s="490"/>
    </row>
    <row r="143" spans="1:9" ht="14" customHeight="1">
      <c r="D143" s="1283"/>
      <c r="E143" s="1283"/>
      <c r="F143" s="1283"/>
      <c r="I143" s="490"/>
    </row>
    <row r="144" spans="1:9" ht="14" customHeight="1">
      <c r="D144" s="1283"/>
      <c r="E144" s="1283"/>
      <c r="F144" s="1283"/>
      <c r="I144" s="490"/>
    </row>
    <row r="145" spans="2:9" ht="14" customHeight="1">
      <c r="D145" s="1283"/>
      <c r="E145" s="1283"/>
      <c r="F145" s="1283"/>
      <c r="I145" s="490"/>
    </row>
    <row r="146" spans="2:9" ht="14" customHeight="1">
      <c r="D146" s="1283"/>
      <c r="E146" s="1283"/>
      <c r="F146" s="1283"/>
      <c r="I146" s="490"/>
    </row>
    <row r="147" spans="2:9" ht="14" customHeight="1">
      <c r="D147" s="1283"/>
      <c r="E147" s="1283"/>
      <c r="F147" s="1283"/>
      <c r="I147" s="490"/>
    </row>
    <row r="148" spans="2:9" ht="14" customHeight="1">
      <c r="D148" s="1283"/>
      <c r="E148" s="1283"/>
      <c r="F148" s="1283"/>
      <c r="I148" s="490"/>
    </row>
    <row r="149" spans="2:9" ht="14" customHeight="1">
      <c r="D149" s="1283"/>
      <c r="E149" s="1283"/>
      <c r="F149" s="1283"/>
      <c r="I149" s="490"/>
    </row>
    <row r="150" spans="2:9" ht="14" customHeight="1">
      <c r="D150" s="476"/>
      <c r="E150" s="446"/>
      <c r="F150" s="446"/>
      <c r="I150" s="490"/>
    </row>
    <row r="151" spans="2:9" ht="14" customHeight="1">
      <c r="B151" s="485" t="s">
        <v>307</v>
      </c>
      <c r="D151" s="1283" t="s">
        <v>1178</v>
      </c>
      <c r="E151" s="1283"/>
      <c r="F151" s="1283"/>
      <c r="I151" s="490"/>
    </row>
    <row r="152" spans="2:9" ht="14" customHeight="1">
      <c r="D152" s="1283"/>
      <c r="E152" s="1283"/>
      <c r="F152" s="1283"/>
      <c r="I152" s="490"/>
    </row>
    <row r="153" spans="2:9" ht="14" customHeight="1">
      <c r="D153" s="1283"/>
      <c r="E153" s="1283"/>
      <c r="F153" s="1283"/>
      <c r="I153" s="490"/>
    </row>
    <row r="154" spans="2:9" ht="14" customHeight="1">
      <c r="D154" s="1283"/>
      <c r="E154" s="1283"/>
      <c r="F154" s="1283"/>
      <c r="I154" s="490"/>
    </row>
    <row r="155" spans="2:9" ht="14" customHeight="1">
      <c r="D155" s="1283"/>
      <c r="E155" s="1283"/>
      <c r="F155" s="1283"/>
      <c r="I155" s="490"/>
    </row>
    <row r="156" spans="2:9" ht="14" customHeight="1">
      <c r="D156" s="1283"/>
      <c r="E156" s="1283"/>
      <c r="F156" s="1283"/>
      <c r="I156" s="490"/>
    </row>
    <row r="157" spans="2:9" ht="14" customHeight="1">
      <c r="D157" s="1283"/>
      <c r="E157" s="1283"/>
      <c r="F157" s="1283"/>
      <c r="I157" s="490"/>
    </row>
    <row r="158" spans="2:9" ht="14" customHeight="1">
      <c r="D158" s="1283"/>
      <c r="E158" s="1283"/>
      <c r="F158" s="1283"/>
      <c r="I158" s="490"/>
    </row>
    <row r="159" spans="2:9" ht="14" customHeight="1">
      <c r="D159" s="1283"/>
      <c r="E159" s="1283"/>
      <c r="F159" s="1283"/>
      <c r="I159" s="490"/>
    </row>
    <row r="160" spans="2:9" ht="14" customHeight="1">
      <c r="D160" s="1283"/>
      <c r="E160" s="1283"/>
      <c r="F160" s="1283"/>
      <c r="I160" s="490"/>
    </row>
    <row r="161" spans="1:9" ht="14" customHeight="1">
      <c r="D161" s="1283"/>
      <c r="E161" s="1283"/>
      <c r="F161" s="1283"/>
      <c r="I161" s="490"/>
    </row>
    <row r="162" spans="1:9" ht="14" customHeight="1">
      <c r="D162" s="1283"/>
      <c r="E162" s="1283"/>
      <c r="F162" s="1283"/>
      <c r="I162" s="490"/>
    </row>
    <row r="163" spans="1:9" ht="14" customHeight="1">
      <c r="D163" s="1283"/>
      <c r="E163" s="1283"/>
      <c r="F163" s="1283"/>
      <c r="I163" s="490"/>
    </row>
    <row r="164" spans="1:9" ht="14" customHeight="1">
      <c r="D164" s="1283"/>
      <c r="E164" s="1283"/>
      <c r="F164" s="1283"/>
      <c r="I164" s="490"/>
    </row>
    <row r="165" spans="1:9" ht="14" customHeight="1">
      <c r="D165" s="1283"/>
      <c r="E165" s="1283"/>
      <c r="F165" s="1283"/>
      <c r="I165" s="490"/>
    </row>
    <row r="166" spans="1:9" ht="14" customHeight="1">
      <c r="D166" s="1283"/>
      <c r="E166" s="1283"/>
      <c r="F166" s="1283"/>
      <c r="I166" s="490"/>
    </row>
    <row r="167" spans="1:9" ht="14" customHeight="1">
      <c r="D167" s="1283"/>
      <c r="E167" s="1283"/>
      <c r="F167" s="1283"/>
      <c r="I167" s="490"/>
    </row>
    <row r="168" spans="1:9" ht="14" customHeight="1">
      <c r="D168" s="1283"/>
      <c r="E168" s="1283"/>
      <c r="F168" s="1283"/>
      <c r="I168" s="490"/>
    </row>
    <row r="169" spans="1:9" ht="14" customHeight="1">
      <c r="D169" s="1304" t="s">
        <v>2073</v>
      </c>
      <c r="E169" s="1304"/>
      <c r="F169" s="1304"/>
      <c r="G169" s="507"/>
      <c r="I169" s="490"/>
    </row>
    <row r="170" spans="1:9" ht="14" customHeight="1">
      <c r="D170" s="1295"/>
      <c r="E170" s="1295"/>
      <c r="F170" s="1295"/>
      <c r="G170" s="1295"/>
      <c r="I170" s="490"/>
    </row>
    <row r="171" spans="1:9" ht="14.75" customHeight="1">
      <c r="A171" s="489"/>
      <c r="B171" s="485" t="s">
        <v>307</v>
      </c>
      <c r="C171" s="476"/>
      <c r="D171" s="1263" t="s">
        <v>2213</v>
      </c>
      <c r="E171" s="1263"/>
      <c r="F171" s="1263"/>
      <c r="G171" s="476"/>
      <c r="I171" s="490"/>
    </row>
    <row r="172" spans="1:9" ht="14.75" customHeight="1">
      <c r="A172" s="489"/>
      <c r="B172" s="489"/>
      <c r="C172" s="476"/>
      <c r="D172" s="1263"/>
      <c r="E172" s="1263"/>
      <c r="F172" s="1263"/>
      <c r="G172" s="476"/>
      <c r="I172" s="490"/>
    </row>
    <row r="173" spans="1:9" ht="14.75" customHeight="1">
      <c r="A173" s="489"/>
      <c r="B173" s="489"/>
      <c r="C173" s="476"/>
      <c r="D173" s="1263"/>
      <c r="E173" s="1263"/>
      <c r="F173" s="1263"/>
      <c r="G173" s="476"/>
      <c r="I173" s="490"/>
    </row>
    <row r="174" spans="1:9" ht="14.75" customHeight="1">
      <c r="A174" s="489"/>
      <c r="B174" s="489"/>
      <c r="C174" s="476"/>
      <c r="D174" s="1263"/>
      <c r="E174" s="1263"/>
      <c r="F174" s="1263"/>
      <c r="G174" s="476"/>
      <c r="I174" s="490"/>
    </row>
    <row r="175" spans="1:9" ht="14" customHeight="1">
      <c r="A175" s="489"/>
      <c r="B175" s="489"/>
      <c r="C175" s="476"/>
      <c r="D175" s="1263"/>
      <c r="E175" s="1263"/>
      <c r="F175" s="1263"/>
      <c r="G175" s="476"/>
      <c r="I175" s="490"/>
    </row>
    <row r="176" spans="1:9" ht="14" customHeight="1">
      <c r="A176" s="489"/>
      <c r="B176" s="489"/>
      <c r="C176" s="476"/>
      <c r="D176" s="476"/>
      <c r="E176" s="476"/>
      <c r="F176" s="476"/>
      <c r="G176" s="476"/>
      <c r="I176" s="490"/>
    </row>
    <row r="177" spans="1:9" ht="14" customHeight="1">
      <c r="A177" s="489"/>
      <c r="B177" s="485" t="s">
        <v>307</v>
      </c>
      <c r="C177" s="476"/>
      <c r="D177" s="1263" t="s">
        <v>1107</v>
      </c>
      <c r="E177" s="1263"/>
      <c r="F177" s="1263"/>
      <c r="G177" s="476"/>
      <c r="I177" s="490"/>
    </row>
    <row r="178" spans="1:9" ht="14" customHeight="1">
      <c r="A178" s="489"/>
      <c r="B178" s="489"/>
      <c r="C178" s="476"/>
      <c r="D178" s="1263"/>
      <c r="E178" s="1263"/>
      <c r="F178" s="1263"/>
      <c r="G178" s="476"/>
      <c r="I178" s="490"/>
    </row>
    <row r="179" spans="1:9" ht="14" customHeight="1">
      <c r="A179" s="489"/>
      <c r="B179" s="489"/>
      <c r="C179" s="476"/>
      <c r="D179" s="1263"/>
      <c r="E179" s="1263"/>
      <c r="F179" s="1263"/>
      <c r="G179" s="476"/>
      <c r="I179" s="490"/>
    </row>
    <row r="180" spans="1:9" ht="14" customHeight="1">
      <c r="A180" s="489"/>
      <c r="B180" s="489"/>
      <c r="C180" s="476"/>
      <c r="D180" s="1263"/>
      <c r="E180" s="1263"/>
      <c r="F180" s="1263"/>
      <c r="G180" s="476"/>
      <c r="I180" s="490"/>
    </row>
    <row r="181" spans="1:9" ht="14" customHeight="1">
      <c r="D181" s="446"/>
      <c r="E181" s="446"/>
      <c r="F181" s="446"/>
      <c r="I181" s="490"/>
    </row>
    <row r="182" spans="1:9" ht="14" customHeight="1">
      <c r="B182" s="485" t="s">
        <v>307</v>
      </c>
      <c r="D182" s="1287" t="s">
        <v>2051</v>
      </c>
      <c r="E182" s="1287"/>
      <c r="F182" s="1287"/>
      <c r="I182" s="490"/>
    </row>
    <row r="183" spans="1:9" ht="14" customHeight="1">
      <c r="D183" s="1287"/>
      <c r="E183" s="1287"/>
      <c r="F183" s="1287"/>
      <c r="I183" s="490"/>
    </row>
    <row r="184" spans="1:9" ht="14" customHeight="1">
      <c r="D184" s="1287"/>
      <c r="E184" s="1287"/>
      <c r="F184" s="1287"/>
      <c r="I184" s="490"/>
    </row>
    <row r="185" spans="1:9" ht="14"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4"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c r="A217" s="484"/>
      <c r="B217" s="485" t="s">
        <v>307</v>
      </c>
      <c r="D217" s="1283" t="s">
        <v>1217</v>
      </c>
      <c r="E217" s="1283"/>
      <c r="F217" s="1283"/>
      <c r="I217" s="490"/>
    </row>
    <row r="218" spans="1:9" ht="14.7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4" customHeight="1">
      <c r="A227" s="490"/>
      <c r="C227" s="490"/>
      <c r="D227" s="1291" t="s">
        <v>547</v>
      </c>
      <c r="E227" s="1291"/>
      <c r="F227" s="1291"/>
      <c r="I227" s="490"/>
    </row>
    <row r="228" spans="1:9">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307</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307</v>
      </c>
      <c r="D245" s="1283" t="s">
        <v>2053</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1896</v>
      </c>
      <c r="I248" s="490"/>
    </row>
    <row r="249" spans="1:9">
      <c r="A249" s="484"/>
      <c r="B249" s="484"/>
      <c r="D249" s="446"/>
      <c r="E249" s="446"/>
      <c r="F249" s="446"/>
      <c r="I249" s="490"/>
    </row>
    <row r="250" spans="1:9" ht="14.75" customHeight="1">
      <c r="A250" s="484"/>
      <c r="B250" s="485" t="s">
        <v>307</v>
      </c>
      <c r="D250" s="1283" t="s">
        <v>2054</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307</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307</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7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7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307</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307</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307</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c r="A306" s="484"/>
      <c r="B306" s="484"/>
      <c r="D306" s="494"/>
      <c r="E306" s="495"/>
      <c r="F306" s="495"/>
      <c r="I306" s="490"/>
    </row>
    <row r="307" spans="1:9" ht="14" customHeight="1">
      <c r="B307" s="485" t="s">
        <v>307</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4" customHeight="1">
      <c r="B313" s="485" t="s">
        <v>307</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307</v>
      </c>
      <c r="D316" s="1284" t="s">
        <v>1132</v>
      </c>
      <c r="E316" s="1284"/>
      <c r="F316" s="1284"/>
      <c r="I316" s="490"/>
    </row>
    <row r="317" spans="1:9">
      <c r="E317" s="446"/>
      <c r="F317" s="446"/>
      <c r="I317" s="490"/>
    </row>
    <row r="318" spans="1:9">
      <c r="A318" s="484"/>
      <c r="B318" s="485" t="s">
        <v>307</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4" thickBot="1">
      <c r="A351" s="1022"/>
      <c r="B351" s="1022"/>
      <c r="C351" s="1022"/>
      <c r="D351" s="1296" t="s">
        <v>980</v>
      </c>
      <c r="E351" s="1296"/>
      <c r="F351" s="1296"/>
      <c r="G351" s="1027"/>
      <c r="H351" s="1027"/>
      <c r="I351" s="1156"/>
    </row>
    <row r="352" spans="1:9" ht="14"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5"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4"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75" customHeight="1">
      <c r="A423" s="484"/>
      <c r="B423" s="485" t="s">
        <v>307</v>
      </c>
      <c r="D423" s="1263" t="s">
        <v>1882</v>
      </c>
      <c r="E423" s="1263"/>
      <c r="F423" s="1263"/>
      <c r="I423" s="490"/>
    </row>
    <row r="424" spans="1:9" ht="14.75" customHeight="1">
      <c r="A424" s="484"/>
      <c r="D424" s="1263"/>
      <c r="E424" s="1263"/>
      <c r="F424" s="1263"/>
      <c r="I424" s="490"/>
    </row>
    <row r="425" spans="1:9" ht="14.75" customHeight="1">
      <c r="A425" s="484"/>
      <c r="D425" s="1263"/>
      <c r="E425" s="1263"/>
      <c r="F425" s="1263"/>
      <c r="I425" s="490"/>
    </row>
    <row r="426" spans="1:9" ht="14.75" customHeight="1">
      <c r="A426" s="484"/>
      <c r="D426" s="1263"/>
      <c r="E426" s="1263"/>
      <c r="F426" s="1263"/>
      <c r="I426" s="490"/>
    </row>
    <row r="427" spans="1:9" ht="14.75" customHeight="1">
      <c r="A427" s="484"/>
      <c r="D427" s="1263"/>
      <c r="E427" s="1263"/>
      <c r="F427" s="1263"/>
      <c r="I427" s="490"/>
    </row>
    <row r="428" spans="1:9" ht="14.75" customHeight="1">
      <c r="A428" s="484"/>
      <c r="D428" s="385"/>
      <c r="E428" s="385"/>
      <c r="F428" s="385"/>
      <c r="I428" s="490"/>
    </row>
    <row r="429" spans="1:9" ht="14" customHeight="1">
      <c r="A429" s="484"/>
      <c r="B429" s="485" t="s">
        <v>307</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c r="A435" s="484"/>
      <c r="B435" s="485" t="s">
        <v>307</v>
      </c>
      <c r="C435" s="487"/>
      <c r="D435" s="1283" t="s">
        <v>2059</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1" customHeight="1">
      <c r="D465" s="1283"/>
      <c r="E465" s="1283"/>
      <c r="F465" s="1283"/>
      <c r="I465" s="490"/>
    </row>
    <row r="466" spans="1:9">
      <c r="D466" s="446"/>
      <c r="E466" s="446"/>
      <c r="F466" s="446"/>
      <c r="I466" s="490"/>
    </row>
    <row r="467" spans="1:9">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307</v>
      </c>
      <c r="C471" s="484"/>
      <c r="D471" s="1283" t="s">
        <v>1198</v>
      </c>
      <c r="E471" s="1283"/>
      <c r="F471" s="1283"/>
      <c r="I471" s="490"/>
    </row>
    <row r="472" spans="1:9">
      <c r="D472" s="1283"/>
      <c r="E472" s="1283"/>
      <c r="F472" s="1283"/>
      <c r="I472" s="490"/>
    </row>
    <row r="473" spans="1:9">
      <c r="D473" s="446"/>
      <c r="E473" s="446"/>
      <c r="F473" s="446"/>
      <c r="I473" s="490"/>
    </row>
    <row r="474" spans="1:9">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307</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307</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307</v>
      </c>
      <c r="D509" s="1284" t="s">
        <v>1144</v>
      </c>
      <c r="E509" s="1284"/>
      <c r="F509" s="1284"/>
      <c r="I509" s="490"/>
    </row>
    <row r="510" spans="1:9">
      <c r="A510" s="484"/>
      <c r="B510" s="484"/>
      <c r="D510" s="446"/>
      <c r="I510" s="490"/>
    </row>
    <row r="511" spans="1:9">
      <c r="A511" s="484"/>
      <c r="B511" s="485" t="s">
        <v>307</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4"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4" customHeight="1">
      <c r="A548" s="484"/>
      <c r="B548" s="485" t="s">
        <v>307</v>
      </c>
      <c r="C548" s="487"/>
      <c r="D548" s="1284" t="s">
        <v>885</v>
      </c>
      <c r="E548" s="1284"/>
      <c r="F548" s="1284"/>
      <c r="I548" s="490"/>
    </row>
    <row r="549" spans="1:9" ht="14" customHeight="1">
      <c r="A549" s="487"/>
      <c r="B549" s="487"/>
      <c r="C549" s="487"/>
      <c r="D549" s="446"/>
      <c r="I549" s="490"/>
    </row>
    <row r="550" spans="1:9">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c r="A572" s="484"/>
      <c r="B572" s="484"/>
      <c r="C572" s="487"/>
      <c r="E572" s="446"/>
      <c r="F572" s="446"/>
      <c r="I572" s="490"/>
    </row>
    <row r="573" spans="1:9">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307</v>
      </c>
      <c r="C578" s="487"/>
      <c r="D578" s="1283" t="s">
        <v>2063</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307</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7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307</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307</v>
      </c>
      <c r="C698" s="483"/>
      <c r="D698" s="1284" t="s">
        <v>2469</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4"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307</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307</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307</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307</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307</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06" zoomScale="130" zoomScaleNormal="130" workbookViewId="0">
      <selection activeCell="AM559" sqref="AM559:AS55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33203125" hidden="1" customWidth="1"/>
    <col min="59" max="59" width="11.33203125" hidden="1" customWidth="1"/>
    <col min="60" max="60" width="3.6640625" hidden="1" customWidth="1"/>
    <col min="61" max="61" width="8.33203125" hidden="1" customWidth="1"/>
    <col min="62" max="16384" width="3.6640625" hidden="1"/>
  </cols>
  <sheetData>
    <row r="1" spans="1:58" ht="13.25" customHeight="1">
      <c r="J1" s="100"/>
      <c r="AS1" s="1031">
        <v>4</v>
      </c>
      <c r="BD1" s="3" t="s">
        <v>2497</v>
      </c>
      <c r="BE1" s="3"/>
      <c r="BF1" s="3"/>
    </row>
    <row r="2" spans="1:58" ht="13.25" customHeight="1">
      <c r="BD2" s="3" t="s">
        <v>2498</v>
      </c>
      <c r="BE2" s="3" t="s">
        <v>2499</v>
      </c>
      <c r="BF2" s="3" t="s">
        <v>2500</v>
      </c>
    </row>
    <row r="3" spans="1:58" ht="13.25" customHeight="1">
      <c r="BD3" s="3" t="s">
        <v>2595</v>
      </c>
      <c r="BE3" t="str">
        <f>AC220</f>
        <v xml:space="preserve">Coastal (Monterey, Napa, Orange, San Benito, San Diego, San Luis Obispo, Santa Barbara, Sonoma, and Ventura Counties) </v>
      </c>
    </row>
    <row r="4" spans="1:58" ht="13.25" customHeight="1">
      <c r="BD4" s="3" t="s">
        <v>2507</v>
      </c>
      <c r="BE4" s="1246"/>
    </row>
    <row r="5" spans="1:58" ht="13.25" customHeight="1">
      <c r="BD5" s="3" t="s">
        <v>2508</v>
      </c>
      <c r="BE5">
        <f>SUMIF($AC$718:$AC$752,"&lt;=20%",$G$718:G$752)</f>
        <v>0</v>
      </c>
      <c r="BF5" s="3" t="s">
        <v>2513</v>
      </c>
    </row>
    <row r="6" spans="1:58" ht="13.25" customHeight="1">
      <c r="BD6" s="3" t="s">
        <v>2509</v>
      </c>
      <c r="BE6" s="1249">
        <f>SUMIF($AC$718:$AC$752,"&lt;=25%",$G$718:G$752)-SUM($BE$5:BE5)</f>
        <v>0</v>
      </c>
    </row>
    <row r="7" spans="1:58" ht="13.25" customHeight="1">
      <c r="BD7" s="1247" t="s">
        <v>2501</v>
      </c>
      <c r="BE7" s="1249">
        <f>SUMIF($AC$718:$AC$752,"&lt;=30%",$G$718:G$752)-SUM($BE$5:BE6)</f>
        <v>9</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2510</v>
      </c>
      <c r="BE8" s="1249">
        <f>SUMIF($AC$718:$AC$752,"&lt;=35%",$G$718:G$752)-SUM($BE$5:BE7)</f>
        <v>0</v>
      </c>
    </row>
    <row r="9" spans="1:58" ht="13.25" customHeight="1">
      <c r="A9" s="1836" t="s">
        <v>2077</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2502</v>
      </c>
      <c r="BE9" s="1249">
        <f>SUMIF($AC$718:$AC$752,"&lt;=40%",$G$718:G$752)-SUM($BE$5:BE8)</f>
        <v>0</v>
      </c>
    </row>
    <row r="10" spans="1:58" ht="13.25" customHeight="1">
      <c r="A10" s="1836" t="s">
        <v>2459</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2511</v>
      </c>
      <c r="BE10" s="1249">
        <f>SUMIF($AC$718:$AC$752,"&lt;=45%",$G$718:G$752)-SUM($BE$5:BE9)</f>
        <v>0</v>
      </c>
    </row>
    <row r="11" spans="1:58" ht="13.25" customHeight="1">
      <c r="A11" s="1836" t="s">
        <v>2605</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2503</v>
      </c>
      <c r="BE11" s="1249">
        <f>SUMIF($AC$718:$AC$752,"&lt;=50%",$G$718:G$752)-SUM($BE$5:BE10)</f>
        <v>35</v>
      </c>
    </row>
    <row r="12" spans="1:58" ht="13.25" customHeight="1">
      <c r="A12" s="1837" t="s">
        <v>2611</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2512</v>
      </c>
      <c r="BE12" s="1249">
        <f>SUMIF($AC$718:$AC$752,"&lt;=55%",$G$718:G$752)-SUM($BE$5:BE11)</f>
        <v>0</v>
      </c>
    </row>
    <row r="13" spans="1:58" ht="13.2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7</v>
      </c>
    </row>
    <row r="14" spans="1:58" ht="13.2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3.2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26</v>
      </c>
    </row>
    <row r="16" spans="1:58" ht="13.25" customHeight="1">
      <c r="A16" s="57" t="s">
        <v>2079</v>
      </c>
      <c r="C16" s="4"/>
      <c r="D16" s="4"/>
      <c r="E16" s="4"/>
      <c r="F16" s="4"/>
      <c r="G16" s="4"/>
      <c r="H16" s="1566"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5th Ave &amp; Robinson</v>
      </c>
    </row>
    <row r="17" spans="1:58" ht="13.25" customHeight="1">
      <c r="BD17" s="1247" t="s">
        <v>2519</v>
      </c>
      <c r="BE17" s="1249">
        <f>Application!AA934</f>
        <v>0</v>
      </c>
    </row>
    <row r="18" spans="1:58" ht="13.25" customHeight="1">
      <c r="A18" s="57" t="s">
        <v>101</v>
      </c>
      <c r="C18" s="4"/>
      <c r="D18" s="4"/>
      <c r="E18" s="4"/>
      <c r="F18" s="4"/>
      <c r="G18" s="4"/>
      <c r="H18" s="1523" t="s">
        <v>2704</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3.25" customHeight="1">
      <c r="BD19" s="1247" t="s">
        <v>2521</v>
      </c>
      <c r="BE19" s="1249">
        <f>Application!M26</f>
        <v>2150543</v>
      </c>
    </row>
    <row r="20" spans="1:58" ht="13.25" customHeight="1">
      <c r="A20" s="1838" t="s">
        <v>874</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2522</v>
      </c>
      <c r="BE20" s="1249">
        <f>Application!M27</f>
        <v>0</v>
      </c>
    </row>
    <row r="21" spans="1:58" ht="13.25"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12456000</v>
      </c>
    </row>
    <row r="22" spans="1:58" ht="13.2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46016622</v>
      </c>
      <c r="BF22" s="3" t="s">
        <v>2596</v>
      </c>
    </row>
    <row r="23" spans="1:58" ht="13.2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67500</v>
      </c>
    </row>
    <row r="24" spans="1:58" ht="13.2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77637</v>
      </c>
    </row>
    <row r="25" spans="1:58" ht="13.2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3.25" customHeight="1">
      <c r="A26" s="4"/>
      <c r="C26" s="4"/>
      <c r="D26" s="4"/>
      <c r="E26" s="4"/>
      <c r="F26" s="4"/>
      <c r="G26" s="4"/>
      <c r="H26" s="4"/>
      <c r="I26" s="4"/>
      <c r="J26" s="4"/>
      <c r="K26" s="4"/>
      <c r="L26" s="4"/>
      <c r="M26" s="1840">
        <f>'Basis &amp; Credits'!AB56</f>
        <v>2150543</v>
      </c>
      <c r="N26" s="1840"/>
      <c r="O26" s="1840"/>
      <c r="P26" s="1840"/>
      <c r="Q26" s="1840"/>
      <c r="R26" s="4" t="s">
        <v>760</v>
      </c>
      <c r="S26" s="4"/>
      <c r="T26" s="4"/>
      <c r="U26" s="4"/>
      <c r="V26" s="4"/>
      <c r="W26" s="4"/>
      <c r="X26" s="4"/>
      <c r="Y26" s="4"/>
      <c r="Z26" s="4"/>
      <c r="AF26" s="4"/>
      <c r="AG26" s="4"/>
      <c r="AH26" s="4"/>
      <c r="AI26" s="4"/>
      <c r="AJ26" s="4"/>
      <c r="AK26" s="4"/>
      <c r="BD26" s="1248" t="s">
        <v>1640</v>
      </c>
      <c r="BE26" s="1249" t="b">
        <f>Application!M356="Yes"</f>
        <v>0</v>
      </c>
    </row>
    <row r="27" spans="1:58" ht="13.2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3.2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25"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0</v>
      </c>
    </row>
    <row r="30" spans="1:58" ht="13.2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1</v>
      </c>
    </row>
    <row r="31" spans="1:58" ht="13.2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Non-Targeted</v>
      </c>
    </row>
    <row r="32" spans="1:58" ht="13.2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25" customHeight="1">
      <c r="A33" s="519" t="s">
        <v>1279</v>
      </c>
      <c r="C33" s="519"/>
      <c r="D33" s="519"/>
      <c r="E33" s="519"/>
      <c r="F33" s="519"/>
      <c r="G33" s="519"/>
      <c r="H33" s="519"/>
      <c r="I33" s="519"/>
      <c r="J33" s="519"/>
      <c r="K33" s="519"/>
      <c r="L33" s="519"/>
      <c r="M33" s="519"/>
      <c r="N33" s="519"/>
      <c r="O33" s="1415" t="s">
        <v>670</v>
      </c>
      <c r="P33" s="1415"/>
      <c r="Q33" s="1839" t="s">
        <v>2149</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2597</v>
      </c>
      <c r="BE33" s="1249" t="str">
        <f>Application!D220</f>
        <v>San Diego County</v>
      </c>
    </row>
    <row r="34" spans="1:57" ht="13.25"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3774 &amp; 3780 Fifth Avenue</v>
      </c>
    </row>
    <row r="35" spans="1:57" ht="13.2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3.2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San Diego</v>
      </c>
    </row>
    <row r="37" spans="1:57" ht="13.2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San Diego</v>
      </c>
    </row>
    <row r="38" spans="1:57" ht="13.25" customHeight="1">
      <c r="A38" s="3"/>
      <c r="AZ38" s="20"/>
      <c r="BD38" s="1248" t="s">
        <v>2535</v>
      </c>
      <c r="BE38" s="1249">
        <f>Application!I190</f>
        <v>92103</v>
      </c>
    </row>
    <row r="39" spans="1:57" ht="13.2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78</v>
      </c>
    </row>
    <row r="40" spans="1:57" ht="13.2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77</v>
      </c>
    </row>
    <row r="41" spans="1:57" ht="13.2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2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0.58701298701298699</v>
      </c>
    </row>
    <row r="43" spans="1:57" ht="13.2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0.58700859831431829</v>
      </c>
    </row>
    <row r="44" spans="1:57" ht="13.2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589956.69230769225</v>
      </c>
    </row>
    <row r="45" spans="1:57" ht="13.2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2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2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2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 xml:space="preserve">Interfaith Development Corporation </v>
      </c>
    </row>
    <row r="49" spans="1:57" ht="13.2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 xml:space="preserve">Matthew Jumper </v>
      </c>
    </row>
    <row r="50" spans="1:57" ht="13.2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3.2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f>Application!M251</f>
        <v>0</v>
      </c>
    </row>
    <row r="52" spans="1:57" ht="13.2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3.2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2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2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2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2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Rise Urban Partners, LLC</v>
      </c>
    </row>
    <row r="58" spans="1:57" ht="13.2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3525 Del Mar Heights Rd #211</v>
      </c>
    </row>
    <row r="59" spans="1:57" ht="13.2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Diego, CA 92130</v>
      </c>
    </row>
    <row r="60" spans="1:57" ht="13.2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Robert Morgan</v>
      </c>
    </row>
    <row r="61" spans="1:57" ht="13.2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rob@trestlebuild.com</v>
      </c>
    </row>
    <row r="62" spans="1:57" ht="13.2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0.83</v>
      </c>
    </row>
    <row r="63" spans="1:57" ht="13.2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2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25"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2594</v>
      </c>
      <c r="BE65" s="1249" t="str">
        <f>Z205</f>
        <v>15% set-aside</v>
      </c>
    </row>
    <row r="66" spans="1:57" ht="13.2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2559</v>
      </c>
      <c r="BE66" s="1249" t="b">
        <f>Application!Z205="State Farmworker Credit"</f>
        <v>0</v>
      </c>
    </row>
    <row r="67" spans="1:57" ht="13.2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2560</v>
      </c>
      <c r="BE67" s="1249" t="b">
        <f>Application!O33="Yes"</f>
        <v>0</v>
      </c>
    </row>
    <row r="68" spans="1:57" ht="13.2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1182000</v>
      </c>
    </row>
    <row r="69" spans="1:57" ht="13.25"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2562</v>
      </c>
      <c r="BE69" s="1249" t="str">
        <f>Application!W700</f>
        <v>California Municipal Finance Authority</v>
      </c>
    </row>
    <row r="70" spans="1:57" ht="13.2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2563</v>
      </c>
      <c r="BE70" s="1249">
        <f ca="1">'Points System'!AF821</f>
        <v>119</v>
      </c>
    </row>
    <row r="71" spans="1:57" ht="13.2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25"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10</v>
      </c>
    </row>
    <row r="73" spans="1:57" ht="13.2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 ca="1">'Points System'!AF806</f>
        <v>20</v>
      </c>
    </row>
    <row r="74" spans="1:57" ht="13.2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25"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2568</v>
      </c>
      <c r="BE75" s="1249">
        <f>'Points System'!AF808</f>
        <v>10</v>
      </c>
    </row>
    <row r="76" spans="1:57" ht="13.2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2569</v>
      </c>
      <c r="BE76" s="1249">
        <f>'Points System'!AF811</f>
        <v>10</v>
      </c>
    </row>
    <row r="77" spans="1:57" ht="13.2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2570</v>
      </c>
      <c r="BE77" s="1249">
        <f>'Points System'!AF812</f>
        <v>8</v>
      </c>
    </row>
    <row r="78" spans="1:57" ht="13.2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25"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2572</v>
      </c>
      <c r="BE79" s="1249">
        <f>'Points System'!AF815</f>
        <v>9</v>
      </c>
    </row>
    <row r="80" spans="1:57" ht="13.2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2573</v>
      </c>
      <c r="BE80" s="1249">
        <f>'Points System'!AF817</f>
        <v>10</v>
      </c>
    </row>
    <row r="81" spans="1:57" ht="13.2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2574</v>
      </c>
      <c r="BE81" s="1249">
        <f>'Points System'!AF818</f>
        <v>12</v>
      </c>
    </row>
    <row r="82" spans="1:57" ht="13.2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2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1.8508169205249578</v>
      </c>
    </row>
    <row r="84" spans="1:57" ht="13.2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San Diego Housing Commission</v>
      </c>
    </row>
    <row r="85" spans="1:57" ht="13.2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Colin Miller</v>
      </c>
    </row>
    <row r="86" spans="1:57" ht="13.2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2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1122 Broadway</v>
      </c>
    </row>
    <row r="88" spans="1:57" ht="13.2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San Diego</v>
      </c>
    </row>
    <row r="89" spans="1:57" ht="13.25"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2582</v>
      </c>
      <c r="BE89" s="1249">
        <f>Application!O158</f>
        <v>92101</v>
      </c>
    </row>
    <row r="90" spans="1:57" ht="13.2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2583</v>
      </c>
      <c r="BE90" s="1249" t="str">
        <f>Application!H16</f>
        <v>Rise Urban Partners, LLC</v>
      </c>
    </row>
    <row r="91" spans="1:57" ht="13.2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3525 Del Mar Heights Rd #211</v>
      </c>
    </row>
    <row r="92" spans="1:57" ht="13.25"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2585</v>
      </c>
      <c r="BE92" s="1249" t="str">
        <f>Application!M234</f>
        <v>San Diego</v>
      </c>
    </row>
    <row r="93" spans="1:57" ht="13.2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2586</v>
      </c>
      <c r="BE93" s="1249" t="str">
        <f>Application!W234</f>
        <v>CA</v>
      </c>
    </row>
    <row r="94" spans="1:57" ht="13.2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2587</v>
      </c>
      <c r="BE94" s="1249">
        <f>Application!AC234</f>
        <v>92130</v>
      </c>
    </row>
    <row r="95" spans="1:57" ht="13.2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2588</v>
      </c>
      <c r="BE95" s="1249" t="str">
        <f>Application!M235</f>
        <v>Robert Morgan</v>
      </c>
    </row>
    <row r="96" spans="1:57" ht="13.2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2589</v>
      </c>
      <c r="BE96" s="1249" t="str">
        <f>Application!M237</f>
        <v>rob@trestlebuild.com</v>
      </c>
    </row>
    <row r="97" spans="1:57" ht="13.2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2590</v>
      </c>
      <c r="BE97" s="1249" t="str">
        <f>Application!M248</f>
        <v>mjumper@sdihf.org</v>
      </c>
    </row>
    <row r="98" spans="1:57" ht="13.2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2591</v>
      </c>
      <c r="BE98" s="1249">
        <f>Application!M256</f>
        <v>0</v>
      </c>
    </row>
    <row r="99" spans="1:57" ht="13.2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25"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2593</v>
      </c>
      <c r="BE100" s="1249">
        <f>Application!L279</f>
        <v>0</v>
      </c>
    </row>
    <row r="101" spans="1:57" ht="13.2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2598</v>
      </c>
      <c r="BE101">
        <f>'Sources and Uses Budget'!C105</f>
        <v>44834622</v>
      </c>
    </row>
    <row r="102" spans="1:57" ht="13.2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2599</v>
      </c>
      <c r="BE102" t="b">
        <f>T197="Yes"</f>
        <v>0</v>
      </c>
    </row>
    <row r="103" spans="1:57" ht="13.2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0</v>
      </c>
    </row>
    <row r="104" spans="1:57" ht="13.2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25"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2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2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2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2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2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2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2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25" customHeight="1">
      <c r="A113" s="289"/>
      <c r="C113" s="3" t="s">
        <v>181</v>
      </c>
      <c r="G113" s="1547">
        <v>5</v>
      </c>
      <c r="H113" s="1547"/>
      <c r="I113" s="3" t="s">
        <v>182</v>
      </c>
      <c r="L113" s="1547" t="s">
        <v>2740</v>
      </c>
      <c r="M113" s="1547"/>
      <c r="N113" s="1547"/>
      <c r="O113" s="1547"/>
      <c r="P113" s="1561" t="s">
        <v>2240</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2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25" customHeight="1">
      <c r="A115" s="91"/>
      <c r="C115" s="1548" t="s">
        <v>2741</v>
      </c>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2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25"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3.25" customHeight="1">
      <c r="X118" s="3"/>
      <c r="Y118" s="3"/>
      <c r="Z118" s="3" t="s">
        <v>630</v>
      </c>
      <c r="AA118" s="3"/>
      <c r="AB118" s="3"/>
      <c r="AC118" s="3"/>
      <c r="AD118" s="3"/>
      <c r="AE118" s="3"/>
      <c r="AF118" s="3"/>
      <c r="AG118" s="3"/>
      <c r="AH118" s="3"/>
      <c r="AI118" s="3"/>
      <c r="AJ118" s="3"/>
      <c r="AK118" s="3"/>
    </row>
    <row r="119" spans="1:117" ht="13.2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91"/>
      <c r="B120" s="3"/>
      <c r="P120" s="3"/>
      <c r="Q120" s="3"/>
      <c r="R120" s="3"/>
      <c r="S120" s="3"/>
      <c r="T120" s="3"/>
      <c r="U120" s="3"/>
      <c r="V120" s="3"/>
      <c r="W120" s="3"/>
      <c r="X120" s="3"/>
      <c r="Y120" s="1547" t="s">
        <v>2738</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3" t="s">
        <v>470</v>
      </c>
      <c r="CV122" s="1694"/>
      <c r="CW122" s="14"/>
      <c r="CX122" s="14" t="s">
        <v>635</v>
      </c>
      <c r="CY122" s="14"/>
      <c r="CZ122" s="14"/>
      <c r="DA122" s="14"/>
      <c r="DB122" s="14"/>
      <c r="DC122" s="14"/>
      <c r="DD122" s="14"/>
      <c r="DE122" s="14"/>
      <c r="DF122" s="14"/>
      <c r="DG122" s="1690" t="str">
        <f>T189</f>
        <v>San Diego</v>
      </c>
      <c r="DH122" s="1691"/>
      <c r="DI122" s="1691"/>
      <c r="DJ122" s="1691"/>
      <c r="DK122" s="1691"/>
      <c r="DL122" s="1691"/>
      <c r="DM122" s="1692"/>
    </row>
    <row r="123" spans="1:117" ht="13.25" customHeight="1">
      <c r="A123" s="3"/>
      <c r="B123" s="3"/>
      <c r="T123" s="3"/>
      <c r="U123" s="3"/>
      <c r="V123" s="3"/>
      <c r="W123" s="3"/>
      <c r="X123" s="3"/>
      <c r="Y123" s="1547" t="s">
        <v>2739</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2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25" customHeight="1">
      <c r="A128" s="354"/>
      <c r="AL128" s="354"/>
      <c r="AM128" s="354"/>
      <c r="AN128" s="354"/>
      <c r="AO128" s="354"/>
      <c r="AP128" s="354"/>
      <c r="AQ128" s="354"/>
      <c r="AR128" s="354"/>
      <c r="AS128" s="354"/>
      <c r="AT128" s="354"/>
      <c r="AU128" s="354"/>
      <c r="AV128" s="354"/>
      <c r="AW128" s="354"/>
      <c r="AX128" s="354"/>
      <c r="AY128" s="354"/>
    </row>
    <row r="129" spans="1:51" ht="13.2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2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2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2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2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2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2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2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2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2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2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25" customHeight="1">
      <c r="BM152">
        <v>4</v>
      </c>
      <c r="BN152" s="3" t="s">
        <v>2465</v>
      </c>
    </row>
    <row r="153" spans="1:108" ht="13.25" customHeight="1">
      <c r="D153" t="s">
        <v>646</v>
      </c>
      <c r="O153" s="1526" t="s">
        <v>2614</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3.25" customHeight="1">
      <c r="D154" s="303" t="s">
        <v>440</v>
      </c>
      <c r="O154" s="1471"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3.25"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3.25" customHeight="1">
      <c r="D156" t="s">
        <v>313</v>
      </c>
      <c r="O156" s="1407"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25" customHeight="1">
      <c r="D157" t="s">
        <v>314</v>
      </c>
      <c r="O157" s="1526" t="s">
        <v>730</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25" customHeight="1">
      <c r="D158" t="s">
        <v>315</v>
      </c>
      <c r="O158" s="1557">
        <v>92101</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25" customHeight="1" thickBot="1">
      <c r="D159" t="s">
        <v>316</v>
      </c>
      <c r="O159" s="1552" t="s">
        <v>2617</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25"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25" customHeight="1">
      <c r="D161" t="s">
        <v>318</v>
      </c>
      <c r="O161" s="1540" t="s">
        <v>2618</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2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2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25"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2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2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2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2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2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2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2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2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2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25" customHeight="1">
      <c r="C174" s="24"/>
      <c r="D174" s="3" t="s">
        <v>1203</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25" customHeight="1">
      <c r="C175" s="8"/>
      <c r="D175" s="3" t="s">
        <v>322</v>
      </c>
      <c r="O175" s="27"/>
      <c r="U175" s="1415"/>
      <c r="V175" s="1415"/>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25" customHeight="1">
      <c r="C176" s="8"/>
      <c r="D176" s="26"/>
      <c r="E176" t="s">
        <v>304</v>
      </c>
      <c r="O176" s="27"/>
      <c r="P176" t="s">
        <v>2080</v>
      </c>
      <c r="T176" s="27" t="s">
        <v>305</v>
      </c>
      <c r="U176" s="1509"/>
      <c r="V176" s="1509"/>
      <c r="W176" s="1" t="s">
        <v>306</v>
      </c>
      <c r="X176" s="1565"/>
      <c r="Y176" s="1565"/>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25" customHeight="1">
      <c r="C177" s="24"/>
      <c r="D177" t="s">
        <v>249</v>
      </c>
      <c r="R177" s="1415" t="s">
        <v>670</v>
      </c>
      <c r="S177" s="1415"/>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25" customHeight="1">
      <c r="C178" s="24"/>
      <c r="D178" s="3" t="s">
        <v>1204</v>
      </c>
      <c r="AA178" t="s">
        <v>2080</v>
      </c>
      <c r="AE178" s="27" t="s">
        <v>305</v>
      </c>
      <c r="AF178" s="1564"/>
      <c r="AG178" s="1564"/>
      <c r="AH178" s="1" t="s">
        <v>306</v>
      </c>
      <c r="AI178" s="1446"/>
      <c r="AJ178" s="1446"/>
      <c r="AK178" s="144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2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25" customHeight="1">
      <c r="C180" s="24"/>
      <c r="D180" t="s">
        <v>2081</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2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2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2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25" customHeight="1">
      <c r="C184" s="21"/>
      <c r="D184" t="s">
        <v>579</v>
      </c>
      <c r="I184" s="1483" t="str">
        <f>H18</f>
        <v>5th Ave &amp; Robinson</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25" customHeight="1">
      <c r="C185" s="21"/>
      <c r="D185" t="s">
        <v>580</v>
      </c>
      <c r="I185" s="1371" t="s">
        <v>2619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2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2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2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25" customHeight="1">
      <c r="C189" s="21"/>
      <c r="D189" t="s">
        <v>581</v>
      </c>
      <c r="I189" s="1523" t="s">
        <v>730</v>
      </c>
      <c r="J189" s="1407"/>
      <c r="K189" s="1407"/>
      <c r="L189" s="1407"/>
      <c r="M189" s="1407"/>
      <c r="N189" s="1407"/>
      <c r="O189" s="1407"/>
      <c r="P189" s="1407"/>
      <c r="Q189" t="s">
        <v>583</v>
      </c>
      <c r="T189" s="1407" t="s">
        <v>730</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25" customHeight="1">
      <c r="C190" s="21"/>
      <c r="D190" t="s">
        <v>584</v>
      </c>
      <c r="I190" s="1371">
        <v>92103</v>
      </c>
      <c r="J190" s="1371"/>
      <c r="K190" s="1371"/>
      <c r="L190" s="1371"/>
      <c r="M190" s="1371"/>
      <c r="N190" s="1371"/>
      <c r="O190" t="s">
        <v>586</v>
      </c>
      <c r="T190" s="1555">
        <v>3.02</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25" customHeight="1">
      <c r="C191" s="21"/>
      <c r="D191" t="s">
        <v>463</v>
      </c>
      <c r="N191" s="1530" t="s">
        <v>2620</v>
      </c>
      <c r="O191" s="1530"/>
      <c r="P191" s="1530"/>
      <c r="Q191" s="1530"/>
      <c r="R191" s="1530"/>
      <c r="S191" s="1530"/>
      <c r="T191" s="1530"/>
      <c r="U191" s="1530"/>
      <c r="V191" s="1530"/>
      <c r="W191" s="1530"/>
      <c r="X191" s="1530"/>
      <c r="Y191" s="1530"/>
      <c r="Z191" s="1530"/>
      <c r="AA191" s="1530"/>
      <c r="AB191" s="1530"/>
      <c r="AC191" s="1530"/>
      <c r="AD191" s="1530"/>
      <c r="AE191" s="153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2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25" customHeight="1">
      <c r="C193" s="21"/>
      <c r="D193" t="s">
        <v>2082</v>
      </c>
      <c r="M193" s="40"/>
      <c r="N193" s="894"/>
      <c r="O193" s="894"/>
      <c r="P193" s="894"/>
      <c r="Q193" s="894"/>
      <c r="R193" s="894"/>
      <c r="S193" s="894"/>
      <c r="T193" s="1559" t="s">
        <v>1938</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25" customHeight="1">
      <c r="C194" s="21"/>
      <c r="D194" s="3" t="s">
        <v>2216</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25" customHeight="1">
      <c r="C195" s="21"/>
      <c r="D195" t="s">
        <v>331</v>
      </c>
      <c r="T195" s="1415" t="s">
        <v>546</v>
      </c>
      <c r="U195" s="1415"/>
      <c r="W195" t="s">
        <v>685</v>
      </c>
      <c r="AH195" s="1415">
        <v>50</v>
      </c>
      <c r="AI195" s="1415"/>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25" customHeight="1">
      <c r="C196" s="21"/>
      <c r="D196" t="s">
        <v>386</v>
      </c>
      <c r="T196" s="1427" t="s">
        <v>670</v>
      </c>
      <c r="U196" s="1427"/>
      <c r="W196" t="s">
        <v>686</v>
      </c>
      <c r="AH196" s="1415">
        <v>78</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25" customHeight="1">
      <c r="C197" s="21"/>
      <c r="D197" s="3" t="s">
        <v>169</v>
      </c>
      <c r="T197" s="1427" t="s">
        <v>670</v>
      </c>
      <c r="U197" s="1427"/>
      <c r="W197" t="s">
        <v>687</v>
      </c>
      <c r="AH197" s="1415">
        <v>39</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25" customHeight="1">
      <c r="A198"/>
      <c r="B198"/>
      <c r="C198" s="21"/>
      <c r="D198" s="3" t="s">
        <v>1653</v>
      </c>
      <c r="E198"/>
      <c r="F198"/>
      <c r="G198"/>
      <c r="H198"/>
      <c r="I198"/>
      <c r="J198"/>
      <c r="K198"/>
      <c r="L198"/>
      <c r="M198"/>
      <c r="N198"/>
      <c r="O198"/>
      <c r="P198"/>
      <c r="Q198"/>
      <c r="R198"/>
      <c r="S198"/>
      <c r="T198" s="1427">
        <v>0</v>
      </c>
      <c r="U198" s="1427"/>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25" customHeight="1">
      <c r="A199"/>
      <c r="B199"/>
      <c r="C199" s="21"/>
      <c r="D199" s="118" t="s">
        <v>2517</v>
      </c>
      <c r="E199"/>
      <c r="F199"/>
      <c r="G199"/>
      <c r="H199"/>
      <c r="I199"/>
      <c r="J199"/>
      <c r="K199"/>
      <c r="L199"/>
      <c r="M199"/>
      <c r="N199"/>
      <c r="O199"/>
      <c r="P199"/>
      <c r="Q199"/>
      <c r="R199"/>
      <c r="S199"/>
      <c r="T199" s="1415" t="s">
        <v>670</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25" customHeight="1">
      <c r="A200"/>
      <c r="B200"/>
      <c r="C200" s="21"/>
      <c r="D200" s="14" t="s">
        <v>2515</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2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2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2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25" customHeight="1">
      <c r="D204" s="1483" t="s">
        <v>385</v>
      </c>
      <c r="E204" s="1483"/>
      <c r="F204" s="1483"/>
      <c r="G204" s="1483"/>
      <c r="H204" s="1483"/>
      <c r="I204" s="1483"/>
      <c r="J204" s="1483"/>
      <c r="K204" s="1483"/>
      <c r="L204" s="1483"/>
      <c r="M204" s="1483"/>
      <c r="P204" s="1550">
        <f>M26</f>
        <v>2150543</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25" customHeight="1">
      <c r="C205" s="21"/>
      <c r="D205" s="1538" t="s">
        <v>1248</v>
      </c>
      <c r="E205" s="1483"/>
      <c r="F205" s="1483"/>
      <c r="G205" s="1483"/>
      <c r="H205" s="1483"/>
      <c r="I205" s="1483"/>
      <c r="J205" s="1483"/>
      <c r="K205" s="1483"/>
      <c r="L205" s="1483"/>
      <c r="M205" s="1483"/>
      <c r="P205" s="1551">
        <f>M27</f>
        <v>0</v>
      </c>
      <c r="Q205" s="1551"/>
      <c r="R205" s="1551"/>
      <c r="S205" s="1551"/>
      <c r="T205" s="1551"/>
      <c r="U205" s="1551"/>
      <c r="V205" s="28"/>
      <c r="W205" s="3" t="s">
        <v>1721</v>
      </c>
      <c r="Z205" s="1534" t="s">
        <v>2221</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2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2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25" customHeight="1">
      <c r="C208" s="21"/>
      <c r="D208" s="1526" t="s">
        <v>2734</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2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2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25" customHeight="1">
      <c r="C211" s="21"/>
      <c r="D211" s="1526" t="s">
        <v>1857</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25" customHeight="1">
      <c r="C212" s="21"/>
      <c r="D212" s="3" t="s">
        <v>2231</v>
      </c>
      <c r="Q212" s="1415"/>
      <c r="R212" s="1415"/>
      <c r="T212" s="1562">
        <f>IFERROR(Q212/AG440,0)</f>
        <v>0</v>
      </c>
      <c r="U212" s="1563"/>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2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2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2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2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2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25" customHeight="1">
      <c r="A218" s="2" t="s">
        <v>593</v>
      </c>
      <c r="C218" s="2" t="s">
        <v>2234</v>
      </c>
      <c r="D218" s="28"/>
      <c r="AC218" s="2" t="s">
        <v>2463</v>
      </c>
      <c r="BC218" t="s">
        <v>530</v>
      </c>
    </row>
    <row r="219" spans="1:108" ht="13.25" customHeight="1">
      <c r="A219" s="2"/>
      <c r="C219" s="2"/>
      <c r="D219" s="3" t="s">
        <v>2464</v>
      </c>
      <c r="AZ219" s="3"/>
      <c r="BA219" s="3"/>
      <c r="BC219" t="s">
        <v>377</v>
      </c>
    </row>
    <row r="220" spans="1:108" ht="13.25" customHeight="1">
      <c r="A220" s="2"/>
      <c r="C220" s="2"/>
      <c r="D220" s="1526" t="s">
        <v>612</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2465</v>
      </c>
      <c r="AD220" s="1537"/>
      <c r="AE220" s="1537"/>
      <c r="AF220" s="1537"/>
      <c r="AG220" s="1537"/>
      <c r="AH220" s="1537"/>
      <c r="AI220" s="1537"/>
      <c r="AJ220" s="1537"/>
      <c r="AK220" s="1537"/>
      <c r="AL220" s="1537"/>
      <c r="AM220" s="1537"/>
      <c r="AN220" s="1537"/>
      <c r="AO220" s="1537"/>
      <c r="AP220" s="1537"/>
      <c r="AQ220" s="1537"/>
      <c r="BA220" s="3"/>
      <c r="BC220" t="s">
        <v>300</v>
      </c>
    </row>
    <row r="221" spans="1:108" ht="13.25" customHeight="1">
      <c r="A221" s="2"/>
      <c r="B221" s="14"/>
      <c r="C221" s="2"/>
      <c r="BA221" s="3"/>
    </row>
    <row r="222" spans="1:108" ht="13.2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2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25" customHeight="1">
      <c r="AZ224" s="4"/>
      <c r="BA224" s="3"/>
      <c r="BB224" s="3"/>
      <c r="BQ224" s="34"/>
    </row>
    <row r="225" spans="1:59" ht="13.2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2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2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2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2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2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2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25" customHeight="1">
      <c r="D232" s="4" t="s">
        <v>471</v>
      </c>
      <c r="E232" s="4"/>
      <c r="F232" s="4"/>
      <c r="G232" s="4"/>
      <c r="H232" s="4"/>
      <c r="I232" s="4"/>
      <c r="J232" s="4"/>
      <c r="K232" s="4"/>
      <c r="M232" s="1556" t="str">
        <f>H16</f>
        <v>Rise Urban Partners, LLC</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3.25" customHeight="1">
      <c r="D233" s="4" t="s">
        <v>85</v>
      </c>
      <c r="E233" s="4"/>
      <c r="F233" s="4"/>
      <c r="G233" s="4"/>
      <c r="H233" s="4"/>
      <c r="I233" s="4"/>
      <c r="J233" s="4"/>
      <c r="K233" s="4"/>
      <c r="M233" s="1526" t="s">
        <v>2621</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3.25" customHeight="1">
      <c r="D234" s="4" t="s">
        <v>581</v>
      </c>
      <c r="E234" s="4"/>
      <c r="M234" s="1526" t="s">
        <v>730</v>
      </c>
      <c r="N234" s="1526"/>
      <c r="O234" s="1526"/>
      <c r="P234" s="1526"/>
      <c r="Q234" s="1526"/>
      <c r="R234" s="1526"/>
      <c r="S234" s="1526"/>
      <c r="T234" s="1526"/>
      <c r="V234" s="33" t="s">
        <v>86</v>
      </c>
      <c r="W234" s="1518" t="s">
        <v>2622</v>
      </c>
      <c r="X234" s="1471"/>
      <c r="Y234" s="4" t="s">
        <v>584</v>
      </c>
      <c r="AC234" s="1526">
        <v>92130</v>
      </c>
      <c r="AD234" s="1526"/>
      <c r="AE234" s="1526"/>
      <c r="AU234" s="4"/>
      <c r="AV234" s="4"/>
      <c r="AW234" s="4"/>
      <c r="AX234" s="4"/>
      <c r="AY234" s="4"/>
      <c r="AZ234" s="4"/>
      <c r="BB234" s="205" t="s">
        <v>539</v>
      </c>
      <c r="BG234" s="240">
        <f>IF(AND(AND($M$249="for profit",$M$257="nonprofit",$M$265="nonprofit")),2,0)</f>
        <v>0</v>
      </c>
    </row>
    <row r="235" spans="1:59" ht="13.25" customHeight="1">
      <c r="D235" s="4" t="s">
        <v>87</v>
      </c>
      <c r="E235" s="4"/>
      <c r="F235" s="4"/>
      <c r="G235" s="4"/>
      <c r="H235" s="4"/>
      <c r="I235" s="4"/>
      <c r="J235" s="4"/>
      <c r="K235" s="19"/>
      <c r="M235" s="1526" t="s">
        <v>2623</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25" customHeight="1">
      <c r="D236" s="4" t="s">
        <v>88</v>
      </c>
      <c r="E236" s="4"/>
      <c r="F236" s="4"/>
      <c r="M236" s="1487" t="s">
        <v>2624</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3.25" customHeight="1">
      <c r="D237" s="4" t="s">
        <v>90</v>
      </c>
      <c r="E237" s="4"/>
      <c r="F237" s="4"/>
      <c r="M237" s="1540" t="s">
        <v>2625</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25" customHeight="1">
      <c r="A238" s="2" t="s">
        <v>587</v>
      </c>
      <c r="C238" s="2" t="s">
        <v>526</v>
      </c>
      <c r="M238" s="1371" t="s">
        <v>527</v>
      </c>
      <c r="N238" s="1371"/>
      <c r="O238" s="1371"/>
      <c r="P238" s="1371"/>
      <c r="Q238" s="1371"/>
      <c r="R238" s="1371"/>
      <c r="S238" s="1371"/>
      <c r="T238" s="1371"/>
      <c r="U238" s="204" t="s">
        <v>907</v>
      </c>
      <c r="V238" s="204"/>
      <c r="W238" s="204"/>
      <c r="X238" s="204"/>
      <c r="Y238" s="204"/>
      <c r="Z238" s="204"/>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3.2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25" customHeight="1">
      <c r="D240" s="4"/>
      <c r="BB240" s="204" t="s">
        <v>878</v>
      </c>
      <c r="BG240" s="241">
        <f>IF(AND(AND($M$249="for profit",$M$257="for profit",$M$265="for profit")),3,0)</f>
        <v>0</v>
      </c>
    </row>
    <row r="241" spans="1:67" ht="13.2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2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25" customHeight="1">
      <c r="A243" s="19"/>
      <c r="B243" s="4"/>
      <c r="C243" s="56" t="s">
        <v>474</v>
      </c>
      <c r="D243" s="4" t="s">
        <v>533</v>
      </c>
      <c r="E243" s="4"/>
      <c r="F243" s="4"/>
      <c r="G243" s="4"/>
      <c r="H243" s="4"/>
      <c r="I243" s="4"/>
      <c r="J243" s="4"/>
      <c r="K243" s="4"/>
      <c r="L243" s="4"/>
      <c r="M243" s="1566" t="s">
        <v>2626</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2628</v>
      </c>
      <c r="AG243" s="1542"/>
      <c r="AH243" s="1542"/>
      <c r="AI243" s="1542"/>
      <c r="AJ243" s="1542"/>
      <c r="AK243" s="1542"/>
      <c r="AU243" s="4"/>
      <c r="AV243" s="4"/>
      <c r="AW243" s="4"/>
      <c r="AX243" s="4"/>
      <c r="AY243" s="4"/>
      <c r="BG243">
        <f>SUM(BG226:BG241)</f>
        <v>1</v>
      </c>
    </row>
    <row r="244" spans="1:67" ht="13.25" customHeight="1">
      <c r="A244" s="19"/>
      <c r="B244" s="4"/>
      <c r="C244" s="4"/>
      <c r="D244" s="4" t="s">
        <v>85</v>
      </c>
      <c r="E244" s="4"/>
      <c r="F244" s="4"/>
      <c r="G244" s="4"/>
      <c r="H244" s="4"/>
      <c r="I244" s="4"/>
      <c r="J244" s="4"/>
      <c r="K244" s="4"/>
      <c r="L244" s="4"/>
      <c r="M244" s="1526" t="s">
        <v>2627</v>
      </c>
      <c r="N244" s="1526"/>
      <c r="O244" s="1526"/>
      <c r="P244" s="1526"/>
      <c r="Q244" s="1526"/>
      <c r="R244" s="1526"/>
      <c r="S244" s="1526"/>
      <c r="T244" s="1526"/>
      <c r="U244" s="1526"/>
      <c r="V244" s="1526"/>
      <c r="W244" s="1526"/>
      <c r="X244" s="1526"/>
      <c r="Y244" s="1526"/>
      <c r="Z244" s="1526"/>
      <c r="AA244" s="1526"/>
      <c r="AB244" s="1526"/>
      <c r="AC244" s="1526"/>
      <c r="AD244" s="1526"/>
      <c r="AE244" s="1526"/>
      <c r="AF244" s="3" t="s">
        <v>1180</v>
      </c>
      <c r="AL244" s="4"/>
      <c r="AM244" s="4"/>
      <c r="AN244" s="4"/>
      <c r="AO244" s="4"/>
      <c r="AP244" s="4"/>
      <c r="AQ244" s="4"/>
      <c r="AR244" s="4"/>
      <c r="AS244" s="4"/>
      <c r="AT244" s="4"/>
      <c r="BB244" t="s">
        <v>307</v>
      </c>
      <c r="BG244">
        <v>1</v>
      </c>
      <c r="BH244" t="s">
        <v>535</v>
      </c>
    </row>
    <row r="245" spans="1:67" ht="13.25" customHeight="1">
      <c r="A245" s="19"/>
      <c r="B245" s="4"/>
      <c r="C245" s="4"/>
      <c r="D245" s="4" t="s">
        <v>581</v>
      </c>
      <c r="E245" s="4"/>
      <c r="M245" s="1526" t="s">
        <v>2629</v>
      </c>
      <c r="N245" s="1526"/>
      <c r="O245" s="1526"/>
      <c r="P245" s="1526"/>
      <c r="Q245" s="1526"/>
      <c r="R245" s="1526"/>
      <c r="S245" s="1526"/>
      <c r="T245" s="1526"/>
      <c r="V245" s="33" t="s">
        <v>86</v>
      </c>
      <c r="W245" s="1471" t="s">
        <v>2622</v>
      </c>
      <c r="X245" s="1471"/>
      <c r="Y245" s="4" t="s">
        <v>584</v>
      </c>
      <c r="AC245" s="1526">
        <v>91945</v>
      </c>
      <c r="AD245" s="1526"/>
      <c r="AE245" s="1526"/>
      <c r="AF245" s="3" t="s">
        <v>1181</v>
      </c>
      <c r="AU245" s="4"/>
      <c r="AV245" s="4"/>
      <c r="AW245" s="4"/>
      <c r="AX245" s="4"/>
      <c r="AY245" s="4"/>
      <c r="BB245" s="4" t="s">
        <v>280</v>
      </c>
      <c r="BG245">
        <v>2</v>
      </c>
      <c r="BH245" t="s">
        <v>567</v>
      </c>
      <c r="BO245" s="239" t="str">
        <f>VLOOKUP(BG243,BG244:BH247,2,FALSE)</f>
        <v>Nonprofit</v>
      </c>
    </row>
    <row r="246" spans="1:67" ht="13.25" customHeight="1">
      <c r="A246" s="19"/>
      <c r="B246" s="4"/>
      <c r="C246" s="4"/>
      <c r="D246" s="4" t="s">
        <v>87</v>
      </c>
      <c r="E246" s="4"/>
      <c r="F246" s="4"/>
      <c r="G246" s="4"/>
      <c r="H246" s="4"/>
      <c r="I246" s="4"/>
      <c r="J246" s="4"/>
      <c r="K246" s="4"/>
      <c r="L246" s="19"/>
      <c r="M246" s="1526" t="s">
        <v>2630</v>
      </c>
      <c r="N246" s="1526"/>
      <c r="O246" s="1526"/>
      <c r="P246" s="1526"/>
      <c r="Q246" s="1526"/>
      <c r="R246" s="1526"/>
      <c r="S246" s="1526"/>
      <c r="T246" s="1526"/>
      <c r="U246" s="1526"/>
      <c r="V246" s="1526"/>
      <c r="W246" s="1526"/>
      <c r="X246" s="1526"/>
      <c r="Y246" s="1526"/>
      <c r="Z246" s="1526"/>
      <c r="AA246" s="1526"/>
      <c r="AB246" s="1526"/>
      <c r="AC246" s="1526"/>
      <c r="AD246" s="1526"/>
      <c r="AE246" s="1526"/>
      <c r="AH246" s="1539"/>
      <c r="AI246" s="1539"/>
      <c r="AJ246" s="1539"/>
      <c r="AK246" s="1539"/>
      <c r="AL246" s="4"/>
      <c r="AM246" s="4"/>
      <c r="AN246" s="4"/>
      <c r="AO246" s="4"/>
      <c r="AP246" s="4"/>
      <c r="AQ246" s="4"/>
      <c r="AR246" s="4"/>
      <c r="AS246" s="4"/>
      <c r="AT246" s="4"/>
      <c r="BB246" s="4" t="s">
        <v>173</v>
      </c>
      <c r="BG246">
        <v>3</v>
      </c>
      <c r="BH246" t="s">
        <v>537</v>
      </c>
      <c r="BN246" s="34"/>
    </row>
    <row r="247" spans="1:67" ht="13.25" customHeight="1">
      <c r="A247" s="19"/>
      <c r="B247" s="4"/>
      <c r="C247" s="4"/>
      <c r="D247" s="4" t="s">
        <v>88</v>
      </c>
      <c r="E247" s="4"/>
      <c r="F247" s="4"/>
      <c r="M247" s="1487" t="s">
        <v>2631</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25" customHeight="1">
      <c r="A248" s="19"/>
      <c r="B248" s="4"/>
      <c r="C248" s="4"/>
      <c r="D248" s="4" t="s">
        <v>90</v>
      </c>
      <c r="E248" s="4"/>
      <c r="F248" s="4"/>
      <c r="M248" s="1540" t="s">
        <v>2632</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2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0"/>
      <c r="AB249" s="1560"/>
      <c r="AC249" s="1560"/>
      <c r="AD249" s="1560"/>
      <c r="AE249" s="1560"/>
      <c r="AF249" s="1560"/>
      <c r="AG249" s="1560"/>
      <c r="AH249" s="1560"/>
      <c r="AI249" s="1560"/>
      <c r="AJ249" s="1560"/>
      <c r="AK249" s="1560"/>
      <c r="BN249" s="34"/>
    </row>
    <row r="250" spans="1:67" ht="13.25" customHeight="1">
      <c r="A250" s="19"/>
      <c r="B250" s="4"/>
      <c r="C250" s="4"/>
      <c r="D250" s="4"/>
      <c r="E250" s="4"/>
      <c r="F250" s="4"/>
      <c r="G250" s="4"/>
      <c r="H250" s="4"/>
      <c r="I250" s="4"/>
      <c r="J250" s="4"/>
      <c r="K250" s="4"/>
      <c r="L250" s="4"/>
      <c r="AG250" s="4"/>
      <c r="AH250" s="4"/>
      <c r="AI250" s="4"/>
      <c r="AJ250" s="4"/>
      <c r="BN250" s="34"/>
    </row>
    <row r="251" spans="1:67" ht="13.25" customHeight="1">
      <c r="A251" s="2"/>
      <c r="B251" s="4"/>
      <c r="C251" s="56" t="s">
        <v>98</v>
      </c>
      <c r="D251" s="4" t="s">
        <v>956</v>
      </c>
      <c r="E251" s="4"/>
      <c r="F251" s="4"/>
      <c r="G251" s="4"/>
      <c r="H251" s="4"/>
      <c r="I251" s="4"/>
      <c r="J251" s="4"/>
      <c r="K251" s="4"/>
      <c r="L251" s="4"/>
      <c r="M251" s="1542"/>
      <c r="N251" s="1542"/>
      <c r="O251" s="1542"/>
      <c r="P251" s="1542"/>
      <c r="Q251" s="1542"/>
      <c r="R251" s="1542"/>
      <c r="S251" s="1542"/>
      <c r="T251" s="1542"/>
      <c r="U251" s="1542"/>
      <c r="V251" s="1542"/>
      <c r="W251" s="1542"/>
      <c r="X251" s="1542"/>
      <c r="Y251" s="1542"/>
      <c r="Z251" s="1542"/>
      <c r="AA251" s="1542"/>
      <c r="AB251" s="1542"/>
      <c r="AC251" s="1542"/>
      <c r="AD251" s="1542"/>
      <c r="AE251" s="1542"/>
      <c r="AF251" s="1542" t="s">
        <v>307</v>
      </c>
      <c r="AG251" s="1542"/>
      <c r="AH251" s="1542"/>
      <c r="AI251" s="1542"/>
      <c r="AJ251" s="1542"/>
      <c r="AK251" s="1542"/>
      <c r="AU251" s="4"/>
      <c r="AV251" s="4"/>
      <c r="AW251" s="4"/>
      <c r="AX251" s="4"/>
      <c r="AY251" s="4"/>
      <c r="BN251" s="34"/>
    </row>
    <row r="252" spans="1:67" ht="13.25" customHeight="1">
      <c r="A252" s="19"/>
      <c r="B252" s="4"/>
      <c r="C252" s="4"/>
      <c r="D252" s="4" t="s">
        <v>85</v>
      </c>
      <c r="E252" s="4"/>
      <c r="F252" s="4"/>
      <c r="G252" s="4"/>
      <c r="H252" s="4"/>
      <c r="I252" s="4"/>
      <c r="J252" s="4"/>
      <c r="K252" s="4"/>
      <c r="L252" s="4"/>
      <c r="M252" s="1526"/>
      <c r="N252" s="1526"/>
      <c r="O252" s="1526"/>
      <c r="P252" s="1526"/>
      <c r="Q252" s="1526"/>
      <c r="R252" s="1526"/>
      <c r="S252" s="1526"/>
      <c r="T252" s="1526"/>
      <c r="U252" s="1526"/>
      <c r="V252" s="1526"/>
      <c r="W252" s="1526"/>
      <c r="X252" s="1526"/>
      <c r="Y252" s="1526"/>
      <c r="Z252" s="1526"/>
      <c r="AA252" s="1526"/>
      <c r="AB252" s="1526"/>
      <c r="AC252" s="1526"/>
      <c r="AD252" s="1526"/>
      <c r="AE252" s="1526"/>
      <c r="AF252" s="3" t="s">
        <v>1180</v>
      </c>
      <c r="AL252" s="4"/>
      <c r="AM252" s="4"/>
      <c r="AN252" s="4"/>
      <c r="AO252" s="4"/>
      <c r="AP252" s="4"/>
      <c r="AQ252" s="4"/>
      <c r="AR252" s="4"/>
      <c r="AS252" s="4"/>
      <c r="AT252" s="4"/>
      <c r="BN252" s="34"/>
    </row>
    <row r="253" spans="1:67" ht="13.25" customHeight="1">
      <c r="A253" s="19"/>
      <c r="B253" s="4"/>
      <c r="C253" s="4"/>
      <c r="D253" s="4" t="s">
        <v>581</v>
      </c>
      <c r="E253" s="4"/>
      <c r="M253" s="1526"/>
      <c r="N253" s="1526"/>
      <c r="O253" s="1526"/>
      <c r="P253" s="1526"/>
      <c r="Q253" s="1526"/>
      <c r="R253" s="1526"/>
      <c r="S253" s="1526"/>
      <c r="T253" s="1526"/>
      <c r="V253" s="33" t="s">
        <v>86</v>
      </c>
      <c r="W253" s="1471"/>
      <c r="X253" s="1471"/>
      <c r="Y253" s="4" t="s">
        <v>584</v>
      </c>
      <c r="AC253" s="1526"/>
      <c r="AD253" s="1526"/>
      <c r="AE253" s="1526"/>
      <c r="AF253" s="3" t="s">
        <v>1181</v>
      </c>
      <c r="AU253" s="4"/>
      <c r="AV253" s="4"/>
      <c r="AW253" s="4"/>
      <c r="AX253" s="4"/>
      <c r="AY253" s="4"/>
      <c r="BN253" s="34"/>
    </row>
    <row r="254" spans="1:67" ht="13.25" customHeight="1">
      <c r="A254" s="19"/>
      <c r="B254" s="4"/>
      <c r="C254" s="4"/>
      <c r="D254" s="4" t="s">
        <v>87</v>
      </c>
      <c r="E254" s="4"/>
      <c r="F254" s="4"/>
      <c r="G254" s="4"/>
      <c r="H254" s="4"/>
      <c r="I254" s="4"/>
      <c r="J254" s="4"/>
      <c r="K254" s="4"/>
      <c r="L254" s="19"/>
      <c r="M254" s="1526"/>
      <c r="N254" s="1526"/>
      <c r="O254" s="1526"/>
      <c r="P254" s="1526"/>
      <c r="Q254" s="1526"/>
      <c r="R254" s="1526"/>
      <c r="S254" s="1526"/>
      <c r="T254" s="1526"/>
      <c r="U254" s="1526"/>
      <c r="V254" s="1526"/>
      <c r="W254" s="1526"/>
      <c r="X254" s="1526"/>
      <c r="Y254" s="1526"/>
      <c r="Z254" s="1526"/>
      <c r="AA254" s="1526"/>
      <c r="AB254" s="1526"/>
      <c r="AC254" s="1526"/>
      <c r="AD254" s="1526"/>
      <c r="AE254" s="1526"/>
      <c r="AH254" s="1539"/>
      <c r="AI254" s="1539"/>
      <c r="AJ254" s="1539"/>
      <c r="AK254" s="1539"/>
      <c r="AL254" s="4"/>
      <c r="AM254" s="4"/>
      <c r="AN254" s="4"/>
      <c r="AO254" s="4"/>
      <c r="AP254" s="4"/>
      <c r="AQ254" s="4"/>
      <c r="AR254" s="4"/>
      <c r="AS254" s="4"/>
      <c r="AT254" s="4"/>
    </row>
    <row r="255" spans="1:67" ht="13.25" customHeight="1">
      <c r="A255" s="19"/>
      <c r="B255" s="4"/>
      <c r="C255" s="4"/>
      <c r="D255" s="4" t="s">
        <v>88</v>
      </c>
      <c r="E255" s="4"/>
      <c r="F255" s="4"/>
      <c r="M255" s="1487"/>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3.25"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25"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0"/>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3.2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25"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3.25"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1180</v>
      </c>
      <c r="AL260" s="3"/>
      <c r="AM260" s="3"/>
      <c r="AN260" s="3"/>
      <c r="AO260" s="3"/>
      <c r="AP260" s="3"/>
      <c r="AQ260" s="3"/>
      <c r="AR260" s="3"/>
      <c r="AS260" s="3"/>
      <c r="AT260" s="3"/>
      <c r="AU260" s="3"/>
      <c r="AV260" s="3"/>
      <c r="AW260" s="3"/>
      <c r="AX260" s="3"/>
      <c r="AY260" s="3"/>
    </row>
    <row r="261" spans="1:51" ht="13.25" customHeight="1">
      <c r="A261" s="13"/>
      <c r="B261" s="4"/>
      <c r="C261" s="4"/>
      <c r="D261" s="4" t="s">
        <v>581</v>
      </c>
      <c r="E261" s="4"/>
      <c r="M261" s="1526"/>
      <c r="N261" s="1526"/>
      <c r="O261" s="1526"/>
      <c r="P261" s="1526"/>
      <c r="Q261" s="1526"/>
      <c r="R261" s="1526"/>
      <c r="S261" s="1526"/>
      <c r="T261" s="1526"/>
      <c r="V261" s="33" t="s">
        <v>86</v>
      </c>
      <c r="W261" s="1471"/>
      <c r="X261" s="1471"/>
      <c r="Y261" s="4" t="s">
        <v>584</v>
      </c>
      <c r="AC261" s="1526"/>
      <c r="AD261" s="1526"/>
      <c r="AE261" s="1526"/>
      <c r="AF261" s="3" t="s">
        <v>1181</v>
      </c>
      <c r="AL261" s="3"/>
      <c r="AM261" s="3"/>
      <c r="AN261" s="3"/>
      <c r="AO261" s="3"/>
      <c r="AP261" s="3"/>
      <c r="AQ261" s="3"/>
      <c r="AR261" s="3"/>
      <c r="AS261" s="3"/>
      <c r="AT261" s="3"/>
      <c r="AU261" s="3"/>
      <c r="AV261" s="3"/>
      <c r="AW261" s="3"/>
      <c r="AX261" s="3"/>
      <c r="AY261" s="3"/>
    </row>
    <row r="262" spans="1:51" ht="13.25"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3.2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2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2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3.2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25" customHeight="1">
      <c r="A267" s="57" t="s">
        <v>591</v>
      </c>
      <c r="B267" s="4"/>
      <c r="C267" s="2" t="s">
        <v>295</v>
      </c>
      <c r="D267" s="4"/>
      <c r="E267" s="4"/>
      <c r="F267" s="4"/>
      <c r="G267" s="4"/>
      <c r="H267" s="4"/>
      <c r="I267" s="4"/>
      <c r="J267" s="4"/>
      <c r="K267" s="4"/>
      <c r="L267" s="4"/>
      <c r="M267" s="35"/>
      <c r="N267" s="35"/>
      <c r="O267" s="35"/>
      <c r="P267" s="35"/>
      <c r="Q267" s="35"/>
      <c r="T267" s="1567" t="str">
        <f>IFERROR(BO245,"")</f>
        <v>Nonprofit</v>
      </c>
      <c r="U267" s="1567"/>
      <c r="V267" s="1567"/>
      <c r="W267" s="1567"/>
      <c r="X267" s="1567"/>
      <c r="Z267" s="307" t="s">
        <v>955</v>
      </c>
      <c r="AA267" s="308"/>
      <c r="AB267" s="308"/>
      <c r="AC267" s="308"/>
      <c r="AD267" s="105"/>
      <c r="AE267" s="105"/>
      <c r="AF267" s="105"/>
      <c r="AG267" s="105"/>
      <c r="AH267" s="105"/>
      <c r="AI267" s="105"/>
      <c r="AJ267" s="105"/>
      <c r="AK267" s="309"/>
      <c r="AL267" s="58"/>
    </row>
    <row r="268" spans="1:51" ht="13.2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2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25" customHeight="1">
      <c r="A270" s="4"/>
      <c r="B270" s="36">
        <v>0</v>
      </c>
      <c r="D270" s="1526" t="s">
        <v>173</v>
      </c>
      <c r="E270" s="1526"/>
      <c r="F270" s="1526"/>
      <c r="G270" s="1526"/>
      <c r="H270" s="1526"/>
      <c r="J270" t="s">
        <v>279</v>
      </c>
      <c r="X270" s="1506">
        <v>45962</v>
      </c>
      <c r="Y270" s="1506"/>
      <c r="Z270" s="1506"/>
      <c r="AA270" s="1506"/>
      <c r="AB270" s="1506"/>
      <c r="AC270" s="1506"/>
      <c r="AU270" s="3"/>
      <c r="AV270" s="3"/>
      <c r="AW270" s="3"/>
      <c r="AX270" s="3"/>
      <c r="AY270" s="3"/>
    </row>
    <row r="271" spans="1:51" ht="13.2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2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2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25" customHeight="1">
      <c r="D274" s="4" t="s">
        <v>296</v>
      </c>
      <c r="E274" s="4"/>
      <c r="F274" s="4"/>
      <c r="G274" s="4"/>
      <c r="H274" s="4"/>
      <c r="I274" s="4"/>
      <c r="J274" s="4"/>
      <c r="K274" s="4"/>
      <c r="L274" s="1566" t="s">
        <v>2613</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25" customHeight="1">
      <c r="D275" s="4" t="s">
        <v>85</v>
      </c>
      <c r="E275" s="4"/>
      <c r="F275" s="4"/>
      <c r="G275" s="4"/>
      <c r="H275" s="4"/>
      <c r="I275" s="4"/>
      <c r="J275" s="4"/>
      <c r="K275" s="4"/>
      <c r="L275" s="1523" t="s">
        <v>2621</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25" customHeight="1">
      <c r="D276" s="4" t="s">
        <v>581</v>
      </c>
      <c r="E276" s="4"/>
      <c r="L276" s="1526" t="s">
        <v>730</v>
      </c>
      <c r="M276" s="1526"/>
      <c r="N276" s="1526"/>
      <c r="O276" s="1526"/>
      <c r="P276" s="1526"/>
      <c r="Q276" s="1526"/>
      <c r="R276" s="1526"/>
      <c r="S276" s="1526"/>
      <c r="U276" s="33" t="s">
        <v>86</v>
      </c>
      <c r="V276" s="1518" t="s">
        <v>2622</v>
      </c>
      <c r="W276" s="1471"/>
      <c r="X276" s="4" t="s">
        <v>584</v>
      </c>
      <c r="AB276" s="1526">
        <v>92130</v>
      </c>
      <c r="AC276" s="1526"/>
      <c r="AD276" s="1526"/>
      <c r="AK276" s="3"/>
      <c r="AL276" s="3"/>
      <c r="AM276" s="3"/>
      <c r="AN276" s="3"/>
      <c r="AO276" s="3"/>
      <c r="AP276" s="3"/>
      <c r="AQ276" s="3"/>
      <c r="AR276" s="3"/>
      <c r="AS276" s="3"/>
      <c r="AT276" s="3"/>
      <c r="AU276" s="3"/>
      <c r="AV276" s="3"/>
      <c r="AW276" s="3"/>
      <c r="AX276" s="3"/>
      <c r="AY276" s="3"/>
    </row>
    <row r="277" spans="1:51" ht="13.25" customHeight="1">
      <c r="D277" s="4" t="s">
        <v>87</v>
      </c>
      <c r="E277" s="4"/>
      <c r="F277" s="4"/>
      <c r="G277" s="4"/>
      <c r="H277" s="4"/>
      <c r="I277" s="4"/>
      <c r="J277" s="4"/>
      <c r="K277" s="19"/>
      <c r="L277" s="1526" t="s">
        <v>2623</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25" customHeight="1">
      <c r="D278" s="4" t="s">
        <v>88</v>
      </c>
      <c r="E278" s="4"/>
      <c r="F278" s="4"/>
      <c r="L278" s="1487" t="s">
        <v>2624</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3.25" customHeight="1">
      <c r="D279" s="4" t="s">
        <v>90</v>
      </c>
      <c r="E279" s="4"/>
      <c r="F279" s="4"/>
      <c r="L279" s="1540"/>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25" customHeight="1">
      <c r="D280" s="3" t="s">
        <v>624</v>
      </c>
      <c r="E280" s="3"/>
      <c r="F280" s="3"/>
      <c r="G280" s="3"/>
      <c r="H280" s="3"/>
      <c r="I280" s="3"/>
      <c r="L280" s="1518"/>
      <c r="M280" s="1518"/>
      <c r="N280" s="1518"/>
      <c r="O280" s="1518"/>
      <c r="P280" s="1518"/>
      <c r="Q280" s="1518"/>
      <c r="R280" s="1518"/>
      <c r="S280" s="1518"/>
      <c r="T280" s="1518"/>
      <c r="U280" s="1518"/>
      <c r="V280" s="1518"/>
      <c r="W280" s="1518"/>
      <c r="X280" s="1518"/>
      <c r="Y280" s="1518"/>
      <c r="Z280" s="1518"/>
      <c r="AA280" s="1518"/>
      <c r="AB280" s="1518"/>
      <c r="AC280" s="1518"/>
      <c r="AD280" s="1518"/>
      <c r="AK280" s="3"/>
      <c r="AL280" s="3"/>
      <c r="AM280" s="3"/>
      <c r="AN280" s="3"/>
      <c r="AO280" s="3"/>
      <c r="AP280" s="3"/>
      <c r="AQ280" s="3"/>
      <c r="AR280" s="3"/>
      <c r="AS280" s="3"/>
      <c r="AT280" s="3"/>
    </row>
    <row r="281" spans="1:51" ht="13.25" customHeight="1">
      <c r="L281" s="22" t="s">
        <v>625</v>
      </c>
      <c r="AU281" s="95"/>
      <c r="AV281" s="95"/>
      <c r="AW281" s="95"/>
      <c r="AX281" s="95"/>
      <c r="AY281" s="95"/>
    </row>
    <row r="282" spans="1:51" ht="13.2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2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2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2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627</v>
      </c>
      <c r="C287" s="3"/>
      <c r="D287" s="3"/>
      <c r="E287" s="3"/>
      <c r="F287" s="3"/>
      <c r="H287" s="1523" t="s">
        <v>2613</v>
      </c>
      <c r="I287" s="1407"/>
      <c r="J287" s="1407"/>
      <c r="K287" s="1407"/>
      <c r="L287" s="1407"/>
      <c r="M287" s="1407"/>
      <c r="N287" s="1407"/>
      <c r="O287" s="1407"/>
      <c r="P287" s="1407"/>
      <c r="Q287" s="1407"/>
      <c r="R287" s="1407"/>
      <c r="T287" s="3" t="s">
        <v>568</v>
      </c>
      <c r="V287" s="3"/>
      <c r="W287" s="3"/>
      <c r="X287" s="3"/>
      <c r="Y287" s="3"/>
      <c r="AA287" s="1407" t="s">
        <v>2634</v>
      </c>
      <c r="AB287" s="1407"/>
      <c r="AC287" s="1407"/>
      <c r="AD287" s="1407"/>
      <c r="AE287" s="1407"/>
      <c r="AF287" s="1407"/>
      <c r="AG287" s="1407"/>
      <c r="AH287" s="1407"/>
      <c r="AI287" s="1407"/>
      <c r="AJ287" s="1407"/>
      <c r="AK287" s="1407"/>
    </row>
    <row r="288" spans="1:51" ht="13.25" customHeight="1">
      <c r="B288" s="3" t="s">
        <v>472</v>
      </c>
      <c r="C288" s="3"/>
      <c r="D288" s="3"/>
      <c r="E288" s="3"/>
      <c r="F288" s="3"/>
      <c r="H288" s="1518" t="s">
        <v>2621</v>
      </c>
      <c r="I288" s="1371"/>
      <c r="J288" s="1371"/>
      <c r="K288" s="1371"/>
      <c r="L288" s="1371"/>
      <c r="M288" s="1371"/>
      <c r="N288" s="1371"/>
      <c r="O288" s="1371"/>
      <c r="P288" s="1371"/>
      <c r="Q288" s="1371"/>
      <c r="R288" s="1371"/>
      <c r="T288" s="3" t="s">
        <v>472</v>
      </c>
      <c r="V288" s="3"/>
      <c r="W288" s="3"/>
      <c r="X288" s="3"/>
      <c r="Y288" s="3"/>
      <c r="AA288" s="1371" t="s">
        <v>2635</v>
      </c>
      <c r="AB288" s="1371"/>
      <c r="AC288" s="1371"/>
      <c r="AD288" s="1371"/>
      <c r="AE288" s="1371"/>
      <c r="AF288" s="1371"/>
      <c r="AG288" s="1371"/>
      <c r="AH288" s="1371"/>
      <c r="AI288" s="1371"/>
      <c r="AJ288" s="1371"/>
      <c r="AK288" s="1371"/>
    </row>
    <row r="289" spans="2:37" ht="13.25" customHeight="1">
      <c r="B289" s="3" t="s">
        <v>473</v>
      </c>
      <c r="C289" s="3"/>
      <c r="D289" s="3"/>
      <c r="E289" s="3"/>
      <c r="F289" s="3"/>
      <c r="H289" s="1371" t="s">
        <v>2633</v>
      </c>
      <c r="I289" s="1371"/>
      <c r="J289" s="1371"/>
      <c r="K289" s="1371"/>
      <c r="L289" s="1371"/>
      <c r="M289" s="1371"/>
      <c r="N289" s="1371"/>
      <c r="O289" s="1371"/>
      <c r="P289" s="1371"/>
      <c r="Q289" s="1371"/>
      <c r="R289" s="1371"/>
      <c r="T289" s="3" t="s">
        <v>75</v>
      </c>
      <c r="V289" s="3"/>
      <c r="W289" s="3"/>
      <c r="X289" s="3"/>
      <c r="Y289" s="3"/>
      <c r="AA289" s="1371" t="s">
        <v>2636</v>
      </c>
      <c r="AB289" s="1371"/>
      <c r="AC289" s="1371"/>
      <c r="AD289" s="1371"/>
      <c r="AE289" s="1371"/>
      <c r="AF289" s="1371"/>
      <c r="AG289" s="1371"/>
      <c r="AH289" s="1371"/>
      <c r="AI289" s="1371"/>
      <c r="AJ289" s="1371"/>
      <c r="AK289" s="1371"/>
    </row>
    <row r="290" spans="2:37" ht="13.25" customHeight="1">
      <c r="B290" s="3" t="s">
        <v>87</v>
      </c>
      <c r="C290" s="3"/>
      <c r="D290" s="3"/>
      <c r="E290" s="3"/>
      <c r="F290" s="3"/>
      <c r="H290" s="1518" t="s">
        <v>2623</v>
      </c>
      <c r="I290" s="1371"/>
      <c r="J290" s="1371"/>
      <c r="K290" s="1371"/>
      <c r="L290" s="1371"/>
      <c r="M290" s="1371"/>
      <c r="N290" s="1371"/>
      <c r="O290" s="1371"/>
      <c r="P290" s="1371"/>
      <c r="Q290" s="1371"/>
      <c r="R290" s="1371"/>
      <c r="T290" s="3" t="s">
        <v>87</v>
      </c>
      <c r="V290" s="3"/>
      <c r="W290" s="3"/>
      <c r="X290" s="3"/>
      <c r="Y290" s="3"/>
      <c r="AA290" s="1371" t="s">
        <v>2637</v>
      </c>
      <c r="AB290" s="1371"/>
      <c r="AC290" s="1371"/>
      <c r="AD290" s="1371"/>
      <c r="AE290" s="1371"/>
      <c r="AF290" s="1371"/>
      <c r="AG290" s="1371"/>
      <c r="AH290" s="1371"/>
      <c r="AI290" s="1371"/>
      <c r="AJ290" s="1371"/>
      <c r="AK290" s="1371"/>
    </row>
    <row r="291" spans="2:37" ht="13.25" customHeight="1">
      <c r="B291" s="3" t="s">
        <v>88</v>
      </c>
      <c r="C291" s="3"/>
      <c r="D291" s="3"/>
      <c r="E291" s="3"/>
      <c r="F291" s="3"/>
      <c r="G291" s="3"/>
      <c r="H291" s="1543" t="s">
        <v>2624</v>
      </c>
      <c r="I291" s="1543"/>
      <c r="J291" s="1543"/>
      <c r="K291" s="1543"/>
      <c r="L291" s="1543"/>
      <c r="M291" s="1543"/>
      <c r="N291" s="4" t="s">
        <v>206</v>
      </c>
      <c r="O291" s="4"/>
      <c r="P291" s="1526"/>
      <c r="Q291" s="1526"/>
      <c r="R291" s="1526"/>
      <c r="S291" s="3"/>
      <c r="T291" s="3" t="s">
        <v>88</v>
      </c>
      <c r="V291" s="3"/>
      <c r="W291" s="3"/>
      <c r="X291" s="3"/>
      <c r="Y291" s="3"/>
      <c r="AA291" s="1543" t="s">
        <v>2638</v>
      </c>
      <c r="AB291" s="1543"/>
      <c r="AC291" s="1543"/>
      <c r="AD291" s="1543"/>
      <c r="AE291" s="1543"/>
      <c r="AF291" s="1543"/>
      <c r="AG291" s="4" t="s">
        <v>206</v>
      </c>
      <c r="AH291" s="4"/>
      <c r="AI291" s="1526"/>
      <c r="AJ291" s="1526"/>
      <c r="AK291" s="1526"/>
    </row>
    <row r="292" spans="2:37" ht="13.2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25" customHeight="1">
      <c r="B293" s="3" t="s">
        <v>76</v>
      </c>
      <c r="C293" s="3"/>
      <c r="D293" s="3"/>
      <c r="E293" s="3"/>
      <c r="F293" s="3"/>
      <c r="G293" s="3"/>
      <c r="H293" s="1371" t="s">
        <v>2625</v>
      </c>
      <c r="I293" s="1371"/>
      <c r="J293" s="1371"/>
      <c r="K293" s="1371"/>
      <c r="L293" s="1371"/>
      <c r="M293" s="1371"/>
      <c r="N293" s="1407"/>
      <c r="O293" s="1407"/>
      <c r="P293" s="1407"/>
      <c r="Q293" s="1407"/>
      <c r="R293" s="1407"/>
      <c r="S293" s="3"/>
      <c r="T293" s="3" t="s">
        <v>76</v>
      </c>
      <c r="V293" s="3"/>
      <c r="W293" s="3"/>
      <c r="X293" s="3"/>
      <c r="Y293" s="3"/>
      <c r="AA293" s="1371" t="s">
        <v>2639</v>
      </c>
      <c r="AB293" s="1371"/>
      <c r="AC293" s="1371"/>
      <c r="AD293" s="1371"/>
      <c r="AE293" s="1371"/>
      <c r="AF293" s="1371"/>
      <c r="AG293" s="1407"/>
      <c r="AH293" s="1407"/>
      <c r="AI293" s="1407"/>
      <c r="AJ293" s="1407"/>
      <c r="AK293" s="1407"/>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323</v>
      </c>
      <c r="C295" s="3"/>
      <c r="D295" s="3"/>
      <c r="E295" s="3"/>
      <c r="F295" s="3"/>
      <c r="H295" s="1407" t="s">
        <v>2640</v>
      </c>
      <c r="I295" s="1407"/>
      <c r="J295" s="1407"/>
      <c r="K295" s="1407"/>
      <c r="L295" s="1407"/>
      <c r="M295" s="1407"/>
      <c r="N295" s="1407"/>
      <c r="O295" s="1407"/>
      <c r="P295" s="1407"/>
      <c r="Q295" s="1407"/>
      <c r="R295" s="1407"/>
      <c r="T295" s="3" t="s">
        <v>364</v>
      </c>
      <c r="V295" s="3"/>
      <c r="W295" s="3"/>
      <c r="X295" s="3"/>
      <c r="Y295" s="3"/>
      <c r="AA295" s="1407" t="s">
        <v>2646</v>
      </c>
      <c r="AB295" s="1407"/>
      <c r="AC295" s="1407"/>
      <c r="AD295" s="1407"/>
      <c r="AE295" s="1407"/>
      <c r="AF295" s="1407"/>
      <c r="AG295" s="1407"/>
      <c r="AH295" s="1407"/>
      <c r="AI295" s="1407"/>
      <c r="AJ295" s="1407"/>
      <c r="AK295" s="1407"/>
    </row>
    <row r="296" spans="2:37" ht="13.25" customHeight="1">
      <c r="B296" s="3" t="s">
        <v>472</v>
      </c>
      <c r="C296" s="3"/>
      <c r="D296" s="3"/>
      <c r="E296" s="3"/>
      <c r="F296" s="3"/>
      <c r="H296" s="1371" t="s">
        <v>2641</v>
      </c>
      <c r="I296" s="1371"/>
      <c r="J296" s="1371"/>
      <c r="K296" s="1371"/>
      <c r="L296" s="1371"/>
      <c r="M296" s="1371"/>
      <c r="N296" s="1371"/>
      <c r="O296" s="1371"/>
      <c r="P296" s="1371"/>
      <c r="Q296" s="1371"/>
      <c r="R296" s="1371"/>
      <c r="T296" s="3" t="s">
        <v>472</v>
      </c>
      <c r="V296" s="3"/>
      <c r="W296" s="3"/>
      <c r="X296" s="3"/>
      <c r="Y296" s="3"/>
      <c r="AA296" s="1371" t="s">
        <v>2647</v>
      </c>
      <c r="AB296" s="1371"/>
      <c r="AC296" s="1371"/>
      <c r="AD296" s="1371"/>
      <c r="AE296" s="1371"/>
      <c r="AF296" s="1371"/>
      <c r="AG296" s="1371"/>
      <c r="AH296" s="1371"/>
      <c r="AI296" s="1371"/>
      <c r="AJ296" s="1371"/>
      <c r="AK296" s="1371"/>
    </row>
    <row r="297" spans="2:37" ht="13.25" customHeight="1">
      <c r="B297" s="3" t="s">
        <v>473</v>
      </c>
      <c r="C297" s="3"/>
      <c r="D297" s="3"/>
      <c r="E297" s="3"/>
      <c r="F297" s="3"/>
      <c r="H297" s="1371" t="s">
        <v>2642</v>
      </c>
      <c r="I297" s="1371"/>
      <c r="J297" s="1371"/>
      <c r="K297" s="1371"/>
      <c r="L297" s="1371"/>
      <c r="M297" s="1371"/>
      <c r="N297" s="1371"/>
      <c r="O297" s="1371"/>
      <c r="P297" s="1371"/>
      <c r="Q297" s="1371"/>
      <c r="R297" s="1371"/>
      <c r="T297" s="3" t="s">
        <v>75</v>
      </c>
      <c r="V297" s="3"/>
      <c r="W297" s="3"/>
      <c r="X297" s="3"/>
      <c r="Y297" s="3"/>
      <c r="AA297" s="1371" t="s">
        <v>2648</v>
      </c>
      <c r="AB297" s="1371"/>
      <c r="AC297" s="1371"/>
      <c r="AD297" s="1371"/>
      <c r="AE297" s="1371"/>
      <c r="AF297" s="1371"/>
      <c r="AG297" s="1371"/>
      <c r="AH297" s="1371"/>
      <c r="AI297" s="1371"/>
      <c r="AJ297" s="1371"/>
      <c r="AK297" s="1371"/>
    </row>
    <row r="298" spans="2:37" ht="13.25" customHeight="1">
      <c r="B298" s="3" t="s">
        <v>87</v>
      </c>
      <c r="C298" s="3"/>
      <c r="D298" s="3"/>
      <c r="E298" s="3"/>
      <c r="F298" s="3"/>
      <c r="H298" s="1371" t="s">
        <v>2643</v>
      </c>
      <c r="I298" s="1371"/>
      <c r="J298" s="1371"/>
      <c r="K298" s="1371"/>
      <c r="L298" s="1371"/>
      <c r="M298" s="1371"/>
      <c r="N298" s="1371"/>
      <c r="O298" s="1371"/>
      <c r="P298" s="1371"/>
      <c r="Q298" s="1371"/>
      <c r="R298" s="1371"/>
      <c r="T298" s="3" t="s">
        <v>87</v>
      </c>
      <c r="V298" s="3"/>
      <c r="W298" s="3"/>
      <c r="X298" s="3"/>
      <c r="Y298" s="3"/>
      <c r="AA298" s="1371" t="s">
        <v>2649</v>
      </c>
      <c r="AB298" s="1371"/>
      <c r="AC298" s="1371"/>
      <c r="AD298" s="1371"/>
      <c r="AE298" s="1371"/>
      <c r="AF298" s="1371"/>
      <c r="AG298" s="1371"/>
      <c r="AH298" s="1371"/>
      <c r="AI298" s="1371"/>
      <c r="AJ298" s="1371"/>
      <c r="AK298" s="1371"/>
    </row>
    <row r="299" spans="2:37" ht="13.25" customHeight="1">
      <c r="B299" s="3" t="s">
        <v>88</v>
      </c>
      <c r="C299" s="3"/>
      <c r="D299" s="3"/>
      <c r="E299" s="3"/>
      <c r="F299" s="3"/>
      <c r="G299" s="3"/>
      <c r="H299" s="1543" t="s">
        <v>2644</v>
      </c>
      <c r="I299" s="1543"/>
      <c r="J299" s="1543"/>
      <c r="K299" s="1543"/>
      <c r="L299" s="1543"/>
      <c r="M299" s="1543"/>
      <c r="N299" s="4" t="s">
        <v>206</v>
      </c>
      <c r="O299" s="4"/>
      <c r="P299" s="1526"/>
      <c r="Q299" s="1526"/>
      <c r="R299" s="1526"/>
      <c r="S299" s="3"/>
      <c r="T299" s="3" t="s">
        <v>88</v>
      </c>
      <c r="V299" s="3"/>
      <c r="W299" s="3"/>
      <c r="X299" s="3"/>
      <c r="Y299" s="3"/>
      <c r="AA299" s="1543" t="s">
        <v>2650</v>
      </c>
      <c r="AB299" s="1543"/>
      <c r="AC299" s="1543"/>
      <c r="AD299" s="1543"/>
      <c r="AE299" s="1543"/>
      <c r="AF299" s="1543"/>
      <c r="AG299" s="4" t="s">
        <v>206</v>
      </c>
      <c r="AH299" s="4"/>
      <c r="AI299" s="1526"/>
      <c r="AJ299" s="1526"/>
      <c r="AK299" s="1526"/>
    </row>
    <row r="300" spans="2:37" ht="13.2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25" customHeight="1">
      <c r="B301" s="3" t="s">
        <v>76</v>
      </c>
      <c r="C301" s="3"/>
      <c r="D301" s="3"/>
      <c r="E301" s="3"/>
      <c r="F301" s="3"/>
      <c r="G301" s="3"/>
      <c r="H301" s="1371" t="s">
        <v>2645</v>
      </c>
      <c r="I301" s="1371"/>
      <c r="J301" s="1371"/>
      <c r="K301" s="1371"/>
      <c r="L301" s="1371"/>
      <c r="M301" s="1371"/>
      <c r="N301" s="1407"/>
      <c r="O301" s="1407"/>
      <c r="P301" s="1407"/>
      <c r="Q301" s="1407"/>
      <c r="R301" s="1407"/>
      <c r="S301" s="3"/>
      <c r="T301" s="3" t="s">
        <v>76</v>
      </c>
      <c r="V301" s="3"/>
      <c r="W301" s="3"/>
      <c r="X301" s="3"/>
      <c r="Y301" s="3"/>
      <c r="AA301" s="1371" t="s">
        <v>2651</v>
      </c>
      <c r="AB301" s="1371"/>
      <c r="AC301" s="1371"/>
      <c r="AD301" s="1371"/>
      <c r="AE301" s="1371"/>
      <c r="AF301" s="1371"/>
      <c r="AG301" s="1407"/>
      <c r="AH301" s="1407"/>
      <c r="AI301" s="1407"/>
      <c r="AJ301" s="1407"/>
      <c r="AK301" s="1407"/>
    </row>
    <row r="302" spans="2:37" ht="13.25" customHeight="1"/>
    <row r="303" spans="2:37" ht="13.25" customHeight="1">
      <c r="B303" s="3" t="s">
        <v>77</v>
      </c>
      <c r="C303" s="3"/>
      <c r="D303" s="3"/>
      <c r="E303" s="3"/>
      <c r="F303" s="3"/>
      <c r="H303" s="1407" t="s">
        <v>2652</v>
      </c>
      <c r="I303" s="1407"/>
      <c r="J303" s="1407"/>
      <c r="K303" s="1407"/>
      <c r="L303" s="1407"/>
      <c r="M303" s="1407"/>
      <c r="N303" s="1407"/>
      <c r="O303" s="1407"/>
      <c r="P303" s="1407"/>
      <c r="Q303" s="1407"/>
      <c r="R303" s="1407"/>
      <c r="T303" s="4" t="s">
        <v>879</v>
      </c>
      <c r="V303" s="3"/>
      <c r="W303" s="3"/>
      <c r="X303" s="3"/>
      <c r="Y303" s="3"/>
      <c r="AA303" s="1407" t="s">
        <v>2658</v>
      </c>
      <c r="AB303" s="1407"/>
      <c r="AC303" s="1407"/>
      <c r="AD303" s="1407"/>
      <c r="AE303" s="1407"/>
      <c r="AF303" s="1407"/>
      <c r="AG303" s="1407"/>
      <c r="AH303" s="1407"/>
      <c r="AI303" s="1407"/>
      <c r="AJ303" s="1407"/>
      <c r="AK303" s="1407"/>
    </row>
    <row r="304" spans="2:37" ht="13.25" customHeight="1">
      <c r="B304" s="3" t="s">
        <v>472</v>
      </c>
      <c r="C304" s="3"/>
      <c r="D304" s="3"/>
      <c r="E304" s="3"/>
      <c r="F304" s="3"/>
      <c r="H304" s="1371" t="s">
        <v>2653</v>
      </c>
      <c r="I304" s="1371"/>
      <c r="J304" s="1371"/>
      <c r="K304" s="1371"/>
      <c r="L304" s="1371"/>
      <c r="M304" s="1371"/>
      <c r="N304" s="1371"/>
      <c r="O304" s="1371"/>
      <c r="P304" s="1371"/>
      <c r="Q304" s="1371"/>
      <c r="R304" s="1371"/>
      <c r="T304" s="3" t="s">
        <v>472</v>
      </c>
      <c r="V304" s="3"/>
      <c r="W304" s="3"/>
      <c r="X304" s="3"/>
      <c r="Y304" s="3"/>
      <c r="AA304" s="1371" t="s">
        <v>2659</v>
      </c>
      <c r="AB304" s="1371"/>
      <c r="AC304" s="1371"/>
      <c r="AD304" s="1371"/>
      <c r="AE304" s="1371"/>
      <c r="AF304" s="1371"/>
      <c r="AG304" s="1371"/>
      <c r="AH304" s="1371"/>
      <c r="AI304" s="1371"/>
      <c r="AJ304" s="1371"/>
      <c r="AK304" s="1371"/>
    </row>
    <row r="305" spans="2:37" ht="13.25" customHeight="1">
      <c r="B305" s="3" t="s">
        <v>473</v>
      </c>
      <c r="C305" s="3"/>
      <c r="D305" s="3"/>
      <c r="E305" s="3"/>
      <c r="F305" s="3"/>
      <c r="H305" s="1371" t="s">
        <v>2654</v>
      </c>
      <c r="I305" s="1371"/>
      <c r="J305" s="1371"/>
      <c r="K305" s="1371"/>
      <c r="L305" s="1371"/>
      <c r="M305" s="1371"/>
      <c r="N305" s="1371"/>
      <c r="O305" s="1371"/>
      <c r="P305" s="1371"/>
      <c r="Q305" s="1371"/>
      <c r="R305" s="1371"/>
      <c r="T305" s="3" t="s">
        <v>75</v>
      </c>
      <c r="V305" s="3"/>
      <c r="W305" s="3"/>
      <c r="X305" s="3"/>
      <c r="Y305" s="3"/>
      <c r="AA305" s="1371" t="s">
        <v>2660</v>
      </c>
      <c r="AB305" s="1371"/>
      <c r="AC305" s="1371"/>
      <c r="AD305" s="1371"/>
      <c r="AE305" s="1371"/>
      <c r="AF305" s="1371"/>
      <c r="AG305" s="1371"/>
      <c r="AH305" s="1371"/>
      <c r="AI305" s="1371"/>
      <c r="AJ305" s="1371"/>
      <c r="AK305" s="1371"/>
    </row>
    <row r="306" spans="2:37" ht="13.25" customHeight="1">
      <c r="B306" s="3" t="s">
        <v>87</v>
      </c>
      <c r="C306" s="3"/>
      <c r="D306" s="3"/>
      <c r="E306" s="3"/>
      <c r="F306" s="3"/>
      <c r="H306" s="1371" t="s">
        <v>2655</v>
      </c>
      <c r="I306" s="1371"/>
      <c r="J306" s="1371"/>
      <c r="K306" s="1371"/>
      <c r="L306" s="1371"/>
      <c r="M306" s="1371"/>
      <c r="N306" s="1371"/>
      <c r="O306" s="1371"/>
      <c r="P306" s="1371"/>
      <c r="Q306" s="1371"/>
      <c r="R306" s="1371"/>
      <c r="T306" s="3" t="s">
        <v>87</v>
      </c>
      <c r="V306" s="3"/>
      <c r="W306" s="3"/>
      <c r="X306" s="3"/>
      <c r="Y306" s="3"/>
      <c r="AA306" s="1371" t="s">
        <v>2661</v>
      </c>
      <c r="AB306" s="1371"/>
      <c r="AC306" s="1371"/>
      <c r="AD306" s="1371"/>
      <c r="AE306" s="1371"/>
      <c r="AF306" s="1371"/>
      <c r="AG306" s="1371"/>
      <c r="AH306" s="1371"/>
      <c r="AI306" s="1371"/>
      <c r="AJ306" s="1371"/>
      <c r="AK306" s="1371"/>
    </row>
    <row r="307" spans="2:37" ht="13.25" customHeight="1">
      <c r="B307" s="3" t="s">
        <v>88</v>
      </c>
      <c r="C307" s="3"/>
      <c r="D307" s="3"/>
      <c r="E307" s="3"/>
      <c r="F307" s="3"/>
      <c r="G307" s="3"/>
      <c r="H307" s="1543" t="s">
        <v>2656</v>
      </c>
      <c r="I307" s="1543"/>
      <c r="J307" s="1543"/>
      <c r="K307" s="1543"/>
      <c r="L307" s="1543"/>
      <c r="M307" s="1543"/>
      <c r="N307" s="4" t="s">
        <v>206</v>
      </c>
      <c r="O307" s="4"/>
      <c r="P307" s="1526"/>
      <c r="Q307" s="1526"/>
      <c r="R307" s="1526"/>
      <c r="S307" s="3"/>
      <c r="T307" s="3" t="s">
        <v>88</v>
      </c>
      <c r="V307" s="3"/>
      <c r="W307" s="3"/>
      <c r="X307" s="3"/>
      <c r="Y307" s="3"/>
      <c r="AA307" s="1543" t="s">
        <v>2662</v>
      </c>
      <c r="AB307" s="1543"/>
      <c r="AC307" s="1543"/>
      <c r="AD307" s="1543"/>
      <c r="AE307" s="1543"/>
      <c r="AF307" s="1543"/>
      <c r="AG307" s="4" t="s">
        <v>206</v>
      </c>
      <c r="AH307" s="4"/>
      <c r="AI307" s="1526"/>
      <c r="AJ307" s="1526"/>
      <c r="AK307" s="1526"/>
    </row>
    <row r="308" spans="2:37" ht="13.2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25" customHeight="1">
      <c r="B309" s="3" t="s">
        <v>76</v>
      </c>
      <c r="C309" s="3"/>
      <c r="D309" s="3"/>
      <c r="E309" s="3"/>
      <c r="F309" s="3"/>
      <c r="G309" s="3"/>
      <c r="H309" s="1371" t="s">
        <v>2657</v>
      </c>
      <c r="I309" s="1371"/>
      <c r="J309" s="1371"/>
      <c r="K309" s="1371"/>
      <c r="L309" s="1371"/>
      <c r="M309" s="1371"/>
      <c r="N309" s="1407"/>
      <c r="O309" s="1407"/>
      <c r="P309" s="1407"/>
      <c r="Q309" s="1407"/>
      <c r="R309" s="1407"/>
      <c r="S309" s="3"/>
      <c r="T309" s="3" t="s">
        <v>76</v>
      </c>
      <c r="V309" s="3"/>
      <c r="W309" s="3"/>
      <c r="X309" s="3"/>
      <c r="Y309" s="3"/>
      <c r="AA309" s="1371" t="s">
        <v>2663</v>
      </c>
      <c r="AB309" s="1371"/>
      <c r="AC309" s="1371"/>
      <c r="AD309" s="1371"/>
      <c r="AE309" s="1371"/>
      <c r="AF309" s="1371"/>
      <c r="AG309" s="1407"/>
      <c r="AH309" s="1407"/>
      <c r="AI309" s="1407"/>
      <c r="AJ309" s="1407"/>
      <c r="AK309" s="1407"/>
    </row>
    <row r="310" spans="2:37" ht="13.2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25" customHeight="1">
      <c r="B311" s="4" t="s">
        <v>908</v>
      </c>
      <c r="C311" s="3"/>
      <c r="D311" s="3"/>
      <c r="E311" s="3"/>
      <c r="F311" s="3"/>
      <c r="H311" s="1407" t="s">
        <v>2652</v>
      </c>
      <c r="I311" s="1407"/>
      <c r="J311" s="1407"/>
      <c r="K311" s="1407"/>
      <c r="L311" s="1407"/>
      <c r="M311" s="1407"/>
      <c r="N311" s="1407"/>
      <c r="O311" s="1407"/>
      <c r="P311" s="1407"/>
      <c r="Q311" s="1407"/>
      <c r="R311" s="1407"/>
      <c r="S311" s="3"/>
      <c r="T311" s="3" t="s">
        <v>365</v>
      </c>
      <c r="V311" s="3"/>
      <c r="W311" s="3"/>
      <c r="X311" s="3"/>
      <c r="Y311" s="3"/>
      <c r="AA311" s="1407" t="s">
        <v>2664</v>
      </c>
      <c r="AB311" s="1407"/>
      <c r="AC311" s="1407"/>
      <c r="AD311" s="1407"/>
      <c r="AE311" s="1407"/>
      <c r="AF311" s="1407"/>
      <c r="AG311" s="1407"/>
      <c r="AH311" s="1407"/>
      <c r="AI311" s="1407"/>
      <c r="AJ311" s="1407"/>
      <c r="AK311" s="1407"/>
    </row>
    <row r="312" spans="2:37" ht="13.25" customHeight="1">
      <c r="B312" s="3" t="s">
        <v>472</v>
      </c>
      <c r="C312" s="3"/>
      <c r="D312" s="3"/>
      <c r="E312" s="3"/>
      <c r="F312" s="3"/>
      <c r="H312" s="1371" t="s">
        <v>2653</v>
      </c>
      <c r="I312" s="1371"/>
      <c r="J312" s="1371"/>
      <c r="K312" s="1371"/>
      <c r="L312" s="1371"/>
      <c r="M312" s="1371"/>
      <c r="N312" s="1371"/>
      <c r="O312" s="1371"/>
      <c r="P312" s="1371"/>
      <c r="Q312" s="1371"/>
      <c r="R312" s="1371"/>
      <c r="S312" s="3"/>
      <c r="T312" s="3" t="s">
        <v>472</v>
      </c>
      <c r="V312" s="3"/>
      <c r="W312" s="3"/>
      <c r="X312" s="3"/>
      <c r="Y312" s="3"/>
      <c r="AA312" s="1371" t="s">
        <v>2665</v>
      </c>
      <c r="AB312" s="1371"/>
      <c r="AC312" s="1371"/>
      <c r="AD312" s="1371"/>
      <c r="AE312" s="1371"/>
      <c r="AF312" s="1371"/>
      <c r="AG312" s="1371"/>
      <c r="AH312" s="1371"/>
      <c r="AI312" s="1371"/>
      <c r="AJ312" s="1371"/>
      <c r="AK312" s="1371"/>
    </row>
    <row r="313" spans="2:37" ht="13.25" customHeight="1">
      <c r="B313" s="3" t="s">
        <v>473</v>
      </c>
      <c r="C313" s="3"/>
      <c r="D313" s="3"/>
      <c r="E313" s="3"/>
      <c r="F313" s="3"/>
      <c r="H313" s="1371" t="s">
        <v>2654</v>
      </c>
      <c r="I313" s="1371"/>
      <c r="J313" s="1371"/>
      <c r="K313" s="1371"/>
      <c r="L313" s="1371"/>
      <c r="M313" s="1371"/>
      <c r="N313" s="1371"/>
      <c r="O313" s="1371"/>
      <c r="P313" s="1371"/>
      <c r="Q313" s="1371"/>
      <c r="R313" s="1371"/>
      <c r="S313" s="3"/>
      <c r="T313" s="3" t="s">
        <v>75</v>
      </c>
      <c r="V313" s="3"/>
      <c r="W313" s="3"/>
      <c r="X313" s="3"/>
      <c r="Y313" s="3"/>
      <c r="AA313" s="1371" t="s">
        <v>2666</v>
      </c>
      <c r="AB313" s="1371"/>
      <c r="AC313" s="1371"/>
      <c r="AD313" s="1371"/>
      <c r="AE313" s="1371"/>
      <c r="AF313" s="1371"/>
      <c r="AG313" s="1371"/>
      <c r="AH313" s="1371"/>
      <c r="AI313" s="1371"/>
      <c r="AJ313" s="1371"/>
      <c r="AK313" s="1371"/>
    </row>
    <row r="314" spans="2:37" ht="13.25" customHeight="1">
      <c r="B314" s="3" t="s">
        <v>87</v>
      </c>
      <c r="C314" s="3"/>
      <c r="D314" s="3"/>
      <c r="E314" s="3"/>
      <c r="F314" s="3"/>
      <c r="H314" s="1371" t="s">
        <v>2655</v>
      </c>
      <c r="I314" s="1371"/>
      <c r="J314" s="1371"/>
      <c r="K314" s="1371"/>
      <c r="L314" s="1371"/>
      <c r="M314" s="1371"/>
      <c r="N314" s="1371"/>
      <c r="O314" s="1371"/>
      <c r="P314" s="1371"/>
      <c r="Q314" s="1371"/>
      <c r="R314" s="1371"/>
      <c r="S314" s="3"/>
      <c r="T314" s="3" t="s">
        <v>87</v>
      </c>
      <c r="V314" s="3"/>
      <c r="W314" s="3"/>
      <c r="X314" s="3"/>
      <c r="Y314" s="3"/>
      <c r="AA314" s="1371" t="s">
        <v>2667</v>
      </c>
      <c r="AB314" s="1371"/>
      <c r="AC314" s="1371"/>
      <c r="AD314" s="1371"/>
      <c r="AE314" s="1371"/>
      <c r="AF314" s="1371"/>
      <c r="AG314" s="1371"/>
      <c r="AH314" s="1371"/>
      <c r="AI314" s="1371"/>
      <c r="AJ314" s="1371"/>
      <c r="AK314" s="1371"/>
    </row>
    <row r="315" spans="2:37" ht="13.25" customHeight="1">
      <c r="B315" s="3" t="s">
        <v>88</v>
      </c>
      <c r="C315" s="3"/>
      <c r="D315" s="3"/>
      <c r="E315" s="3"/>
      <c r="F315" s="3"/>
      <c r="G315" s="3"/>
      <c r="H315" s="1543" t="s">
        <v>2656</v>
      </c>
      <c r="I315" s="1543"/>
      <c r="J315" s="1543"/>
      <c r="K315" s="1543"/>
      <c r="L315" s="1543"/>
      <c r="M315" s="1543"/>
      <c r="N315" s="4" t="s">
        <v>206</v>
      </c>
      <c r="O315" s="4"/>
      <c r="P315" s="1526"/>
      <c r="Q315" s="1526"/>
      <c r="R315" s="1526"/>
      <c r="S315" s="3"/>
      <c r="T315" s="3" t="s">
        <v>88</v>
      </c>
      <c r="V315" s="3"/>
      <c r="W315" s="3"/>
      <c r="X315" s="3"/>
      <c r="Y315" s="3"/>
      <c r="AA315" s="1543" t="s">
        <v>2668</v>
      </c>
      <c r="AB315" s="1543"/>
      <c r="AC315" s="1543"/>
      <c r="AD315" s="1543"/>
      <c r="AE315" s="1543"/>
      <c r="AF315" s="1543"/>
      <c r="AG315" s="4" t="s">
        <v>206</v>
      </c>
      <c r="AH315" s="4"/>
      <c r="AI315" s="1526"/>
      <c r="AJ315" s="1526"/>
      <c r="AK315" s="1526"/>
    </row>
    <row r="316" spans="2:37" ht="13.2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25" customHeight="1">
      <c r="B317" s="3" t="s">
        <v>76</v>
      </c>
      <c r="C317" s="3"/>
      <c r="D317" s="3"/>
      <c r="E317" s="3"/>
      <c r="F317" s="3"/>
      <c r="G317" s="3"/>
      <c r="H317" s="1371" t="s">
        <v>2657</v>
      </c>
      <c r="I317" s="1371"/>
      <c r="J317" s="1371"/>
      <c r="K317" s="1371"/>
      <c r="L317" s="1371"/>
      <c r="M317" s="1371"/>
      <c r="N317" s="1407"/>
      <c r="O317" s="1407"/>
      <c r="P317" s="1407"/>
      <c r="Q317" s="1407"/>
      <c r="R317" s="1407"/>
      <c r="S317" s="3"/>
      <c r="T317" s="3" t="s">
        <v>76</v>
      </c>
      <c r="V317" s="3"/>
      <c r="W317" s="3"/>
      <c r="X317" s="3"/>
      <c r="Y317" s="3"/>
      <c r="AA317" s="1518" t="s">
        <v>2680</v>
      </c>
      <c r="AB317" s="1371"/>
      <c r="AC317" s="1371"/>
      <c r="AD317" s="1371"/>
      <c r="AE317" s="1371"/>
      <c r="AF317" s="1371"/>
      <c r="AG317" s="1407"/>
      <c r="AH317" s="1407"/>
      <c r="AI317" s="1407"/>
      <c r="AJ317" s="1407"/>
      <c r="AK317" s="1407"/>
    </row>
    <row r="318" spans="2:37" ht="13.25" customHeight="1"/>
    <row r="319" spans="2:37" ht="13.25"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2674</v>
      </c>
      <c r="AB319" s="1407"/>
      <c r="AC319" s="1407"/>
      <c r="AD319" s="1407"/>
      <c r="AE319" s="1407"/>
      <c r="AF319" s="1407"/>
      <c r="AG319" s="1407"/>
      <c r="AH319" s="1407"/>
      <c r="AI319" s="1407"/>
      <c r="AJ319" s="1407"/>
      <c r="AK319" s="1407"/>
    </row>
    <row r="320" spans="2:37" ht="13.2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2675</v>
      </c>
      <c r="AB320" s="1371"/>
      <c r="AC320" s="1371"/>
      <c r="AD320" s="1371"/>
      <c r="AE320" s="1371"/>
      <c r="AF320" s="1371"/>
      <c r="AG320" s="1371"/>
      <c r="AH320" s="1371"/>
      <c r="AI320" s="1371"/>
      <c r="AJ320" s="1371"/>
      <c r="AK320" s="1371"/>
    </row>
    <row r="321" spans="2:37" ht="13.2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2676</v>
      </c>
      <c r="AB321" s="1371"/>
      <c r="AC321" s="1371"/>
      <c r="AD321" s="1371"/>
      <c r="AE321" s="1371"/>
      <c r="AF321" s="1371"/>
      <c r="AG321" s="1371"/>
      <c r="AH321" s="1371"/>
      <c r="AI321" s="1371"/>
      <c r="AJ321" s="1371"/>
      <c r="AK321" s="1371"/>
    </row>
    <row r="322" spans="2:37" ht="13.2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2677</v>
      </c>
      <c r="AB322" s="1371"/>
      <c r="AC322" s="1371"/>
      <c r="AD322" s="1371"/>
      <c r="AE322" s="1371"/>
      <c r="AF322" s="1371"/>
      <c r="AG322" s="1371"/>
      <c r="AH322" s="1371"/>
      <c r="AI322" s="1371"/>
      <c r="AJ322" s="1371"/>
      <c r="AK322" s="1371"/>
    </row>
    <row r="323" spans="2:37" ht="13.25" customHeight="1">
      <c r="B323" s="3" t="s">
        <v>88</v>
      </c>
      <c r="C323" s="3"/>
      <c r="D323" s="3"/>
      <c r="E323" s="3"/>
      <c r="F323" s="3"/>
      <c r="G323" s="3"/>
      <c r="H323" s="1543"/>
      <c r="I323" s="1543"/>
      <c r="J323" s="1543"/>
      <c r="K323" s="1543"/>
      <c r="L323" s="1543"/>
      <c r="M323" s="1543"/>
      <c r="N323" s="4" t="s">
        <v>206</v>
      </c>
      <c r="O323" s="4"/>
      <c r="P323" s="1526"/>
      <c r="Q323" s="1526"/>
      <c r="R323" s="1526"/>
      <c r="S323" s="3"/>
      <c r="T323" s="3" t="s">
        <v>88</v>
      </c>
      <c r="V323" s="3"/>
      <c r="W323" s="3"/>
      <c r="X323" s="3"/>
      <c r="Y323" s="3"/>
      <c r="AA323" s="1543" t="s">
        <v>2678</v>
      </c>
      <c r="AB323" s="1543"/>
      <c r="AC323" s="1543"/>
      <c r="AD323" s="1543"/>
      <c r="AE323" s="1543"/>
      <c r="AF323" s="1543"/>
      <c r="AG323" s="4" t="s">
        <v>206</v>
      </c>
      <c r="AH323" s="4"/>
      <c r="AI323" s="1526"/>
      <c r="AJ323" s="1526"/>
      <c r="AK323" s="1526"/>
    </row>
    <row r="324" spans="2:37" ht="13.2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25"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2679</v>
      </c>
      <c r="AB325" s="1371"/>
      <c r="AC325" s="1371"/>
      <c r="AD325" s="1371"/>
      <c r="AE325" s="1371"/>
      <c r="AF325" s="1371"/>
      <c r="AG325" s="1407"/>
      <c r="AH325" s="1407"/>
      <c r="AI325" s="1407"/>
      <c r="AJ325" s="1407"/>
      <c r="AK325" s="1407"/>
    </row>
    <row r="326" spans="2:37" ht="13.25" customHeight="1">
      <c r="B326" s="3"/>
      <c r="C326" s="3"/>
      <c r="D326" s="3"/>
      <c r="E326" s="3"/>
      <c r="F326" s="3"/>
      <c r="G326" s="3"/>
      <c r="P326" s="163"/>
      <c r="Q326" s="163"/>
      <c r="R326" s="163"/>
      <c r="S326" s="163"/>
      <c r="T326" s="163"/>
      <c r="U326" s="163"/>
      <c r="V326" s="4"/>
      <c r="W326" s="4"/>
      <c r="X326" s="35"/>
      <c r="Y326" s="35"/>
      <c r="Z326" s="35"/>
    </row>
    <row r="327" spans="2:37" ht="13.25" customHeight="1">
      <c r="B327" s="3" t="s">
        <v>367</v>
      </c>
      <c r="C327" s="3"/>
      <c r="D327" s="3"/>
      <c r="E327" s="3"/>
      <c r="F327" s="3"/>
      <c r="H327" s="1407" t="s">
        <v>2669</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3.25" customHeight="1">
      <c r="B328" s="3" t="s">
        <v>472</v>
      </c>
      <c r="C328" s="3"/>
      <c r="D328" s="3"/>
      <c r="E328" s="3"/>
      <c r="F328" s="3"/>
      <c r="H328" s="1371" t="s">
        <v>2670</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3.25" customHeight="1">
      <c r="B329" s="3" t="s">
        <v>473</v>
      </c>
      <c r="C329" s="3"/>
      <c r="D329" s="3"/>
      <c r="E329" s="3"/>
      <c r="F329" s="3"/>
      <c r="H329" s="1371" t="s">
        <v>2633</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25" customHeight="1">
      <c r="B330" s="3" t="s">
        <v>87</v>
      </c>
      <c r="C330" s="3"/>
      <c r="D330" s="3"/>
      <c r="E330" s="3"/>
      <c r="F330" s="3"/>
      <c r="H330" s="1371" t="s">
        <v>2671</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25" customHeight="1">
      <c r="B331" s="3" t="s">
        <v>88</v>
      </c>
      <c r="C331" s="3"/>
      <c r="D331" s="3"/>
      <c r="E331" s="3"/>
      <c r="F331" s="3"/>
      <c r="G331" s="3"/>
      <c r="H331" s="1543" t="s">
        <v>2672</v>
      </c>
      <c r="I331" s="1543"/>
      <c r="J331" s="1543"/>
      <c r="K331" s="1543"/>
      <c r="L331" s="1543"/>
      <c r="M331" s="1543"/>
      <c r="N331" s="4" t="s">
        <v>206</v>
      </c>
      <c r="O331" s="4"/>
      <c r="P331" s="1526"/>
      <c r="Q331" s="1526"/>
      <c r="R331" s="1526"/>
      <c r="S331" s="3"/>
      <c r="T331" s="3" t="s">
        <v>88</v>
      </c>
      <c r="V331" s="3"/>
      <c r="W331" s="3"/>
      <c r="X331" s="3"/>
      <c r="Y331" s="3"/>
      <c r="AA331" s="1543"/>
      <c r="AB331" s="1543"/>
      <c r="AC331" s="1543"/>
      <c r="AD331" s="1543"/>
      <c r="AE331" s="1543"/>
      <c r="AF331" s="1543"/>
      <c r="AG331" s="4" t="s">
        <v>206</v>
      </c>
      <c r="AH331" s="4"/>
      <c r="AI331" s="1526"/>
      <c r="AJ331" s="1526"/>
      <c r="AK331" s="1526"/>
    </row>
    <row r="332" spans="2:37" ht="13.2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25" customHeight="1">
      <c r="B333" s="3" t="s">
        <v>76</v>
      </c>
      <c r="C333" s="3"/>
      <c r="D333" s="3"/>
      <c r="E333" s="3"/>
      <c r="F333" s="3"/>
      <c r="G333" s="3"/>
      <c r="H333" s="1371" t="s">
        <v>2673</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25" customHeight="1">
      <c r="B334" s="3"/>
      <c r="C334" s="3"/>
      <c r="D334" s="3"/>
      <c r="E334" s="3"/>
      <c r="F334" s="3"/>
      <c r="G334" s="3"/>
      <c r="P334" s="163"/>
      <c r="Q334" s="163"/>
      <c r="R334" s="163"/>
      <c r="S334" s="163"/>
      <c r="T334" s="163"/>
      <c r="U334" s="163"/>
      <c r="V334" s="4"/>
      <c r="W334" s="4"/>
      <c r="X334" s="35"/>
      <c r="Y334" s="35"/>
      <c r="Z334" s="35"/>
    </row>
    <row r="335" spans="2:37" ht="13.25" customHeight="1">
      <c r="B335" s="3" t="s">
        <v>329</v>
      </c>
      <c r="C335" s="3"/>
      <c r="D335" s="3"/>
      <c r="E335" s="3"/>
      <c r="F335" s="3"/>
      <c r="H335" s="1523" t="s">
        <v>2686</v>
      </c>
      <c r="I335" s="1407"/>
      <c r="J335" s="1407"/>
      <c r="K335" s="1407"/>
      <c r="L335" s="1407"/>
      <c r="M335" s="1407"/>
      <c r="N335" s="1407"/>
      <c r="O335" s="1407"/>
      <c r="P335" s="1407"/>
      <c r="Q335" s="1407"/>
      <c r="R335" s="1407"/>
      <c r="T335" s="204" t="s">
        <v>887</v>
      </c>
      <c r="V335" s="3"/>
      <c r="W335" s="3"/>
      <c r="X335" s="3"/>
      <c r="Y335" s="3"/>
      <c r="AA335" s="1407" t="s">
        <v>2681</v>
      </c>
      <c r="AB335" s="1407"/>
      <c r="AC335" s="1407"/>
      <c r="AD335" s="1407"/>
      <c r="AE335" s="1407"/>
      <c r="AF335" s="1407"/>
      <c r="AG335" s="1407"/>
      <c r="AH335" s="1407"/>
      <c r="AI335" s="1407"/>
      <c r="AJ335" s="1407"/>
      <c r="AK335" s="1407"/>
    </row>
    <row r="336" spans="2:37" ht="13.25" customHeight="1">
      <c r="B336" s="3" t="s">
        <v>472</v>
      </c>
      <c r="C336" s="3"/>
      <c r="D336" s="3"/>
      <c r="E336" s="3"/>
      <c r="F336" s="3"/>
      <c r="H336" s="1518" t="s">
        <v>2687</v>
      </c>
      <c r="I336" s="1371"/>
      <c r="J336" s="1371"/>
      <c r="K336" s="1371"/>
      <c r="L336" s="1371"/>
      <c r="M336" s="1371"/>
      <c r="N336" s="1371"/>
      <c r="O336" s="1371"/>
      <c r="P336" s="1371"/>
      <c r="Q336" s="1371"/>
      <c r="R336" s="1371"/>
      <c r="T336" s="3" t="s">
        <v>472</v>
      </c>
      <c r="V336" s="3"/>
      <c r="W336" s="3"/>
      <c r="X336" s="3"/>
      <c r="Y336" s="3"/>
      <c r="AA336" s="1371" t="s">
        <v>2627</v>
      </c>
      <c r="AB336" s="1371"/>
      <c r="AC336" s="1371"/>
      <c r="AD336" s="1371"/>
      <c r="AE336" s="1371"/>
      <c r="AF336" s="1371"/>
      <c r="AG336" s="1371"/>
      <c r="AH336" s="1371"/>
      <c r="AI336" s="1371"/>
      <c r="AJ336" s="1371"/>
      <c r="AK336" s="1371"/>
    </row>
    <row r="337" spans="1:66" ht="13.25" customHeight="1">
      <c r="B337" s="3" t="s">
        <v>75</v>
      </c>
      <c r="C337" s="3"/>
      <c r="D337" s="3"/>
      <c r="E337" s="3"/>
      <c r="F337" s="3"/>
      <c r="H337" s="1518" t="s">
        <v>2688</v>
      </c>
      <c r="I337" s="1371"/>
      <c r="J337" s="1371"/>
      <c r="K337" s="1371"/>
      <c r="L337" s="1371"/>
      <c r="M337" s="1371"/>
      <c r="N337" s="1371"/>
      <c r="O337" s="1371"/>
      <c r="P337" s="1371"/>
      <c r="Q337" s="1371"/>
      <c r="R337" s="1371"/>
      <c r="T337" s="3" t="s">
        <v>75</v>
      </c>
      <c r="V337" s="3"/>
      <c r="W337" s="3"/>
      <c r="X337" s="3"/>
      <c r="Y337" s="3"/>
      <c r="AA337" s="1371" t="s">
        <v>2682</v>
      </c>
      <c r="AB337" s="1371"/>
      <c r="AC337" s="1371"/>
      <c r="AD337" s="1371"/>
      <c r="AE337" s="1371"/>
      <c r="AF337" s="1371"/>
      <c r="AG337" s="1371"/>
      <c r="AH337" s="1371"/>
      <c r="AI337" s="1371"/>
      <c r="AJ337" s="1371"/>
      <c r="AK337" s="1371"/>
    </row>
    <row r="338" spans="1:66" ht="13.25" customHeight="1">
      <c r="B338" s="3" t="s">
        <v>87</v>
      </c>
      <c r="C338" s="3"/>
      <c r="D338" s="3"/>
      <c r="E338" s="3"/>
      <c r="F338" s="3"/>
      <c r="G338" s="3"/>
      <c r="H338" s="1518" t="s">
        <v>2689</v>
      </c>
      <c r="I338" s="1371"/>
      <c r="J338" s="1371"/>
      <c r="K338" s="1371"/>
      <c r="L338" s="1371"/>
      <c r="M338" s="1371"/>
      <c r="N338" s="1371"/>
      <c r="O338" s="1371"/>
      <c r="P338" s="1371"/>
      <c r="Q338" s="1371"/>
      <c r="R338" s="1371"/>
      <c r="T338" s="3" t="s">
        <v>87</v>
      </c>
      <c r="V338" s="3"/>
      <c r="W338" s="3"/>
      <c r="X338" s="3"/>
      <c r="Y338" s="3"/>
      <c r="AA338" s="1371" t="s">
        <v>2683</v>
      </c>
      <c r="AB338" s="1371"/>
      <c r="AC338" s="1371"/>
      <c r="AD338" s="1371"/>
      <c r="AE338" s="1371"/>
      <c r="AF338" s="1371"/>
      <c r="AG338" s="1371"/>
      <c r="AH338" s="1371"/>
      <c r="AI338" s="1371"/>
      <c r="AJ338" s="1371"/>
      <c r="AK338" s="1371"/>
    </row>
    <row r="339" spans="1:66" ht="13.25" customHeight="1">
      <c r="B339" s="3" t="s">
        <v>88</v>
      </c>
      <c r="C339" s="3"/>
      <c r="D339" s="3"/>
      <c r="E339" s="3"/>
      <c r="F339" s="3"/>
      <c r="G339" s="3"/>
      <c r="H339" s="1577" t="s">
        <v>2690</v>
      </c>
      <c r="I339" s="1543"/>
      <c r="J339" s="1543"/>
      <c r="K339" s="1543"/>
      <c r="L339" s="1543"/>
      <c r="M339" s="1543"/>
      <c r="N339" s="4" t="s">
        <v>206</v>
      </c>
      <c r="O339" s="4"/>
      <c r="P339" s="1526"/>
      <c r="Q339" s="1526"/>
      <c r="R339" s="1526"/>
      <c r="S339" s="3"/>
      <c r="T339" s="3" t="s">
        <v>88</v>
      </c>
      <c r="V339" s="3"/>
      <c r="W339" s="3"/>
      <c r="X339" s="3"/>
      <c r="Y339" s="3"/>
      <c r="AA339" s="1543" t="s">
        <v>2684</v>
      </c>
      <c r="AB339" s="1543"/>
      <c r="AC339" s="1543"/>
      <c r="AD339" s="1543"/>
      <c r="AE339" s="1543"/>
      <c r="AF339" s="1543"/>
      <c r="AG339" s="4" t="s">
        <v>206</v>
      </c>
      <c r="AH339" s="4"/>
      <c r="AI339" s="1526"/>
      <c r="AJ339" s="1526"/>
      <c r="AK339" s="1526"/>
    </row>
    <row r="340" spans="1:66" ht="13.2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25" customHeight="1">
      <c r="B341" s="3" t="s">
        <v>76</v>
      </c>
      <c r="C341" s="3"/>
      <c r="D341" s="3"/>
      <c r="E341" s="3"/>
      <c r="F341" s="3"/>
      <c r="G341" s="3"/>
      <c r="H341" s="1518" t="s">
        <v>2691</v>
      </c>
      <c r="I341" s="1371"/>
      <c r="J341" s="1371"/>
      <c r="K341" s="1371"/>
      <c r="L341" s="1371"/>
      <c r="M341" s="1371"/>
      <c r="N341" s="1407"/>
      <c r="O341" s="1407"/>
      <c r="P341" s="1407"/>
      <c r="Q341" s="1407"/>
      <c r="R341" s="1407"/>
      <c r="S341" s="3"/>
      <c r="T341" s="3" t="s">
        <v>76</v>
      </c>
      <c r="V341" s="3"/>
      <c r="W341" s="3"/>
      <c r="X341" s="3"/>
      <c r="Y341" s="3"/>
      <c r="AA341" s="1371" t="s">
        <v>2685</v>
      </c>
      <c r="AB341" s="1371"/>
      <c r="AC341" s="1371"/>
      <c r="AD341" s="1371"/>
      <c r="AE341" s="1371"/>
      <c r="AF341" s="1371"/>
      <c r="AG341" s="1407"/>
      <c r="AH341" s="1407"/>
      <c r="AI341" s="1407"/>
      <c r="AJ341" s="1407"/>
      <c r="AK341" s="1407"/>
    </row>
    <row r="342" spans="1:66" ht="13.2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2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3.2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2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2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2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3.2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2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25" customHeight="1">
      <c r="T350" s="8"/>
      <c r="U350" s="8"/>
      <c r="V350" s="8"/>
      <c r="W350" s="8"/>
      <c r="X350" s="8"/>
      <c r="Y350" s="8"/>
      <c r="Z350" s="8"/>
      <c r="AU350" s="95"/>
      <c r="AV350" s="95"/>
      <c r="AW350" s="95"/>
      <c r="AX350" s="95"/>
      <c r="AY350" s="95"/>
    </row>
    <row r="351" spans="1:66" ht="13.2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2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2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25" customHeight="1">
      <c r="A354" s="2" t="s">
        <v>319</v>
      </c>
      <c r="B354" s="2"/>
      <c r="C354" s="2" t="s">
        <v>783</v>
      </c>
    </row>
    <row r="355" spans="1:46" ht="13.25" customHeight="1">
      <c r="D355" s="3" t="s">
        <v>2099</v>
      </c>
      <c r="M355" s="1415" t="s">
        <v>546</v>
      </c>
      <c r="N355" s="1415"/>
      <c r="P355" t="s">
        <v>1651</v>
      </c>
      <c r="AJ355" s="1415" t="s">
        <v>546</v>
      </c>
      <c r="AK355" s="1415"/>
    </row>
    <row r="356" spans="1:46" ht="13.25" customHeight="1">
      <c r="D356" s="3" t="s">
        <v>1640</v>
      </c>
      <c r="M356" s="1415" t="s">
        <v>592</v>
      </c>
      <c r="N356" s="1415"/>
      <c r="P356" s="3" t="s">
        <v>1720</v>
      </c>
      <c r="AJ356" s="1382">
        <v>8</v>
      </c>
      <c r="AK356" s="1382"/>
    </row>
    <row r="357" spans="1:46" ht="13.25" customHeight="1">
      <c r="D357" s="3" t="s">
        <v>705</v>
      </c>
      <c r="M357" s="1415" t="s">
        <v>592</v>
      </c>
      <c r="N357" s="1415"/>
      <c r="P357" t="s">
        <v>1650</v>
      </c>
      <c r="AJ357" s="1415" t="s">
        <v>546</v>
      </c>
      <c r="AK357" s="1415"/>
    </row>
    <row r="358" spans="1:46" ht="13.25" customHeight="1">
      <c r="D358" s="3" t="s">
        <v>706</v>
      </c>
      <c r="M358" s="1415" t="s">
        <v>592</v>
      </c>
      <c r="N358" s="1415"/>
      <c r="Q358" s="4"/>
    </row>
    <row r="359" spans="1:46" ht="13.25" customHeight="1">
      <c r="Q359" s="4"/>
    </row>
    <row r="360" spans="1:46" ht="13.25" customHeight="1">
      <c r="Q360" s="4"/>
    </row>
    <row r="361" spans="1:46" ht="13.25" customHeight="1">
      <c r="A361" s="2" t="s">
        <v>577</v>
      </c>
      <c r="B361" s="2"/>
      <c r="C361" s="2" t="s">
        <v>553</v>
      </c>
      <c r="D361" s="2"/>
    </row>
    <row r="362" spans="1:46" ht="13.2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2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3.25" customHeight="1">
      <c r="E364" t="s">
        <v>370</v>
      </c>
      <c r="Y364" s="1415" t="s">
        <v>592</v>
      </c>
      <c r="Z364" s="1415"/>
    </row>
    <row r="365" spans="1:46" ht="13.2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3.2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2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2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2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2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3.2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2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25"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25"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25" customHeight="1">
      <c r="C375" s="512"/>
      <c r="E375" s="4"/>
      <c r="F375" s="4"/>
      <c r="G375" s="4"/>
      <c r="H375" s="4"/>
      <c r="I375" s="4"/>
      <c r="J375" s="4"/>
      <c r="K375" s="4"/>
      <c r="L375" s="4"/>
    </row>
    <row r="376" spans="1:34" ht="13.25" customHeight="1">
      <c r="D376" s="2" t="s">
        <v>976</v>
      </c>
      <c r="E376" s="2"/>
      <c r="F376" s="4"/>
      <c r="G376" s="4"/>
      <c r="H376" s="4"/>
      <c r="I376" s="4"/>
      <c r="J376" s="4"/>
      <c r="K376" s="4"/>
      <c r="L376" s="4"/>
    </row>
    <row r="377" spans="1:34" ht="13.25" customHeight="1">
      <c r="E377" s="4" t="s">
        <v>2085</v>
      </c>
      <c r="F377" s="4"/>
      <c r="G377" s="4"/>
      <c r="H377" s="4"/>
      <c r="I377" s="4"/>
      <c r="J377" s="4"/>
      <c r="K377" s="4"/>
      <c r="L377" s="4"/>
      <c r="N377" t="s">
        <v>2080</v>
      </c>
      <c r="R377" s="27" t="s">
        <v>305</v>
      </c>
      <c r="S377" s="1443"/>
      <c r="T377" s="1443"/>
      <c r="U377" s="1" t="s">
        <v>306</v>
      </c>
      <c r="V377" s="1443"/>
      <c r="W377" s="1443"/>
      <c r="Y377" t="s">
        <v>2080</v>
      </c>
      <c r="AC377" s="27" t="s">
        <v>305</v>
      </c>
      <c r="AD377" s="1443"/>
      <c r="AE377" s="1443"/>
      <c r="AF377" s="1" t="s">
        <v>306</v>
      </c>
      <c r="AG377" s="1443"/>
      <c r="AH377" s="1443"/>
    </row>
    <row r="378" spans="1:34" ht="13.25" customHeight="1">
      <c r="E378" s="4" t="s">
        <v>988</v>
      </c>
      <c r="F378" s="4"/>
      <c r="G378" s="4"/>
      <c r="H378" s="4"/>
      <c r="I378" s="4"/>
      <c r="J378" s="4"/>
      <c r="K378" s="4"/>
      <c r="L378" s="4"/>
      <c r="N378" s="1443"/>
      <c r="O378" s="1443"/>
      <c r="P378" s="1443"/>
    </row>
    <row r="379" spans="1:34" ht="13.25" customHeight="1">
      <c r="E379" s="204" t="s">
        <v>2086</v>
      </c>
      <c r="F379" s="4"/>
      <c r="G379" s="4"/>
      <c r="H379" s="4"/>
      <c r="I379" s="4"/>
      <c r="J379" s="4"/>
      <c r="K379" s="4"/>
      <c r="L379" s="4"/>
      <c r="AG379" s="1446" t="s">
        <v>592</v>
      </c>
      <c r="AH379" s="1446"/>
    </row>
    <row r="380" spans="1:34" ht="13.25" customHeight="1">
      <c r="E380" s="4"/>
      <c r="F380" s="4"/>
      <c r="G380" s="4" t="s">
        <v>2087</v>
      </c>
      <c r="H380" s="4"/>
      <c r="I380" s="4"/>
      <c r="J380" s="4"/>
      <c r="K380" s="4"/>
      <c r="L380" s="4"/>
      <c r="AG380" s="1446" t="s">
        <v>592</v>
      </c>
      <c r="AH380" s="1446"/>
    </row>
    <row r="381" spans="1:34" ht="13.25" customHeight="1">
      <c r="E381" s="4"/>
      <c r="F381" s="4"/>
      <c r="G381" s="320" t="s">
        <v>989</v>
      </c>
      <c r="H381" s="4"/>
      <c r="I381" s="4"/>
      <c r="J381" s="4"/>
      <c r="K381" s="4"/>
      <c r="L381" s="4"/>
      <c r="V381" s="1415" t="s">
        <v>592</v>
      </c>
      <c r="W381" s="1415"/>
      <c r="Y381" s="22" t="s">
        <v>981</v>
      </c>
    </row>
    <row r="382" spans="1:34" ht="13.25" customHeight="1">
      <c r="E382" s="4" t="s">
        <v>982</v>
      </c>
      <c r="F382" s="4"/>
      <c r="G382" s="4"/>
      <c r="H382" s="4"/>
      <c r="I382" s="4"/>
      <c r="J382" s="4"/>
      <c r="K382" s="4"/>
      <c r="L382" s="4"/>
      <c r="V382" s="1415" t="s">
        <v>592</v>
      </c>
      <c r="W382" s="1415"/>
      <c r="Y382" s="4" t="s">
        <v>983</v>
      </c>
    </row>
    <row r="383" spans="1:34" ht="13.25" customHeight="1"/>
    <row r="384" spans="1:34" ht="13.25" customHeight="1">
      <c r="A384" s="2" t="s">
        <v>78</v>
      </c>
      <c r="B384" s="2"/>
    </row>
    <row r="385" spans="4:36" ht="13.25" customHeight="1">
      <c r="D385" t="s">
        <v>428</v>
      </c>
      <c r="J385" s="1407" t="s">
        <v>2692</v>
      </c>
      <c r="K385" s="1407"/>
      <c r="L385" s="1407"/>
      <c r="M385" s="1407"/>
      <c r="N385" s="1407"/>
      <c r="O385" s="1407"/>
      <c r="P385" s="1407"/>
      <c r="Q385" s="1407"/>
      <c r="R385" s="1407"/>
      <c r="S385" s="1407"/>
      <c r="T385" s="1407"/>
      <c r="U385" s="1407"/>
      <c r="V385" s="8" t="s">
        <v>83</v>
      </c>
      <c r="W385" s="8"/>
      <c r="X385" s="8"/>
      <c r="Y385" s="8"/>
      <c r="Z385" s="8"/>
      <c r="AA385" s="8"/>
      <c r="AB385" s="8"/>
      <c r="AC385" s="1407" t="s">
        <v>2693</v>
      </c>
      <c r="AD385" s="1407"/>
      <c r="AE385" s="1407"/>
      <c r="AF385" s="1407"/>
      <c r="AG385" s="1407"/>
      <c r="AH385" s="1407"/>
      <c r="AI385" s="1407"/>
      <c r="AJ385" s="1407"/>
    </row>
    <row r="386" spans="4:36" ht="13.25" customHeight="1">
      <c r="D386" s="3" t="s">
        <v>1183</v>
      </c>
      <c r="J386" s="1371" t="s">
        <v>2693</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3.25" customHeight="1">
      <c r="D387" s="3" t="s">
        <v>442</v>
      </c>
      <c r="J387" s="1371" t="s">
        <v>2694</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3.25" customHeight="1">
      <c r="D388" t="s">
        <v>1179</v>
      </c>
      <c r="J388" s="1427" t="s">
        <v>2695</v>
      </c>
      <c r="K388" s="1427"/>
      <c r="L388" s="1427"/>
      <c r="M388" s="1427"/>
      <c r="N388" s="1427"/>
      <c r="O388" s="1427"/>
      <c r="P388" s="1427"/>
      <c r="Q388" s="1427"/>
      <c r="R388" s="1427"/>
      <c r="S388" s="1427"/>
      <c r="T388" s="1427"/>
      <c r="U388" s="1427"/>
      <c r="V388" s="1407" t="s">
        <v>2696</v>
      </c>
      <c r="W388" s="1407"/>
      <c r="X388" s="1407"/>
      <c r="Y388" s="1407"/>
      <c r="Z388" s="1407"/>
      <c r="AA388" s="1407"/>
      <c r="AB388" s="1407"/>
      <c r="AC388" s="1407"/>
      <c r="AD388" s="1407"/>
      <c r="AE388" s="1407"/>
      <c r="AF388" s="1407"/>
      <c r="AG388" s="1407"/>
      <c r="AH388" s="1407"/>
      <c r="AI388" s="1407"/>
      <c r="AJ388" s="1407"/>
    </row>
    <row r="389" spans="4:36" ht="13.25" customHeight="1">
      <c r="D389" t="s">
        <v>4</v>
      </c>
      <c r="Q389" s="1588">
        <v>45904</v>
      </c>
      <c r="R389" s="1588"/>
      <c r="S389" s="1588"/>
      <c r="T389" s="1588"/>
      <c r="U389" s="1588"/>
      <c r="V389" t="s">
        <v>309</v>
      </c>
      <c r="AI389" s="1415" t="s">
        <v>670</v>
      </c>
      <c r="AJ389" s="1415"/>
    </row>
    <row r="390" spans="4:36" ht="13.25" customHeight="1">
      <c r="D390" t="s">
        <v>5</v>
      </c>
      <c r="Q390" s="1521">
        <v>46150</v>
      </c>
      <c r="R390" s="1522"/>
      <c r="S390" s="1522"/>
      <c r="T390" s="1522"/>
      <c r="U390" s="1522"/>
      <c r="W390" s="21" t="s">
        <v>74</v>
      </c>
      <c r="AG390" s="1448"/>
      <c r="AH390" s="1448"/>
      <c r="AI390" s="1448"/>
      <c r="AJ390" s="1448"/>
    </row>
    <row r="391" spans="4:36" ht="13.25" customHeight="1">
      <c r="D391" t="s">
        <v>427</v>
      </c>
      <c r="Q391" s="1449">
        <v>6750000</v>
      </c>
      <c r="R391" s="1449"/>
      <c r="S391" s="1449"/>
      <c r="T391" s="1449"/>
      <c r="U391" s="1449"/>
      <c r="V391" s="3" t="s">
        <v>1182</v>
      </c>
      <c r="AG391" s="1519">
        <v>45992</v>
      </c>
      <c r="AH391" s="1519"/>
      <c r="AI391" s="1519"/>
      <c r="AJ391" s="1519"/>
    </row>
    <row r="392" spans="4:36" ht="13.25" customHeight="1">
      <c r="D392" t="s">
        <v>88</v>
      </c>
      <c r="I392" s="1543"/>
      <c r="J392" s="1543"/>
      <c r="K392" s="1543"/>
      <c r="L392" s="1543"/>
      <c r="M392" s="1543"/>
      <c r="N392" s="1543"/>
      <c r="Q392" s="4" t="s">
        <v>206</v>
      </c>
      <c r="S392" s="1447"/>
      <c r="T392" s="1447"/>
      <c r="U392" s="1447"/>
      <c r="V392" t="s">
        <v>73</v>
      </c>
      <c r="AI392" s="1415" t="s">
        <v>546</v>
      </c>
      <c r="AJ392" s="1415"/>
    </row>
    <row r="393" spans="4:36" ht="13.25" customHeight="1">
      <c r="D393" t="s">
        <v>310</v>
      </c>
      <c r="Q393" s="1525"/>
      <c r="R393" s="1525"/>
      <c r="S393" s="1525"/>
      <c r="T393" s="1525"/>
      <c r="U393" s="1525"/>
      <c r="V393" t="s">
        <v>311</v>
      </c>
      <c r="AG393" s="1448">
        <v>0</v>
      </c>
      <c r="AH393" s="1448"/>
      <c r="AI393" s="1448"/>
      <c r="AJ393" s="1448"/>
    </row>
    <row r="394" spans="4:36" ht="13.25" customHeight="1">
      <c r="D394" t="s">
        <v>312</v>
      </c>
      <c r="Q394" s="1578"/>
      <c r="R394" s="1578"/>
      <c r="S394" s="1578"/>
      <c r="T394" s="1578"/>
      <c r="U394" s="1578"/>
      <c r="V394" t="s">
        <v>1164</v>
      </c>
      <c r="AG394" s="1448"/>
      <c r="AH394" s="1448"/>
      <c r="AI394" s="1448"/>
      <c r="AJ394" s="1448"/>
    </row>
    <row r="395" spans="4:36" ht="13.25" customHeight="1">
      <c r="D395" t="s">
        <v>1163</v>
      </c>
      <c r="AG395" s="1448"/>
      <c r="AH395" s="1448"/>
      <c r="AI395" s="1448"/>
      <c r="AJ395" s="1448"/>
    </row>
    <row r="396" spans="4:36" ht="13.25" customHeight="1">
      <c r="AG396" s="456"/>
      <c r="AH396" s="456"/>
      <c r="AI396" s="456"/>
      <c r="AJ396" s="456"/>
    </row>
    <row r="397" spans="4:36" ht="13.25" customHeight="1">
      <c r="D397" s="3" t="s">
        <v>2143</v>
      </c>
      <c r="AG397" s="456"/>
      <c r="AH397" s="456"/>
      <c r="AI397" s="1415" t="s">
        <v>670</v>
      </c>
      <c r="AJ397" s="1415"/>
    </row>
    <row r="398" spans="4:36" ht="13.2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3.2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3.25" customHeight="1">
      <c r="AG400" s="456"/>
      <c r="AH400" s="456"/>
      <c r="AI400" s="456"/>
      <c r="AJ400" s="456"/>
    </row>
    <row r="401" spans="1:36" ht="13.25" customHeight="1">
      <c r="D401" s="3" t="s">
        <v>1661</v>
      </c>
      <c r="S401" s="1434" t="s">
        <v>670</v>
      </c>
      <c r="T401" s="1434"/>
      <c r="U401" s="1434"/>
      <c r="V401" t="s">
        <v>1662</v>
      </c>
      <c r="AG401" s="1524"/>
      <c r="AH401" s="1524"/>
      <c r="AI401" s="1524"/>
      <c r="AJ401" s="1524"/>
    </row>
    <row r="402" spans="1:36" ht="13.25" customHeight="1">
      <c r="D402" s="3" t="s">
        <v>1659</v>
      </c>
      <c r="S402" s="1434" t="s">
        <v>592</v>
      </c>
      <c r="T402" s="1434"/>
      <c r="U402" s="1434"/>
      <c r="V402" t="s">
        <v>1664</v>
      </c>
      <c r="AE402" s="1517"/>
      <c r="AF402" s="1517"/>
      <c r="AG402" s="1517"/>
      <c r="AH402" s="1517"/>
      <c r="AI402" s="1517"/>
      <c r="AJ402" s="1517"/>
    </row>
    <row r="403" spans="1:36" ht="13.25"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25"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25" customHeight="1">
      <c r="D405" s="3" t="s">
        <v>1666</v>
      </c>
      <c r="E405" s="477"/>
      <c r="F405" s="477"/>
      <c r="G405" s="477"/>
      <c r="H405" s="477"/>
      <c r="I405" s="477"/>
      <c r="J405" s="477"/>
      <c r="K405" s="477"/>
      <c r="L405" s="477"/>
      <c r="M405" s="477"/>
      <c r="N405" s="477"/>
      <c r="O405" s="477"/>
      <c r="P405" s="477"/>
      <c r="Q405" s="477"/>
      <c r="R405" s="477"/>
      <c r="S405" s="1445" t="s">
        <v>2742</v>
      </c>
      <c r="T405" s="1445"/>
      <c r="U405" s="1445"/>
      <c r="V405" s="1445"/>
      <c r="W405" s="1445"/>
      <c r="X405" s="1445"/>
      <c r="Y405" s="1445"/>
      <c r="Z405" s="1445"/>
      <c r="AA405" s="1445"/>
      <c r="AB405" s="1445"/>
      <c r="AC405" s="1445"/>
      <c r="AD405" s="1445"/>
      <c r="AE405" s="1445"/>
      <c r="AF405" s="1445"/>
      <c r="AG405" s="1445"/>
      <c r="AH405" s="1445"/>
      <c r="AI405" s="1445"/>
      <c r="AJ405" s="1445"/>
    </row>
    <row r="406" spans="1:36" ht="13.2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2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25" customHeight="1">
      <c r="AG408" s="456"/>
      <c r="AH408" s="456"/>
      <c r="AI408" s="456"/>
      <c r="AJ408" s="456"/>
    </row>
    <row r="409" spans="1:36" ht="13.25" customHeight="1">
      <c r="A409" s="2" t="s">
        <v>590</v>
      </c>
      <c r="B409" s="2"/>
      <c r="C409" s="2" t="s">
        <v>111</v>
      </c>
    </row>
    <row r="410" spans="1:36" ht="13.25" customHeight="1">
      <c r="B410" s="2"/>
      <c r="C410" s="2"/>
      <c r="D410" s="2" t="s">
        <v>1205</v>
      </c>
      <c r="I410" s="1523" t="s">
        <v>2732</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3.25" customHeight="1">
      <c r="E411" t="s">
        <v>106</v>
      </c>
      <c r="R411" s="1415" t="s">
        <v>546</v>
      </c>
      <c r="S411" s="1415"/>
      <c r="AC411" s="27" t="s">
        <v>571</v>
      </c>
      <c r="AD411" s="1390">
        <v>7</v>
      </c>
      <c r="AE411" s="1390"/>
    </row>
    <row r="412" spans="1:36" ht="13.25" customHeight="1">
      <c r="E412" t="s">
        <v>107</v>
      </c>
      <c r="R412" s="1415" t="s">
        <v>592</v>
      </c>
      <c r="S412" s="1415"/>
      <c r="AC412" s="27" t="s">
        <v>571</v>
      </c>
      <c r="AD412" s="1390"/>
      <c r="AE412" s="1390"/>
    </row>
    <row r="413" spans="1:36" ht="13.25" customHeight="1">
      <c r="E413" t="s">
        <v>108</v>
      </c>
      <c r="S413" s="1415" t="s">
        <v>592</v>
      </c>
      <c r="T413" s="1415"/>
    </row>
    <row r="414" spans="1:36" ht="13.25" customHeight="1">
      <c r="E414" t="s">
        <v>170</v>
      </c>
      <c r="H414" s="1579" t="s">
        <v>334</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3.2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3.25" customHeight="1"/>
    <row r="417" spans="1:39" ht="13.25" customHeight="1">
      <c r="A417" s="2" t="s">
        <v>591</v>
      </c>
      <c r="B417" s="2"/>
      <c r="C417" s="2"/>
      <c r="D417" s="2" t="s">
        <v>114</v>
      </c>
      <c r="AF417" s="2" t="s">
        <v>958</v>
      </c>
    </row>
    <row r="418" spans="1:39" ht="13.25" customHeight="1">
      <c r="E418" s="1443"/>
      <c r="F418" s="1443"/>
      <c r="G418" s="1443"/>
      <c r="H418" s="13" t="s">
        <v>115</v>
      </c>
      <c r="I418" s="1443"/>
      <c r="J418" s="1443"/>
      <c r="K418" s="1443"/>
      <c r="L418" t="s">
        <v>116</v>
      </c>
      <c r="N418" s="27" t="s">
        <v>576</v>
      </c>
      <c r="P418" s="1582">
        <v>0.32</v>
      </c>
      <c r="Q418" s="1582"/>
      <c r="R418" s="1582"/>
      <c r="S418" t="s">
        <v>117</v>
      </c>
      <c r="W418" s="1444">
        <f>IF(E418&gt;0,(E418*I418),(P418*43560))</f>
        <v>13939.2</v>
      </c>
      <c r="X418" s="1444"/>
      <c r="Y418" s="1444"/>
      <c r="Z418" t="s">
        <v>118</v>
      </c>
      <c r="AF418" s="1583">
        <f>IFERROR(IF(P418&gt;0,(AG437/P418),(AG437/(W418/43560))),0)</f>
        <v>243.75</v>
      </c>
      <c r="AG418" s="1583"/>
      <c r="AH418" s="1583"/>
      <c r="AM418" s="3"/>
    </row>
    <row r="419" spans="1:39" ht="13.25" customHeight="1">
      <c r="E419" t="s">
        <v>51</v>
      </c>
    </row>
    <row r="420" spans="1:39" ht="13.2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25" customHeight="1">
      <c r="E421" s="118" t="s">
        <v>1737</v>
      </c>
      <c r="F421" s="1013"/>
      <c r="G421" s="1013"/>
      <c r="H421" s="1013"/>
      <c r="I421" s="1581">
        <v>0.31900000000000001</v>
      </c>
      <c r="J421" s="1581"/>
      <c r="K421" s="1581"/>
      <c r="L421" s="1013"/>
      <c r="M421" s="118"/>
      <c r="N421" s="1013"/>
      <c r="O421" s="1013"/>
      <c r="P421" s="1834">
        <f>(DU755+DU778+DU800)/I421</f>
        <v>413.79310344827587</v>
      </c>
      <c r="Q421" s="1834"/>
      <c r="R421" s="1834"/>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25" customHeight="1"/>
    <row r="423" spans="1:39" ht="13.25" customHeight="1">
      <c r="A423" s="2" t="s">
        <v>593</v>
      </c>
      <c r="B423" s="2"/>
      <c r="C423" s="2"/>
      <c r="D423" s="2" t="s">
        <v>120</v>
      </c>
    </row>
    <row r="424" spans="1:39" ht="13.25" customHeight="1">
      <c r="E424" t="s">
        <v>121</v>
      </c>
      <c r="P424" s="1415">
        <v>1</v>
      </c>
      <c r="Q424" s="1415"/>
      <c r="S424" t="s">
        <v>189</v>
      </c>
      <c r="AE424" s="1415">
        <v>1</v>
      </c>
      <c r="AF424" s="1415"/>
    </row>
    <row r="425" spans="1:39" ht="13.25" customHeight="1">
      <c r="E425" t="s">
        <v>190</v>
      </c>
      <c r="P425" s="1415">
        <v>0</v>
      </c>
      <c r="Q425" s="1415"/>
      <c r="S425" t="s">
        <v>131</v>
      </c>
      <c r="AE425" s="1415" t="s">
        <v>546</v>
      </c>
      <c r="AF425" s="1415"/>
    </row>
    <row r="426" spans="1:39" ht="13.25" customHeight="1">
      <c r="F426" s="28" t="s">
        <v>132</v>
      </c>
    </row>
    <row r="427" spans="1:39" ht="13.25" customHeight="1">
      <c r="F427" s="1529" t="s">
        <v>2697</v>
      </c>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2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25" customHeight="1">
      <c r="E429" t="s">
        <v>609</v>
      </c>
      <c r="P429" s="1"/>
      <c r="Q429" s="1415" t="s">
        <v>546</v>
      </c>
      <c r="R429" s="1415"/>
    </row>
    <row r="430" spans="1:39" ht="13.25" customHeight="1">
      <c r="F430" t="s">
        <v>610</v>
      </c>
      <c r="P430" s="1"/>
      <c r="Q430" s="1"/>
      <c r="AF430" s="1415" t="s">
        <v>592</v>
      </c>
      <c r="AG430" s="1505"/>
    </row>
    <row r="431" spans="1:39" ht="13.25" customHeight="1"/>
    <row r="432" spans="1:39" ht="13.25" customHeight="1">
      <c r="A432" s="2"/>
      <c r="B432" s="2"/>
      <c r="C432" s="2"/>
      <c r="E432" s="4" t="s">
        <v>308</v>
      </c>
      <c r="Z432" s="1415" t="s">
        <v>670</v>
      </c>
      <c r="AA432" s="1415"/>
    </row>
    <row r="433" spans="1:55" ht="13.2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2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25" customHeight="1"/>
    <row r="436" spans="1:55" ht="13.25" customHeight="1">
      <c r="A436" s="2" t="s">
        <v>468</v>
      </c>
      <c r="B436" s="2"/>
      <c r="C436" s="2"/>
      <c r="D436" s="2" t="s">
        <v>765</v>
      </c>
      <c r="AF436" s="48"/>
    </row>
    <row r="437" spans="1:55" ht="13.2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78</v>
      </c>
      <c r="AH437" s="1385"/>
      <c r="AI437" s="1385"/>
      <c r="AJ437" s="1385"/>
    </row>
    <row r="438" spans="1:55" ht="13.2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3.2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77</v>
      </c>
      <c r="AH439" s="1385"/>
      <c r="AI439" s="1385"/>
      <c r="AJ439" s="1385"/>
    </row>
    <row r="440" spans="1:55" ht="13.2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77</v>
      </c>
      <c r="AH440" s="1385"/>
      <c r="AI440" s="1385"/>
      <c r="AJ440" s="1385"/>
    </row>
    <row r="441" spans="1:55" ht="13.2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2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55650</v>
      </c>
      <c r="AH442" s="1416"/>
      <c r="AI442" s="1416"/>
      <c r="AJ442" s="1416"/>
    </row>
    <row r="443" spans="1:55" ht="13.2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55650</v>
      </c>
      <c r="AH443" s="1416"/>
      <c r="AI443" s="1416"/>
      <c r="AJ443" s="1416"/>
    </row>
    <row r="444" spans="1:55" ht="13.2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2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25"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1700</v>
      </c>
      <c r="AH446" s="1416"/>
      <c r="AI446" s="1416"/>
      <c r="AJ446" s="1416"/>
      <c r="AZ446" s="34"/>
      <c r="BA446" s="34"/>
      <c r="BB446" s="34"/>
      <c r="BC446" s="34"/>
    </row>
    <row r="447" spans="1:55" ht="13.2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3000</v>
      </c>
      <c r="AH447" s="1416"/>
      <c r="AI447" s="1416"/>
      <c r="AJ447" s="1416"/>
      <c r="AZ447" s="3"/>
      <c r="BA447" s="3"/>
      <c r="BB447" s="3"/>
      <c r="BC447" s="3"/>
    </row>
    <row r="448" spans="1:55" ht="13.2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20287</v>
      </c>
      <c r="AH448" s="1416"/>
      <c r="AI448" s="1416"/>
      <c r="AJ448" s="1416"/>
      <c r="AZ448" s="3"/>
      <c r="BA448" s="3"/>
      <c r="BB448" s="3"/>
      <c r="BC448" s="3"/>
    </row>
    <row r="449" spans="1:55" ht="13.2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25" customHeight="1">
      <c r="D450" s="1574" t="s">
        <v>1040</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29">
        <f>AG442+AG446+AG448+AG449</f>
        <v>77637</v>
      </c>
      <c r="AH450" s="1429"/>
      <c r="AI450" s="1429"/>
      <c r="AJ450" s="1429"/>
      <c r="AZ450" s="3"/>
      <c r="BA450" s="3"/>
      <c r="BB450" s="3"/>
      <c r="BC450" s="3"/>
    </row>
    <row r="451" spans="1:55" ht="13.25" customHeight="1">
      <c r="D451" s="1584" t="s">
        <v>1207</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3.25"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3.2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3.2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589956.69230769225</v>
      </c>
      <c r="AD454" s="1373"/>
      <c r="AE454" s="1373"/>
      <c r="AF454" s="1373"/>
      <c r="AG454" s="177"/>
      <c r="AH454" s="177"/>
      <c r="AI454" s="177"/>
      <c r="AJ454" s="183"/>
      <c r="AZ454" s="3"/>
      <c r="BA454" s="3" t="str">
        <f>AG575</f>
        <v>No</v>
      </c>
      <c r="BB454" s="3"/>
      <c r="BC454" s="3"/>
    </row>
    <row r="455" spans="1:55" ht="13.2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574802.84615384613</v>
      </c>
      <c r="AD455" s="1373"/>
      <c r="AE455" s="1373"/>
      <c r="AF455" s="1373"/>
      <c r="AG455" s="177"/>
      <c r="AH455" s="177"/>
      <c r="AI455" s="177"/>
      <c r="AJ455" s="183"/>
      <c r="AZ455" s="3"/>
      <c r="BA455" s="3"/>
      <c r="BB455" s="3"/>
      <c r="BC455" s="3"/>
    </row>
    <row r="456" spans="1:55" ht="13.2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532493.85256410262</v>
      </c>
      <c r="AD456" s="1373"/>
      <c r="AE456" s="1373"/>
      <c r="AF456" s="1373"/>
      <c r="AG456" s="177"/>
      <c r="AH456" s="177"/>
      <c r="AI456" s="177"/>
      <c r="AJ456" s="183"/>
      <c r="AZ456" s="3"/>
      <c r="BA456" s="3"/>
      <c r="BB456" s="3"/>
      <c r="BC456" s="3"/>
    </row>
    <row r="457" spans="1:55" ht="13.2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2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2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2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2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3.2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2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2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2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2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2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2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2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2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2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2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2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12</v>
      </c>
      <c r="X473" s="1392"/>
      <c r="Y473" s="1393"/>
      <c r="Z473" s="184"/>
      <c r="AA473" s="184"/>
      <c r="AB473" s="184"/>
      <c r="AC473" s="184"/>
      <c r="AD473" s="177"/>
      <c r="AE473" s="177"/>
      <c r="AF473" s="177"/>
      <c r="AG473" s="177"/>
      <c r="AH473" s="177"/>
      <c r="AI473" s="177"/>
      <c r="AJ473" s="183"/>
      <c r="AZ473" s="3"/>
      <c r="BA473" s="3"/>
      <c r="BB473" s="3"/>
      <c r="BC473" s="3"/>
    </row>
    <row r="474" spans="1:55" ht="13.25" customHeight="1">
      <c r="A474" s="3"/>
      <c r="B474" s="3"/>
      <c r="C474" s="3"/>
      <c r="D474" s="243" t="s">
        <v>170</v>
      </c>
      <c r="E474" s="244"/>
      <c r="F474" s="245"/>
      <c r="G474" s="1670" t="s">
        <v>2698</v>
      </c>
      <c r="H474" s="1671"/>
      <c r="I474" s="1671"/>
      <c r="J474" s="1671"/>
      <c r="K474" s="1671"/>
      <c r="L474" s="1671"/>
      <c r="M474" s="1671"/>
      <c r="N474" s="1671"/>
      <c r="O474" s="1671"/>
      <c r="P474" s="1671"/>
      <c r="Q474" s="1671"/>
      <c r="R474" s="1671"/>
      <c r="S474" s="1671"/>
      <c r="T474" s="1671"/>
      <c r="U474" s="1671"/>
      <c r="V474" s="1672"/>
      <c r="W474" s="1391">
        <v>9</v>
      </c>
      <c r="X474" s="1392"/>
      <c r="Y474" s="1393"/>
      <c r="Z474" s="184"/>
      <c r="AA474" s="184"/>
      <c r="AB474" s="184"/>
      <c r="AC474" s="184"/>
      <c r="AD474" s="177"/>
      <c r="AE474" s="177"/>
      <c r="AF474" s="177"/>
      <c r="AG474" s="177"/>
      <c r="AH474" s="177"/>
      <c r="AI474" s="177"/>
      <c r="AJ474" s="183"/>
      <c r="AZ474" s="3"/>
      <c r="BA474" s="3"/>
      <c r="BB474" s="3"/>
      <c r="BC474" s="3"/>
    </row>
    <row r="475" spans="1:55" ht="13.2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2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2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2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25" customHeight="1">
      <c r="AU479" s="95"/>
      <c r="AV479" s="95"/>
      <c r="AW479" s="95"/>
      <c r="AX479" s="95"/>
      <c r="AY479" s="95"/>
      <c r="AZ479" s="3"/>
      <c r="BA479" s="3" t="str">
        <f>AG599</f>
        <v>Yes</v>
      </c>
      <c r="BB479" s="3"/>
      <c r="BC479" s="3"/>
    </row>
    <row r="480" spans="1:55" ht="13.2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2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25" customHeight="1">
      <c r="AZ482" s="3"/>
      <c r="BB482" s="3"/>
      <c r="BC482" s="3"/>
    </row>
    <row r="483" spans="1:55" ht="13.25" customHeight="1">
      <c r="A483" s="2" t="s">
        <v>319</v>
      </c>
      <c r="C483" s="2" t="s">
        <v>809</v>
      </c>
      <c r="AZ483" s="3"/>
      <c r="BB483" s="3"/>
      <c r="BC483" s="3"/>
    </row>
    <row r="484" spans="1:55" ht="13.25" customHeight="1">
      <c r="AZ484" s="3"/>
      <c r="BB484" s="3"/>
      <c r="BC484" s="3"/>
    </row>
    <row r="485" spans="1:55" ht="13.2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25" customHeight="1">
      <c r="B486" s="45" t="s">
        <v>394</v>
      </c>
      <c r="C486" s="5"/>
      <c r="D486" s="5"/>
      <c r="E486" s="5"/>
      <c r="F486" s="5"/>
      <c r="G486" s="5"/>
      <c r="H486" s="5"/>
      <c r="I486" s="5"/>
      <c r="J486" s="5"/>
      <c r="K486" s="5"/>
      <c r="L486" s="5"/>
      <c r="M486" s="5"/>
      <c r="N486" s="5"/>
      <c r="O486" s="5"/>
      <c r="P486" s="5"/>
      <c r="Q486" s="1370" t="s">
        <v>2699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25" customHeight="1">
      <c r="B487" s="45" t="s">
        <v>395</v>
      </c>
      <c r="C487" s="5"/>
      <c r="D487" s="5"/>
      <c r="E487" s="5"/>
      <c r="F487" s="5"/>
      <c r="G487" s="5"/>
      <c r="H487" s="5"/>
      <c r="I487" s="5"/>
      <c r="J487" s="5"/>
      <c r="K487" s="5"/>
      <c r="L487" s="5"/>
      <c r="M487" s="5"/>
      <c r="N487" s="5"/>
      <c r="O487" s="5"/>
      <c r="P487" s="5"/>
      <c r="Q487" s="1370" t="s">
        <v>2736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25" customHeight="1">
      <c r="B488" s="45" t="s">
        <v>396</v>
      </c>
      <c r="C488" s="5"/>
      <c r="D488" s="5"/>
      <c r="E488" s="5"/>
      <c r="F488" s="5"/>
      <c r="G488" s="5"/>
      <c r="H488" s="5"/>
      <c r="I488" s="5"/>
      <c r="J488" s="5"/>
      <c r="K488" s="5"/>
      <c r="L488" s="5"/>
      <c r="M488" s="5"/>
      <c r="N488" s="5"/>
      <c r="O488" s="5"/>
      <c r="P488" s="5"/>
      <c r="Q488" s="1370" t="s">
        <v>2736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2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3.25" customHeight="1">
      <c r="B490" s="1456"/>
      <c r="C490" s="1457"/>
      <c r="D490" s="1457"/>
      <c r="E490" s="1457"/>
      <c r="F490" s="1457"/>
      <c r="G490" s="1457"/>
      <c r="H490" s="1457"/>
      <c r="I490" s="1457"/>
      <c r="J490" s="1457"/>
      <c r="K490" s="1457"/>
      <c r="L490" s="1457"/>
      <c r="M490" s="1457"/>
      <c r="N490" s="1457"/>
      <c r="O490" s="1457"/>
      <c r="P490" s="1458"/>
      <c r="Q490" s="1461"/>
      <c r="R490" s="1462"/>
      <c r="S490" s="1571"/>
      <c r="T490" s="1531"/>
      <c r="U490" s="1531"/>
      <c r="V490" s="1531"/>
      <c r="W490" s="1531"/>
      <c r="X490" s="1531"/>
      <c r="Y490" s="1531"/>
      <c r="Z490" s="1531"/>
      <c r="AA490" s="1531"/>
      <c r="AB490" s="1531"/>
      <c r="AC490" s="1531"/>
      <c r="AD490" s="1531"/>
      <c r="AE490" s="1531"/>
      <c r="AF490" s="1531"/>
      <c r="AG490" s="1531"/>
      <c r="AH490" s="1531"/>
      <c r="AI490" s="1531"/>
      <c r="AJ490" s="1531"/>
      <c r="AK490" s="1572"/>
      <c r="AZ490" s="3"/>
      <c r="BA490" s="3"/>
      <c r="BB490" s="3"/>
      <c r="BC490" s="3"/>
    </row>
    <row r="491" spans="1:55" ht="13.25" customHeight="1">
      <c r="B491" s="895" t="s">
        <v>1672</v>
      </c>
      <c r="C491" s="873"/>
      <c r="D491" s="873"/>
      <c r="E491" s="873"/>
      <c r="F491" s="873"/>
      <c r="G491" s="873"/>
      <c r="H491" s="873"/>
      <c r="I491" s="873"/>
      <c r="J491" s="873"/>
      <c r="K491" s="873"/>
      <c r="L491" s="873"/>
      <c r="M491" s="873"/>
      <c r="N491" s="873"/>
      <c r="O491" s="873"/>
      <c r="P491" s="873"/>
      <c r="Q491" s="1378" t="s">
        <v>546</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25" customHeight="1">
      <c r="B492" s="45" t="s">
        <v>398</v>
      </c>
      <c r="C492" s="5"/>
      <c r="D492" s="5"/>
      <c r="E492" s="5"/>
      <c r="F492" s="5"/>
      <c r="G492" s="5"/>
      <c r="H492" s="5"/>
      <c r="I492" s="5"/>
      <c r="J492" s="5"/>
      <c r="K492" s="5"/>
      <c r="L492" s="5"/>
      <c r="M492" s="5"/>
      <c r="N492" s="5"/>
      <c r="O492" s="5"/>
      <c r="P492" s="5"/>
      <c r="Q492" s="1370" t="s">
        <v>2700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25" customHeight="1">
      <c r="B493" s="45" t="s">
        <v>399</v>
      </c>
      <c r="C493" s="5"/>
      <c r="D493" s="5"/>
      <c r="E493" s="5"/>
      <c r="F493" s="5"/>
      <c r="G493" s="5"/>
      <c r="H493" s="5"/>
      <c r="I493" s="5"/>
      <c r="J493" s="5"/>
      <c r="K493" s="5"/>
      <c r="L493" s="5"/>
      <c r="M493" s="5"/>
      <c r="N493" s="5"/>
      <c r="O493" s="5"/>
      <c r="P493" s="5"/>
      <c r="Q493" s="1370" t="s">
        <v>2737</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25" customHeight="1">
      <c r="B494" s="121" t="s">
        <v>1669</v>
      </c>
      <c r="C494" s="5"/>
      <c r="D494" s="5"/>
      <c r="E494" s="5"/>
      <c r="F494" s="5"/>
      <c r="G494" s="5"/>
      <c r="H494" s="5"/>
      <c r="I494" s="5"/>
      <c r="J494" s="5"/>
      <c r="K494" s="5"/>
      <c r="L494" s="5"/>
      <c r="M494" s="5"/>
      <c r="N494" s="5"/>
      <c r="O494" s="5"/>
      <c r="P494" s="5"/>
      <c r="Q494" s="1370">
        <v>12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25"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v>12</v>
      </c>
      <c r="AI495" s="1382"/>
      <c r="AJ495" s="1382"/>
      <c r="AK495" s="1383"/>
      <c r="AZ495" s="3"/>
      <c r="BA495" s="3"/>
      <c r="BB495" s="3"/>
      <c r="BC495" s="3"/>
    </row>
    <row r="496" spans="1:55" ht="13.2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2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2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2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2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2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11</v>
      </c>
      <c r="AD501" s="1390"/>
      <c r="AE501" s="1390"/>
      <c r="AF501" s="1390"/>
      <c r="AG501" s="13" t="s">
        <v>403</v>
      </c>
      <c r="AH501" s="1427">
        <v>2022</v>
      </c>
      <c r="AI501" s="1427"/>
      <c r="AJ501" s="1427"/>
      <c r="AK501" s="1428"/>
      <c r="AZ501" s="3"/>
      <c r="BA501" s="3"/>
      <c r="BB501" s="3"/>
      <c r="BC501" s="3"/>
      <c r="BD501" s="3"/>
      <c r="BE501" s="3"/>
      <c r="BF501" s="3"/>
      <c r="BG501" s="3"/>
      <c r="BH501" s="3"/>
      <c r="BI501" s="3"/>
      <c r="BJ501" s="3"/>
      <c r="BK501" s="3"/>
      <c r="BL501" s="3"/>
      <c r="BM501" s="3"/>
      <c r="BN501" s="3"/>
    </row>
    <row r="502" spans="1:66" ht="13.2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3.2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2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2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3.2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3.25" customHeight="1">
      <c r="B507" s="1399"/>
      <c r="C507" s="1400"/>
      <c r="D507" s="1400"/>
      <c r="E507" s="1400"/>
      <c r="F507" s="1400"/>
      <c r="G507" s="1400"/>
      <c r="H507" s="1401"/>
      <c r="I507" s="3" t="s">
        <v>413</v>
      </c>
      <c r="AC507" s="1355" t="s">
        <v>592</v>
      </c>
      <c r="AD507" s="1356"/>
      <c r="AE507" s="1356"/>
      <c r="AF507" s="1356"/>
      <c r="AG507" s="13" t="s">
        <v>403</v>
      </c>
      <c r="AH507" s="1427"/>
      <c r="AI507" s="1427"/>
      <c r="AJ507" s="1427"/>
      <c r="AK507" s="1428"/>
      <c r="AZ507" s="3"/>
      <c r="BA507" s="3"/>
      <c r="BB507" s="3"/>
      <c r="BC507" s="3"/>
      <c r="BD507" s="3"/>
      <c r="BE507" s="3"/>
      <c r="BF507" s="3"/>
      <c r="BG507" s="3"/>
      <c r="BH507" s="3"/>
      <c r="BI507" s="3"/>
      <c r="BJ507" s="3"/>
      <c r="BK507" s="3"/>
      <c r="BL507" s="3"/>
      <c r="BM507" s="3"/>
      <c r="BN507" s="3"/>
    </row>
    <row r="508" spans="1:66" ht="13.25" customHeight="1">
      <c r="B508" s="1399"/>
      <c r="C508" s="1400"/>
      <c r="D508" s="1400"/>
      <c r="E508" s="1400"/>
      <c r="F508" s="1400"/>
      <c r="G508" s="1400"/>
      <c r="H508" s="1401"/>
      <c r="I508" s="896" t="s">
        <v>170</v>
      </c>
      <c r="J508" s="48"/>
      <c r="K508" s="48"/>
      <c r="L508" s="1433" t="s">
        <v>2733</v>
      </c>
      <c r="M508" s="1434"/>
      <c r="N508" s="1434"/>
      <c r="O508" s="1434"/>
      <c r="P508" s="1434"/>
      <c r="Q508" s="1434"/>
      <c r="R508" s="1434"/>
      <c r="S508" s="1434"/>
      <c r="T508" s="1434"/>
      <c r="U508" s="1434"/>
      <c r="V508" s="1434"/>
      <c r="W508" s="1434"/>
      <c r="X508" s="1434"/>
      <c r="Y508" s="1434"/>
      <c r="Z508" s="1434"/>
      <c r="AA508" s="1434"/>
      <c r="AB508" s="1435"/>
      <c r="AC508" s="1389">
        <v>12</v>
      </c>
      <c r="AD508" s="1390"/>
      <c r="AE508" s="1390"/>
      <c r="AF508" s="1390"/>
      <c r="AG508" s="38" t="s">
        <v>403</v>
      </c>
      <c r="AH508" s="1427">
        <v>2022</v>
      </c>
      <c r="AI508" s="1427"/>
      <c r="AJ508" s="1427"/>
      <c r="AK508" s="1428"/>
      <c r="AZ508" s="3"/>
      <c r="BA508" s="3"/>
      <c r="BB508" s="3"/>
      <c r="BC508" s="3"/>
      <c r="BD508" s="3"/>
      <c r="BE508" s="3"/>
      <c r="BF508" s="3"/>
      <c r="BG508" s="3"/>
      <c r="BH508" s="3"/>
      <c r="BI508" s="3"/>
      <c r="BJ508" s="3"/>
      <c r="BK508" s="3"/>
      <c r="BL508" s="3"/>
      <c r="BM508" s="3"/>
      <c r="BN508" s="3"/>
    </row>
    <row r="509" spans="1:66" ht="13.2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2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2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2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6"/>
      <c r="AI512" s="1586"/>
      <c r="AJ512" s="1586"/>
      <c r="AK512" s="1587"/>
      <c r="AZ512" s="3"/>
      <c r="BA512" s="3"/>
      <c r="BB512" s="3"/>
      <c r="BC512" s="3"/>
      <c r="BD512" s="3"/>
      <c r="BE512" s="3"/>
      <c r="BF512" s="3"/>
      <c r="BG512" s="3"/>
      <c r="BH512" s="3"/>
      <c r="BI512" s="3"/>
      <c r="BJ512" s="3"/>
      <c r="BK512" s="3"/>
      <c r="BL512" s="3"/>
      <c r="BM512" s="3"/>
      <c r="BN512" s="3" t="s">
        <v>1185</v>
      </c>
    </row>
    <row r="513" spans="2:66" ht="13.2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3.2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3.25" customHeight="1">
      <c r="B515" s="1399"/>
      <c r="C515" s="1400"/>
      <c r="D515" s="1400"/>
      <c r="E515" s="1400"/>
      <c r="F515" s="1400"/>
      <c r="G515" s="1400"/>
      <c r="H515" s="1401"/>
      <c r="I515" t="s">
        <v>416</v>
      </c>
      <c r="AC515" s="1389" t="s">
        <v>592</v>
      </c>
      <c r="AD515" s="1390"/>
      <c r="AE515" s="1390"/>
      <c r="AF515" s="1390"/>
      <c r="AG515" s="13" t="s">
        <v>403</v>
      </c>
      <c r="AH515" s="1427"/>
      <c r="AI515" s="1427"/>
      <c r="AJ515" s="1427"/>
      <c r="AK515" s="1428"/>
      <c r="AZ515" s="3"/>
      <c r="BA515" s="3"/>
      <c r="BB515" s="3"/>
      <c r="BC515" s="3"/>
      <c r="BD515" s="3"/>
      <c r="BE515" s="3"/>
      <c r="BF515" s="3"/>
      <c r="BG515" s="3"/>
      <c r="BH515" s="3"/>
      <c r="BI515" s="3"/>
      <c r="BJ515" s="3"/>
      <c r="BK515" s="3"/>
      <c r="BL515" s="3"/>
      <c r="BM515" s="3"/>
      <c r="BN515" s="3" t="s">
        <v>2107</v>
      </c>
    </row>
    <row r="516" spans="2:66" ht="13.2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4</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3.2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3.25" customHeight="1">
      <c r="B518" s="1399"/>
      <c r="C518" s="1400"/>
      <c r="D518" s="1400"/>
      <c r="E518" s="1400"/>
      <c r="F518" s="1400"/>
      <c r="G518" s="1400"/>
      <c r="H518" s="1401"/>
      <c r="I518" t="s">
        <v>416</v>
      </c>
      <c r="AC518" s="1389" t="s">
        <v>592</v>
      </c>
      <c r="AD518" s="1390"/>
      <c r="AE518" s="1390"/>
      <c r="AF518" s="1390"/>
      <c r="AG518" s="13" t="s">
        <v>403</v>
      </c>
      <c r="AH518" s="1427"/>
      <c r="AI518" s="1427"/>
      <c r="AJ518" s="1427"/>
      <c r="AK518" s="1428"/>
      <c r="BB518" s="3"/>
      <c r="BC518" s="3"/>
      <c r="BD518" s="3"/>
      <c r="BE518" s="3"/>
      <c r="BF518" s="3"/>
      <c r="BG518" s="3"/>
      <c r="BH518" s="3"/>
      <c r="BI518" s="3"/>
      <c r="BJ518" s="3"/>
      <c r="BK518" s="3"/>
      <c r="BL518" s="3"/>
      <c r="BM518" s="3"/>
      <c r="BN518" s="3" t="s">
        <v>2110</v>
      </c>
    </row>
    <row r="519" spans="2:66" ht="13.2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4</v>
      </c>
      <c r="AD519" s="1390"/>
      <c r="AE519" s="1390"/>
      <c r="AF519" s="1390"/>
      <c r="AG519" s="38" t="s">
        <v>403</v>
      </c>
      <c r="AH519" s="1427">
        <v>2029</v>
      </c>
      <c r="AI519" s="1427"/>
      <c r="AJ519" s="1427"/>
      <c r="AK519" s="1428"/>
      <c r="BB519" s="3"/>
      <c r="BC519" s="3"/>
      <c r="BD519" s="3"/>
      <c r="BE519" s="3"/>
      <c r="BF519" s="3"/>
      <c r="BG519" s="3"/>
      <c r="BH519" s="3"/>
      <c r="BI519" s="3"/>
      <c r="BJ519" s="3"/>
      <c r="BK519" s="3"/>
      <c r="BL519" s="3"/>
      <c r="BM519" s="3"/>
      <c r="BN519" s="3" t="s">
        <v>2111</v>
      </c>
    </row>
    <row r="520" spans="2:66" ht="13.25" customHeight="1">
      <c r="B520" s="1396" t="s">
        <v>419</v>
      </c>
      <c r="C520" s="1397"/>
      <c r="D520" s="1397"/>
      <c r="E520" s="1397"/>
      <c r="F520" s="1397"/>
      <c r="G520" s="1397"/>
      <c r="H520" s="1398"/>
      <c r="I520" s="41" t="s">
        <v>420</v>
      </c>
      <c r="J520" s="42"/>
      <c r="K520" s="42"/>
      <c r="L520" s="42"/>
      <c r="M520" s="42"/>
      <c r="N520" s="42"/>
      <c r="O520" s="1433" t="s">
        <v>2730</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3.2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2113</v>
      </c>
    </row>
    <row r="522" spans="2:66" ht="13.2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4</v>
      </c>
      <c r="AD522" s="1390"/>
      <c r="AE522" s="1390"/>
      <c r="AF522" s="1390"/>
      <c r="AG522" s="38" t="s">
        <v>403</v>
      </c>
      <c r="AH522" s="1427">
        <v>2026</v>
      </c>
      <c r="AI522" s="1427"/>
      <c r="AJ522" s="1427"/>
      <c r="AK522" s="1428"/>
      <c r="AZ522" s="3"/>
      <c r="BA522" s="3"/>
      <c r="BB522" s="3"/>
      <c r="BC522" s="3"/>
      <c r="BD522" s="3"/>
      <c r="BE522" s="3"/>
      <c r="BF522" s="3"/>
      <c r="BG522" s="3"/>
      <c r="BH522" s="3"/>
      <c r="BI522" s="3"/>
      <c r="BJ522" s="3"/>
      <c r="BK522" s="3"/>
      <c r="BL522" s="3"/>
      <c r="BM522" s="3"/>
      <c r="BN522" s="3" t="s">
        <v>2114</v>
      </c>
    </row>
    <row r="523" spans="2:66" ht="13.2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3.2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2116</v>
      </c>
    </row>
    <row r="525" spans="2:66" ht="13.2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2117</v>
      </c>
    </row>
    <row r="526" spans="2:66" ht="13.2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3.2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2119</v>
      </c>
    </row>
    <row r="528" spans="2:66" ht="13.2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2120</v>
      </c>
    </row>
    <row r="529" spans="1:66" ht="13.2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3.2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3.2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3.2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3.2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3.2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3.2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3.2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3.2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3.2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4</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25" customHeight="1">
      <c r="B539" s="1399"/>
      <c r="C539" s="1400"/>
      <c r="D539" s="1400"/>
      <c r="E539" s="1400"/>
      <c r="F539" s="1400"/>
      <c r="G539" s="1400"/>
      <c r="H539" s="1401"/>
      <c r="I539" t="s">
        <v>564</v>
      </c>
      <c r="AC539" s="1389">
        <v>4</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25" customHeight="1">
      <c r="B540" s="1399"/>
      <c r="C540" s="1400"/>
      <c r="D540" s="1400"/>
      <c r="E540" s="1400"/>
      <c r="F540" s="1400"/>
      <c r="G540" s="1400"/>
      <c r="H540" s="1401"/>
      <c r="I540" t="s">
        <v>565</v>
      </c>
      <c r="AC540" s="1389">
        <v>10</v>
      </c>
      <c r="AD540" s="1390"/>
      <c r="AE540" s="1390"/>
      <c r="AF540" s="1390"/>
      <c r="AG540" s="38" t="s">
        <v>403</v>
      </c>
      <c r="AH540" s="1427">
        <v>2028</v>
      </c>
      <c r="AI540" s="1427"/>
      <c r="AJ540" s="1427"/>
      <c r="AK540" s="1428"/>
      <c r="AZ540" s="3"/>
      <c r="BA540" s="3"/>
      <c r="BB540" s="3"/>
      <c r="BC540" s="3"/>
      <c r="BD540" s="3"/>
      <c r="BE540" s="3"/>
      <c r="BF540" s="3"/>
      <c r="BG540" s="3"/>
      <c r="BH540" s="3"/>
      <c r="BI540" s="3"/>
      <c r="BJ540" s="3"/>
      <c r="BK540" s="3"/>
      <c r="BL540" s="3"/>
      <c r="BM540" s="3"/>
      <c r="BN540" s="3"/>
    </row>
    <row r="541" spans="1:66" ht="13.25" customHeight="1">
      <c r="B541" s="1399"/>
      <c r="C541" s="1400"/>
      <c r="D541" s="1400"/>
      <c r="E541" s="1400"/>
      <c r="F541" s="1400"/>
      <c r="G541" s="1400"/>
      <c r="H541" s="1401"/>
      <c r="I541" t="s">
        <v>566</v>
      </c>
      <c r="AC541" s="1389">
        <v>1</v>
      </c>
      <c r="AD541" s="1390"/>
      <c r="AE541" s="1390"/>
      <c r="AF541" s="1390"/>
      <c r="AG541" s="38" t="s">
        <v>403</v>
      </c>
      <c r="AH541" s="1427">
        <v>2029</v>
      </c>
      <c r="AI541" s="1427"/>
      <c r="AJ541" s="1427"/>
      <c r="AK541" s="1428"/>
      <c r="AZ541" s="3"/>
      <c r="BA541" s="3"/>
      <c r="BB541" s="3"/>
      <c r="BC541" s="3"/>
      <c r="BD541" s="3"/>
      <c r="BE541" s="3"/>
      <c r="BF541" s="3"/>
      <c r="BG541" s="3"/>
      <c r="BH541" s="3"/>
      <c r="BI541" s="3"/>
      <c r="BJ541" s="3"/>
      <c r="BK541" s="3"/>
      <c r="BL541" s="3"/>
      <c r="BM541" s="3"/>
      <c r="BN541" s="3"/>
    </row>
    <row r="542" spans="1:66" ht="13.2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403</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3.2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2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2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319</v>
      </c>
      <c r="B547" s="2"/>
      <c r="C547" s="2" t="s">
        <v>453</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2101</v>
      </c>
      <c r="AC549" s="98"/>
      <c r="BB549" s="3"/>
      <c r="BC549" s="3"/>
      <c r="BD549" s="3"/>
      <c r="BE549" s="3"/>
      <c r="BF549" s="3"/>
      <c r="BG549" s="3"/>
      <c r="BH549" s="3"/>
      <c r="BI549" s="3"/>
    </row>
    <row r="550" spans="1:61" ht="13.25" customHeight="1">
      <c r="B550" s="512"/>
      <c r="BB550" s="3"/>
      <c r="BC550" s="3"/>
      <c r="BD550" s="3"/>
      <c r="BE550" s="3"/>
      <c r="BF550" s="3"/>
      <c r="BG550" s="3"/>
      <c r="BH550" s="3" t="s">
        <v>119</v>
      </c>
      <c r="BI550" s="3" t="str">
        <f>N657</f>
        <v>Yes</v>
      </c>
    </row>
    <row r="551" spans="1:61" ht="13.2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2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2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25" customHeight="1">
      <c r="B554" s="51" t="s">
        <v>112</v>
      </c>
      <c r="C554" s="1439" t="s">
        <v>2705</v>
      </c>
      <c r="D554" s="1439"/>
      <c r="E554" s="1439"/>
      <c r="F554" s="1439"/>
      <c r="G554" s="1439"/>
      <c r="H554" s="1439"/>
      <c r="I554" s="1439"/>
      <c r="J554" s="1439"/>
      <c r="K554" s="1439"/>
      <c r="L554" s="1439"/>
      <c r="M554" s="1439" t="s">
        <v>2120</v>
      </c>
      <c r="N554" s="1439"/>
      <c r="O554" s="1439"/>
      <c r="P554" s="1439"/>
      <c r="Q554" s="1425">
        <v>36</v>
      </c>
      <c r="R554" s="1425"/>
      <c r="S554" s="1426"/>
      <c r="T554" s="1424"/>
      <c r="U554" s="1425"/>
      <c r="V554" s="1426"/>
      <c r="W554" s="1421">
        <v>0.04</v>
      </c>
      <c r="X554" s="1422"/>
      <c r="Y554" s="1423"/>
      <c r="Z554" s="1430" t="s">
        <v>1185</v>
      </c>
      <c r="AA554" s="1430"/>
      <c r="AB554" s="1430"/>
      <c r="AC554" s="1430"/>
      <c r="AD554" s="1430"/>
      <c r="AE554" s="1412">
        <v>1</v>
      </c>
      <c r="AF554" s="1413"/>
      <c r="AG554" s="1413"/>
      <c r="AH554" s="1414"/>
      <c r="AI554" s="1436"/>
      <c r="AJ554" s="1437"/>
      <c r="AK554" s="1437"/>
      <c r="AL554" s="1438"/>
      <c r="AM554" s="1465">
        <v>12456000</v>
      </c>
      <c r="AN554" s="1466"/>
      <c r="AO554" s="1466"/>
      <c r="AP554" s="1466"/>
      <c r="AQ554" s="1466"/>
      <c r="AR554" s="1466"/>
      <c r="AS554" s="1467"/>
      <c r="AT554" s="1148"/>
      <c r="AU554" s="1147"/>
      <c r="BB554" s="3"/>
      <c r="BC554" s="3"/>
      <c r="BD554" s="3"/>
      <c r="BE554" s="3"/>
      <c r="BF554" s="3"/>
      <c r="BG554" s="3"/>
      <c r="BH554" s="3"/>
      <c r="BI554" s="3"/>
    </row>
    <row r="555" spans="1:61" ht="13.25" customHeight="1">
      <c r="B555" s="52" t="s">
        <v>113</v>
      </c>
      <c r="C555" s="1440" t="s">
        <v>2705</v>
      </c>
      <c r="D555" s="1440"/>
      <c r="E555" s="1440"/>
      <c r="F555" s="1440"/>
      <c r="G555" s="1440"/>
      <c r="H555" s="1440"/>
      <c r="I555" s="1440"/>
      <c r="J555" s="1440"/>
      <c r="K555" s="1440"/>
      <c r="L555" s="1440"/>
      <c r="M555" s="1439" t="s">
        <v>2119</v>
      </c>
      <c r="N555" s="1439"/>
      <c r="O555" s="1439"/>
      <c r="P555" s="1439"/>
      <c r="Q555" s="1424">
        <v>36</v>
      </c>
      <c r="R555" s="1425"/>
      <c r="S555" s="1426"/>
      <c r="T555" s="1424"/>
      <c r="U555" s="1425"/>
      <c r="V555" s="1426"/>
      <c r="W555" s="1421">
        <v>4.4999999999999998E-2</v>
      </c>
      <c r="X555" s="1422"/>
      <c r="Y555" s="1423"/>
      <c r="Z555" s="1430" t="s">
        <v>1185</v>
      </c>
      <c r="AA555" s="1430"/>
      <c r="AB555" s="1430"/>
      <c r="AC555" s="1430"/>
      <c r="AD555" s="1430"/>
      <c r="AE555" s="1412">
        <v>1</v>
      </c>
      <c r="AF555" s="1413"/>
      <c r="AG555" s="1413"/>
      <c r="AH555" s="1414"/>
      <c r="AI555" s="1436"/>
      <c r="AJ555" s="1437"/>
      <c r="AK555" s="1437"/>
      <c r="AL555" s="1438"/>
      <c r="AM555" s="1465">
        <v>9364038</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25" customHeight="1">
      <c r="B556" s="52" t="s">
        <v>119</v>
      </c>
      <c r="C556" s="1440" t="s">
        <v>2705</v>
      </c>
      <c r="D556" s="1440"/>
      <c r="E556" s="1440"/>
      <c r="F556" s="1440"/>
      <c r="G556" s="1440"/>
      <c r="H556" s="1440"/>
      <c r="I556" s="1440"/>
      <c r="J556" s="1440"/>
      <c r="K556" s="1440"/>
      <c r="L556" s="1440"/>
      <c r="M556" s="1439" t="s">
        <v>2121</v>
      </c>
      <c r="N556" s="1439"/>
      <c r="O556" s="1439"/>
      <c r="P556" s="1439"/>
      <c r="Q556" s="1424">
        <v>36</v>
      </c>
      <c r="R556" s="1425"/>
      <c r="S556" s="1426"/>
      <c r="T556" s="1424"/>
      <c r="U556" s="1425"/>
      <c r="V556" s="1426"/>
      <c r="W556" s="1421">
        <v>0.04</v>
      </c>
      <c r="X556" s="1422"/>
      <c r="Y556" s="1423"/>
      <c r="Z556" s="1430" t="s">
        <v>1185</v>
      </c>
      <c r="AA556" s="1430"/>
      <c r="AB556" s="1430"/>
      <c r="AC556" s="1430"/>
      <c r="AD556" s="1430"/>
      <c r="AE556" s="1412">
        <v>1</v>
      </c>
      <c r="AF556" s="1413"/>
      <c r="AG556" s="1413"/>
      <c r="AH556" s="1414"/>
      <c r="AI556" s="1436"/>
      <c r="AJ556" s="1437"/>
      <c r="AK556" s="1437"/>
      <c r="AL556" s="1438"/>
      <c r="AM556" s="1465">
        <v>4489272</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25" customHeight="1">
      <c r="B557" s="52" t="s">
        <v>582</v>
      </c>
      <c r="C557" s="1440" t="s">
        <v>2626</v>
      </c>
      <c r="D557" s="1440"/>
      <c r="E557" s="1440"/>
      <c r="F557" s="1440"/>
      <c r="G557" s="1440"/>
      <c r="H557" s="1440"/>
      <c r="I557" s="1440"/>
      <c r="J557" s="1440"/>
      <c r="K557" s="1440"/>
      <c r="L557" s="1440"/>
      <c r="M557" s="1439" t="s">
        <v>2116</v>
      </c>
      <c r="N557" s="1439"/>
      <c r="O557" s="1439"/>
      <c r="P557" s="1439"/>
      <c r="Q557" s="1424">
        <v>660</v>
      </c>
      <c r="R557" s="1425"/>
      <c r="S557" s="1426"/>
      <c r="T557" s="1424"/>
      <c r="U557" s="1425"/>
      <c r="V557" s="1426"/>
      <c r="W557" s="1421">
        <v>0.03</v>
      </c>
      <c r="X557" s="1422"/>
      <c r="Y557" s="1423"/>
      <c r="Z557" s="1430" t="s">
        <v>1185</v>
      </c>
      <c r="AA557" s="1430"/>
      <c r="AB557" s="1430"/>
      <c r="AC557" s="1430"/>
      <c r="AD557" s="1430"/>
      <c r="AE557" s="1412">
        <v>2</v>
      </c>
      <c r="AF557" s="1413"/>
      <c r="AG557" s="1413"/>
      <c r="AH557" s="1414"/>
      <c r="AI557" s="1436"/>
      <c r="AJ557" s="1437"/>
      <c r="AK557" s="1437"/>
      <c r="AL557" s="1438"/>
      <c r="AM557" s="1465">
        <v>8400000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25" customHeight="1">
      <c r="B558" s="52" t="s">
        <v>764</v>
      </c>
      <c r="C558" s="1440" t="s">
        <v>2321</v>
      </c>
      <c r="D558" s="1440"/>
      <c r="E558" s="1440"/>
      <c r="F558" s="1440"/>
      <c r="G558" s="1440"/>
      <c r="H558" s="1440"/>
      <c r="I558" s="1440"/>
      <c r="J558" s="1440"/>
      <c r="K558" s="1440"/>
      <c r="L558" s="1440"/>
      <c r="M558" s="1439" t="s">
        <v>2107</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f>3313306+4705-1+500000</f>
        <v>3818010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Yes</v>
      </c>
    </row>
    <row r="559" spans="1:61" ht="13.25" customHeight="1">
      <c r="B559" s="52" t="s">
        <v>585</v>
      </c>
      <c r="C559" s="1440" t="s">
        <v>2706</v>
      </c>
      <c r="D559" s="1440"/>
      <c r="E559" s="1440"/>
      <c r="F559" s="1440"/>
      <c r="G559" s="1440"/>
      <c r="H559" s="1440"/>
      <c r="I559" s="1440"/>
      <c r="J559" s="1440"/>
      <c r="K559" s="1440"/>
      <c r="L559" s="1440"/>
      <c r="M559" s="1439" t="s">
        <v>2105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v>827000</v>
      </c>
      <c r="AN559" s="1466"/>
      <c r="AO559" s="1466"/>
      <c r="AP559" s="1466"/>
      <c r="AQ559" s="1466"/>
      <c r="AR559" s="1466"/>
      <c r="AS559" s="1467"/>
      <c r="AT559" s="1148" t="str">
        <f t="shared" si="0"/>
        <v/>
      </c>
      <c r="AU559" s="1147"/>
      <c r="BB559" s="3"/>
      <c r="BC559" s="3"/>
      <c r="BD559" s="3"/>
      <c r="BE559" s="3"/>
      <c r="BF559" s="3"/>
      <c r="BG559" s="3"/>
      <c r="BH559" s="3" t="s">
        <v>585</v>
      </c>
      <c r="BI559" s="3" t="str">
        <f>AG665</f>
        <v>Yes</v>
      </c>
    </row>
    <row r="560" spans="1:61" ht="13.25" customHeight="1">
      <c r="B560" s="52" t="s">
        <v>456</v>
      </c>
      <c r="C560" s="1440" t="s">
        <v>2707</v>
      </c>
      <c r="D560" s="1440"/>
      <c r="E560" s="1440"/>
      <c r="F560" s="1440"/>
      <c r="G560" s="1440"/>
      <c r="H560" s="1440"/>
      <c r="I560" s="1440"/>
      <c r="J560" s="1440"/>
      <c r="K560" s="1440"/>
      <c r="L560" s="1440"/>
      <c r="M560" s="1439" t="s">
        <v>2111</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f>7169802-75000</f>
        <v>7094802</v>
      </c>
      <c r="AN560" s="1466"/>
      <c r="AO560" s="1466"/>
      <c r="AP560" s="1466"/>
      <c r="AQ560" s="1466"/>
      <c r="AR560" s="1466"/>
      <c r="AS560" s="1467"/>
      <c r="AT560" s="1148" t="str">
        <f t="shared" si="0"/>
        <v/>
      </c>
      <c r="AU560" s="1147"/>
      <c r="BB560" s="3"/>
      <c r="BC560" s="3"/>
      <c r="BD560" s="3"/>
      <c r="BE560" s="3"/>
      <c r="BF560" s="3"/>
      <c r="BG560" s="3"/>
      <c r="BH560" s="3"/>
      <c r="BI560" s="3"/>
    </row>
    <row r="561" spans="1:61" ht="13.25" customHeight="1">
      <c r="B561" s="52" t="s">
        <v>457</v>
      </c>
      <c r="C561" s="1440" t="s">
        <v>2626</v>
      </c>
      <c r="D561" s="1440"/>
      <c r="E561" s="1440"/>
      <c r="F561" s="1440"/>
      <c r="G561" s="1440"/>
      <c r="H561" s="1440"/>
      <c r="I561" s="1440"/>
      <c r="J561" s="1440"/>
      <c r="K561" s="1440"/>
      <c r="L561" s="1440"/>
      <c r="M561" s="1439" t="s">
        <v>2127</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v>67500</v>
      </c>
      <c r="AN561" s="1466"/>
      <c r="AO561" s="1466"/>
      <c r="AP561" s="1466"/>
      <c r="AQ561" s="1466"/>
      <c r="AR561" s="1466"/>
      <c r="AS561" s="1467"/>
      <c r="AT561" s="1148" t="str">
        <f t="shared" si="0"/>
        <v/>
      </c>
      <c r="AU561" s="1147"/>
      <c r="BB561" s="3"/>
      <c r="BC561" s="3"/>
      <c r="BD561" s="3"/>
      <c r="BE561" s="3"/>
      <c r="BF561" s="3"/>
      <c r="BG561" s="3"/>
      <c r="BH561" s="3"/>
      <c r="BI561" s="3"/>
    </row>
    <row r="562" spans="1:61" ht="13.2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2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2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2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2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46516622</v>
      </c>
      <c r="AN566" s="1473"/>
      <c r="AO566" s="1473"/>
      <c r="AP566" s="1473"/>
      <c r="AQ566" s="1473"/>
      <c r="AR566" s="1473"/>
      <c r="AS566" s="1474"/>
      <c r="BB566" s="3"/>
      <c r="BC566" s="3"/>
      <c r="BD566" s="3"/>
      <c r="BE566" s="3"/>
      <c r="BF566" s="3"/>
      <c r="BG566" s="3"/>
      <c r="BH566" s="3" t="s">
        <v>456</v>
      </c>
      <c r="BI566" s="3" t="str">
        <f>N673</f>
        <v>No</v>
      </c>
    </row>
    <row r="567" spans="1:61" ht="13.2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25" customHeight="1">
      <c r="A568" s="55" t="s">
        <v>112</v>
      </c>
      <c r="B568" t="s">
        <v>464</v>
      </c>
      <c r="G568" s="1483" t="str">
        <f>C554</f>
        <v>Citi Community Capital</v>
      </c>
      <c r="H568" s="1483"/>
      <c r="I568" s="1483"/>
      <c r="J568" s="1483"/>
      <c r="K568" s="1483"/>
      <c r="L568" s="1483"/>
      <c r="M568" s="1483"/>
      <c r="N568" s="1483"/>
      <c r="O568" s="1483"/>
      <c r="P568" s="1483"/>
      <c r="Q568" s="1483"/>
      <c r="R568" s="1483"/>
      <c r="S568" s="8"/>
      <c r="T568" s="55" t="s">
        <v>113</v>
      </c>
      <c r="U568" t="s">
        <v>464</v>
      </c>
      <c r="Z568" s="1483" t="str">
        <f>C555</f>
        <v>Citi Community Capital</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25" customHeight="1">
      <c r="A569" s="22"/>
      <c r="B569" t="s">
        <v>85</v>
      </c>
      <c r="G569" s="1407" t="s">
        <v>2710</v>
      </c>
      <c r="H569" s="1407"/>
      <c r="I569" s="1407"/>
      <c r="J569" s="1407"/>
      <c r="K569" s="1407"/>
      <c r="L569" s="1407"/>
      <c r="M569" s="1407"/>
      <c r="N569" s="1407"/>
      <c r="O569" s="1407"/>
      <c r="P569" s="1407"/>
      <c r="Q569" s="1407"/>
      <c r="R569" s="1407"/>
      <c r="S569" s="8"/>
      <c r="T569" s="22"/>
      <c r="U569" t="s">
        <v>85</v>
      </c>
      <c r="Z569" s="1407" t="s">
        <v>2710</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25" customHeight="1">
      <c r="A570" s="22"/>
      <c r="B570" t="s">
        <v>581</v>
      </c>
      <c r="G570" s="1407" t="s">
        <v>2711</v>
      </c>
      <c r="H570" s="1407"/>
      <c r="I570" s="1407"/>
      <c r="J570" s="1407"/>
      <c r="K570" s="1407"/>
      <c r="L570" s="1407"/>
      <c r="M570" s="1407"/>
      <c r="N570" s="1407"/>
      <c r="O570" s="1407"/>
      <c r="P570" s="1407"/>
      <c r="Q570" s="1407"/>
      <c r="R570" s="1407"/>
      <c r="T570" s="22"/>
      <c r="U570" t="s">
        <v>581</v>
      </c>
      <c r="Z570" s="1371" t="s">
        <v>2711</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25" customHeight="1">
      <c r="A571" s="22"/>
      <c r="B571" t="s">
        <v>17</v>
      </c>
      <c r="G571" s="1407" t="s">
        <v>2712</v>
      </c>
      <c r="H571" s="1407"/>
      <c r="I571" s="1407"/>
      <c r="J571" s="1407"/>
      <c r="K571" s="1407"/>
      <c r="L571" s="1407"/>
      <c r="M571" s="1407"/>
      <c r="N571" s="1407"/>
      <c r="O571" s="1407"/>
      <c r="P571" s="1407"/>
      <c r="Q571" s="1407"/>
      <c r="R571" s="1407"/>
      <c r="S571" s="8"/>
      <c r="T571" s="22"/>
      <c r="U571" t="s">
        <v>17</v>
      </c>
      <c r="Z571" s="1371" t="s">
        <v>2712</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25" customHeight="1">
      <c r="A572" s="22"/>
      <c r="B572" t="s">
        <v>316</v>
      </c>
      <c r="G572" s="1487" t="s">
        <v>2713</v>
      </c>
      <c r="H572" s="1487"/>
      <c r="I572" s="1487"/>
      <c r="J572" s="1487"/>
      <c r="K572" s="1487"/>
      <c r="L572" s="1487"/>
      <c r="O572" s="33" t="s">
        <v>206</v>
      </c>
      <c r="P572" s="1471"/>
      <c r="Q572" s="1471"/>
      <c r="R572" s="1471"/>
      <c r="S572" s="10"/>
      <c r="T572" s="22"/>
      <c r="U572" t="s">
        <v>316</v>
      </c>
      <c r="Z572" s="1487" t="s">
        <v>2713</v>
      </c>
      <c r="AA572" s="1487"/>
      <c r="AB572" s="1487"/>
      <c r="AC572" s="1487"/>
      <c r="AD572" s="1487"/>
      <c r="AE572" s="1487"/>
      <c r="AH572" s="33" t="s">
        <v>206</v>
      </c>
      <c r="AI572" s="1471"/>
      <c r="AJ572" s="1471"/>
      <c r="AK572" s="1471"/>
      <c r="BB572" s="3"/>
      <c r="BC572" s="3"/>
      <c r="BD572" s="3"/>
      <c r="BE572" s="3"/>
      <c r="BF572" s="3"/>
      <c r="BG572" s="3"/>
      <c r="BH572" s="3"/>
      <c r="BI572" s="3"/>
    </row>
    <row r="573" spans="1:61" ht="13.25" customHeight="1">
      <c r="A573" s="22"/>
      <c r="B573" t="s">
        <v>18</v>
      </c>
      <c r="H573" s="1407" t="s">
        <v>2714</v>
      </c>
      <c r="I573" s="1407"/>
      <c r="J573" s="1407"/>
      <c r="K573" s="1407"/>
      <c r="L573" s="1407"/>
      <c r="M573" s="1407"/>
      <c r="N573" s="1407"/>
      <c r="O573" s="1407"/>
      <c r="P573" s="1407"/>
      <c r="Q573" s="1407"/>
      <c r="R573" s="1407"/>
      <c r="S573" s="8"/>
      <c r="T573" s="22"/>
      <c r="U573" t="s">
        <v>18</v>
      </c>
      <c r="AA573" s="1407" t="s">
        <v>2714</v>
      </c>
      <c r="AB573" s="1407"/>
      <c r="AC573" s="1407"/>
      <c r="AD573" s="1407"/>
      <c r="AE573" s="1407"/>
      <c r="AF573" s="1407"/>
      <c r="AG573" s="1407"/>
      <c r="AH573" s="1407"/>
      <c r="AI573" s="1407"/>
      <c r="AJ573" s="1407"/>
      <c r="AK573" s="1407"/>
      <c r="BB573" s="3"/>
      <c r="BC573" s="3"/>
      <c r="BD573" s="3"/>
      <c r="BE573" s="3"/>
      <c r="BF573" s="3"/>
      <c r="BG573" s="3"/>
      <c r="BH573" s="3"/>
      <c r="BI573" s="3"/>
    </row>
    <row r="574" spans="1:61" ht="13.25" customHeight="1">
      <c r="A574" s="22"/>
      <c r="B574" s="320" t="s">
        <v>1186</v>
      </c>
      <c r="H574" s="8"/>
      <c r="I574" s="8"/>
      <c r="J574" s="8"/>
      <c r="K574" s="8"/>
      <c r="L574" s="8"/>
      <c r="M574" s="1598"/>
      <c r="N574" s="1598"/>
      <c r="O574" s="1598"/>
      <c r="P574" s="1598"/>
      <c r="Q574" s="1598"/>
      <c r="R574" s="1598"/>
      <c r="S574" s="8"/>
      <c r="T574" s="22"/>
      <c r="U574" s="320" t="s">
        <v>1186</v>
      </c>
      <c r="AA574" s="8"/>
      <c r="AB574" s="8"/>
      <c r="AC574" s="8"/>
      <c r="AD574" s="8"/>
      <c r="AE574" s="8"/>
      <c r="AF574" s="1598"/>
      <c r="AG574" s="1598"/>
      <c r="AH574" s="1598"/>
      <c r="AI574" s="1598"/>
      <c r="AJ574" s="1598"/>
      <c r="AK574" s="1598"/>
      <c r="BB574" s="3"/>
      <c r="BC574" s="3"/>
      <c r="BD574" s="3"/>
      <c r="BE574" s="3"/>
      <c r="BF574" s="3"/>
      <c r="BG574" s="3"/>
      <c r="BH574" s="3"/>
      <c r="BI574" s="3"/>
    </row>
    <row r="575" spans="1:61" ht="13.25" customHeight="1">
      <c r="A575" s="22"/>
      <c r="B575" t="s">
        <v>20</v>
      </c>
      <c r="N575" s="1415" t="s">
        <v>670</v>
      </c>
      <c r="O575" s="1415"/>
      <c r="T575" s="22"/>
      <c r="U575" t="s">
        <v>20</v>
      </c>
      <c r="AG575" s="1415" t="s">
        <v>670</v>
      </c>
      <c r="AH575" s="1415"/>
      <c r="BB575" s="3"/>
      <c r="BC575" s="3"/>
      <c r="BD575" s="3"/>
      <c r="BE575" s="3"/>
      <c r="BF575" s="3"/>
      <c r="BG575" s="3"/>
      <c r="BH575" s="3"/>
      <c r="BI575" s="3"/>
    </row>
    <row r="576" spans="1:61" ht="13.25" customHeight="1">
      <c r="A576" s="22"/>
      <c r="T576" s="22"/>
      <c r="BB576" s="3"/>
      <c r="BC576" s="3"/>
      <c r="BD576" s="3"/>
      <c r="BE576" s="3"/>
      <c r="BF576" s="3"/>
      <c r="BG576" s="3"/>
      <c r="BH576" s="3"/>
      <c r="BI576" s="3"/>
    </row>
    <row r="577" spans="1:55" ht="13.25" customHeight="1">
      <c r="A577" s="55" t="s">
        <v>119</v>
      </c>
      <c r="B577" t="s">
        <v>464</v>
      </c>
      <c r="G577" s="1483" t="str">
        <f>C556</f>
        <v>Citi Community Capital</v>
      </c>
      <c r="H577" s="1483"/>
      <c r="I577" s="1483"/>
      <c r="J577" s="1483"/>
      <c r="K577" s="1483"/>
      <c r="L577" s="1483"/>
      <c r="M577" s="1483"/>
      <c r="N577" s="1483"/>
      <c r="O577" s="1483"/>
      <c r="P577" s="1483"/>
      <c r="Q577" s="1483"/>
      <c r="R577" s="1483"/>
      <c r="T577" s="55" t="s">
        <v>582</v>
      </c>
      <c r="U577" t="s">
        <v>464</v>
      </c>
      <c r="Z577" s="1483" t="str">
        <f>C557</f>
        <v xml:space="preserve">Interfaith Development Corporation </v>
      </c>
      <c r="AA577" s="1483"/>
      <c r="AB577" s="1483"/>
      <c r="AC577" s="1483"/>
      <c r="AD577" s="1483"/>
      <c r="AE577" s="1483"/>
      <c r="AF577" s="1483"/>
      <c r="AG577" s="1483"/>
      <c r="AH577" s="1483"/>
      <c r="AI577" s="1483"/>
      <c r="AJ577" s="1483"/>
      <c r="AK577" s="1483"/>
      <c r="BB577" s="3"/>
      <c r="BC577" s="3"/>
    </row>
    <row r="578" spans="1:55" ht="13.25" customHeight="1">
      <c r="A578" s="22"/>
      <c r="B578" t="s">
        <v>85</v>
      </c>
      <c r="G578" s="1674" t="s">
        <v>2710</v>
      </c>
      <c r="H578" s="1407"/>
      <c r="I578" s="1407"/>
      <c r="J578" s="1407"/>
      <c r="K578" s="1407"/>
      <c r="L578" s="1407"/>
      <c r="M578" s="1407"/>
      <c r="N578" s="1407"/>
      <c r="O578" s="1407"/>
      <c r="P578" s="1407"/>
      <c r="Q578" s="1407"/>
      <c r="R578" s="1407"/>
      <c r="T578" s="22"/>
      <c r="U578" t="s">
        <v>85</v>
      </c>
      <c r="Z578" s="1407" t="s">
        <v>2719</v>
      </c>
      <c r="AA578" s="1407"/>
      <c r="AB578" s="1407"/>
      <c r="AC578" s="1407"/>
      <c r="AD578" s="1407"/>
      <c r="AE578" s="1407"/>
      <c r="AF578" s="1407"/>
      <c r="AG578" s="1407"/>
      <c r="AH578" s="1407"/>
      <c r="AI578" s="1407"/>
      <c r="AJ578" s="1407"/>
      <c r="AK578" s="1407"/>
      <c r="BB578" s="3"/>
      <c r="BC578" s="3"/>
    </row>
    <row r="579" spans="1:55" ht="13.25" customHeight="1">
      <c r="A579" s="22"/>
      <c r="B579" t="s">
        <v>581</v>
      </c>
      <c r="G579" s="1371" t="s">
        <v>2711</v>
      </c>
      <c r="H579" s="1371"/>
      <c r="I579" s="1371"/>
      <c r="J579" s="1371"/>
      <c r="K579" s="1371"/>
      <c r="L579" s="1371"/>
      <c r="M579" s="1371"/>
      <c r="N579" s="1371"/>
      <c r="O579" s="1371"/>
      <c r="P579" s="1371"/>
      <c r="Q579" s="1371"/>
      <c r="R579" s="1371"/>
      <c r="T579" s="22"/>
      <c r="U579" t="s">
        <v>581</v>
      </c>
      <c r="Z579" s="1371" t="s">
        <v>2718</v>
      </c>
      <c r="AA579" s="1371"/>
      <c r="AB579" s="1371"/>
      <c r="AC579" s="1371"/>
      <c r="AD579" s="1371"/>
      <c r="AE579" s="1371"/>
      <c r="AF579" s="1371"/>
      <c r="AG579" s="1371"/>
      <c r="AH579" s="1371"/>
      <c r="AI579" s="1371"/>
      <c r="AJ579" s="1371"/>
      <c r="AK579" s="1371"/>
      <c r="BB579" s="3"/>
      <c r="BC579" s="3"/>
    </row>
    <row r="580" spans="1:55" ht="13.25" customHeight="1">
      <c r="A580" s="22"/>
      <c r="B580" t="s">
        <v>17</v>
      </c>
      <c r="G580" s="1371" t="s">
        <v>2712</v>
      </c>
      <c r="H580" s="1371"/>
      <c r="I580" s="1371"/>
      <c r="J580" s="1371"/>
      <c r="K580" s="1371"/>
      <c r="L580" s="1371"/>
      <c r="M580" s="1371"/>
      <c r="N580" s="1371"/>
      <c r="O580" s="1371"/>
      <c r="P580" s="1371"/>
      <c r="Q580" s="1371"/>
      <c r="R580" s="1371"/>
      <c r="T580" s="22"/>
      <c r="U580" t="s">
        <v>17</v>
      </c>
      <c r="Z580" s="1371" t="s">
        <v>2720</v>
      </c>
      <c r="AA580" s="1371"/>
      <c r="AB580" s="1371"/>
      <c r="AC580" s="1371"/>
      <c r="AD580" s="1371"/>
      <c r="AE580" s="1371"/>
      <c r="AF580" s="1371"/>
      <c r="AG580" s="1371"/>
      <c r="AH580" s="1371"/>
      <c r="AI580" s="1371"/>
      <c r="AJ580" s="1371"/>
      <c r="AK580" s="1371"/>
      <c r="BB580" s="3"/>
      <c r="BC580" s="3"/>
    </row>
    <row r="581" spans="1:55" ht="13.25" customHeight="1">
      <c r="A581" s="22"/>
      <c r="B581" t="s">
        <v>316</v>
      </c>
      <c r="G581" s="1487" t="s">
        <v>2713</v>
      </c>
      <c r="H581" s="1487"/>
      <c r="I581" s="1487"/>
      <c r="J581" s="1487"/>
      <c r="K581" s="1487"/>
      <c r="L581" s="1487"/>
      <c r="O581" s="33" t="s">
        <v>206</v>
      </c>
      <c r="P581" s="1471"/>
      <c r="Q581" s="1471"/>
      <c r="R581" s="1471"/>
      <c r="T581" s="22"/>
      <c r="U581" t="s">
        <v>316</v>
      </c>
      <c r="Z581" s="1487">
        <v>6196681532</v>
      </c>
      <c r="AA581" s="1487"/>
      <c r="AB581" s="1487"/>
      <c r="AC581" s="1487"/>
      <c r="AD581" s="1487"/>
      <c r="AE581" s="1487"/>
      <c r="AH581" s="33" t="s">
        <v>206</v>
      </c>
      <c r="AI581" s="1471"/>
      <c r="AJ581" s="1471"/>
      <c r="AK581" s="1471"/>
      <c r="BB581" s="3"/>
      <c r="BC581" s="3"/>
    </row>
    <row r="582" spans="1:55" ht="13.25" customHeight="1">
      <c r="A582" s="22"/>
      <c r="B582" t="s">
        <v>18</v>
      </c>
      <c r="H582" s="1407" t="s">
        <v>2714</v>
      </c>
      <c r="I582" s="1407"/>
      <c r="J582" s="1407"/>
      <c r="K582" s="1407"/>
      <c r="L582" s="1407"/>
      <c r="M582" s="1407"/>
      <c r="N582" s="1407"/>
      <c r="O582" s="1407"/>
      <c r="P582" s="1407"/>
      <c r="Q582" s="1407"/>
      <c r="R582" s="1407"/>
      <c r="T582" s="22"/>
      <c r="U582" t="s">
        <v>18</v>
      </c>
      <c r="AA582" s="1407" t="s">
        <v>2728</v>
      </c>
      <c r="AB582" s="1407"/>
      <c r="AC582" s="1407"/>
      <c r="AD582" s="1407"/>
      <c r="AE582" s="1407"/>
      <c r="AF582" s="1407"/>
      <c r="AG582" s="1407"/>
      <c r="AH582" s="1407"/>
      <c r="AI582" s="1407"/>
      <c r="AJ582" s="1407"/>
      <c r="AK582" s="1407"/>
      <c r="BB582" s="3"/>
      <c r="BC582" s="3"/>
    </row>
    <row r="583" spans="1:55" ht="13.25" customHeight="1">
      <c r="A583" s="22"/>
      <c r="B583" t="s">
        <v>20</v>
      </c>
      <c r="N583" s="1415" t="s">
        <v>670</v>
      </c>
      <c r="O583" s="1415"/>
      <c r="T583" s="22"/>
      <c r="U583" t="s">
        <v>20</v>
      </c>
      <c r="AG583" s="1415" t="s">
        <v>546</v>
      </c>
      <c r="AH583" s="1415"/>
      <c r="BB583" s="3"/>
      <c r="BC583" s="3"/>
    </row>
    <row r="584" spans="1:55" ht="13.25" customHeight="1">
      <c r="A584" s="22"/>
      <c r="T584" s="22"/>
      <c r="BB584" s="3"/>
      <c r="BC584" s="3"/>
    </row>
    <row r="585" spans="1:55" ht="13.25" customHeight="1">
      <c r="A585" s="55" t="s">
        <v>764</v>
      </c>
      <c r="B585" t="s">
        <v>464</v>
      </c>
      <c r="G585" s="1483" t="str">
        <f>C558</f>
        <v>Deferred Developer Fee</v>
      </c>
      <c r="H585" s="1483"/>
      <c r="I585" s="1483"/>
      <c r="J585" s="1483"/>
      <c r="K585" s="1483"/>
      <c r="L585" s="1483"/>
      <c r="M585" s="1483"/>
      <c r="N585" s="1483"/>
      <c r="O585" s="1483"/>
      <c r="P585" s="1483"/>
      <c r="Q585" s="1483"/>
      <c r="R585" s="1483"/>
      <c r="T585" s="55" t="s">
        <v>585</v>
      </c>
      <c r="U585" t="s">
        <v>464</v>
      </c>
      <c r="Z585" s="1483" t="str">
        <f>C559</f>
        <v>Accrued Interest on Soft Debt</v>
      </c>
      <c r="AA585" s="1483"/>
      <c r="AB585" s="1483"/>
      <c r="AC585" s="1483"/>
      <c r="AD585" s="1483"/>
      <c r="AE585" s="1483"/>
      <c r="AF585" s="1483"/>
      <c r="AG585" s="1483"/>
      <c r="AH585" s="1483"/>
      <c r="AI585" s="1483"/>
      <c r="AJ585" s="1483"/>
      <c r="AK585" s="1483"/>
      <c r="BB585" s="3"/>
      <c r="BC585" s="3"/>
    </row>
    <row r="586" spans="1:55" ht="13.25" customHeight="1">
      <c r="A586" s="22"/>
      <c r="B586" t="s">
        <v>85</v>
      </c>
      <c r="G586" s="1407" t="s">
        <v>2621</v>
      </c>
      <c r="H586" s="1407"/>
      <c r="I586" s="1407"/>
      <c r="J586" s="1407"/>
      <c r="K586" s="1407"/>
      <c r="L586" s="1407"/>
      <c r="M586" s="1407"/>
      <c r="N586" s="1407"/>
      <c r="O586" s="1407"/>
      <c r="P586" s="1407"/>
      <c r="Q586" s="1407"/>
      <c r="R586" s="1407"/>
      <c r="T586" s="22"/>
      <c r="U586" t="s">
        <v>85</v>
      </c>
      <c r="Z586" s="1407" t="s">
        <v>2621</v>
      </c>
      <c r="AA586" s="1407"/>
      <c r="AB586" s="1407"/>
      <c r="AC586" s="1407"/>
      <c r="AD586" s="1407"/>
      <c r="AE586" s="1407"/>
      <c r="AF586" s="1407"/>
      <c r="AG586" s="1407"/>
      <c r="AH586" s="1407"/>
      <c r="AI586" s="1407"/>
      <c r="AJ586" s="1407"/>
      <c r="AK586" s="1407"/>
      <c r="BB586" s="3"/>
      <c r="BC586" s="3"/>
    </row>
    <row r="587" spans="1:55" ht="13.25" customHeight="1">
      <c r="A587" s="22"/>
      <c r="B587" t="s">
        <v>581</v>
      </c>
      <c r="G587" s="1407" t="s">
        <v>2715</v>
      </c>
      <c r="H587" s="1407"/>
      <c r="I587" s="1407"/>
      <c r="J587" s="1407"/>
      <c r="K587" s="1407"/>
      <c r="L587" s="1407"/>
      <c r="M587" s="1407"/>
      <c r="N587" s="1407"/>
      <c r="O587" s="1407"/>
      <c r="P587" s="1407"/>
      <c r="Q587" s="1407"/>
      <c r="R587" s="1407"/>
      <c r="T587" s="22"/>
      <c r="U587" t="s">
        <v>581</v>
      </c>
      <c r="Z587" s="1371" t="s">
        <v>2715</v>
      </c>
      <c r="AA587" s="1371"/>
      <c r="AB587" s="1371"/>
      <c r="AC587" s="1371"/>
      <c r="AD587" s="1371"/>
      <c r="AE587" s="1371"/>
      <c r="AF587" s="1371"/>
      <c r="AG587" s="1371"/>
      <c r="AH587" s="1371"/>
      <c r="AI587" s="1371"/>
      <c r="AJ587" s="1371"/>
      <c r="AK587" s="1371"/>
      <c r="BB587" s="3"/>
      <c r="BC587" s="3"/>
    </row>
    <row r="588" spans="1:55" ht="13.25" customHeight="1">
      <c r="A588" s="22"/>
      <c r="B588" t="s">
        <v>17</v>
      </c>
      <c r="G588" s="1407" t="s">
        <v>2623</v>
      </c>
      <c r="H588" s="1407"/>
      <c r="I588" s="1407"/>
      <c r="J588" s="1407"/>
      <c r="K588" s="1407"/>
      <c r="L588" s="1407"/>
      <c r="M588" s="1407"/>
      <c r="N588" s="1407"/>
      <c r="O588" s="1407"/>
      <c r="P588" s="1407"/>
      <c r="Q588" s="1407"/>
      <c r="R588" s="1407"/>
      <c r="T588" s="22"/>
      <c r="U588" t="s">
        <v>17</v>
      </c>
      <c r="Z588" s="1371" t="s">
        <v>2623</v>
      </c>
      <c r="AA588" s="1371"/>
      <c r="AB588" s="1371"/>
      <c r="AC588" s="1371"/>
      <c r="AD588" s="1371"/>
      <c r="AE588" s="1371"/>
      <c r="AF588" s="1371"/>
      <c r="AG588" s="1371"/>
      <c r="AH588" s="1371"/>
      <c r="AI588" s="1371"/>
      <c r="AJ588" s="1371"/>
      <c r="AK588" s="1371"/>
    </row>
    <row r="589" spans="1:55" ht="13.25" customHeight="1">
      <c r="A589" s="22"/>
      <c r="B589" t="s">
        <v>316</v>
      </c>
      <c r="G589" s="1487" t="s">
        <v>2624</v>
      </c>
      <c r="H589" s="1487"/>
      <c r="I589" s="1487"/>
      <c r="J589" s="1487"/>
      <c r="K589" s="1487"/>
      <c r="L589" s="1487"/>
      <c r="O589" s="33" t="s">
        <v>206</v>
      </c>
      <c r="P589" s="1471"/>
      <c r="Q589" s="1471"/>
      <c r="R589" s="1471"/>
      <c r="T589" s="22"/>
      <c r="U589" t="s">
        <v>316</v>
      </c>
      <c r="Z589" s="1487" t="s">
        <v>2624</v>
      </c>
      <c r="AA589" s="1487"/>
      <c r="AB589" s="1487"/>
      <c r="AC589" s="1487"/>
      <c r="AD589" s="1487"/>
      <c r="AE589" s="1487"/>
      <c r="AH589" s="33" t="s">
        <v>206</v>
      </c>
      <c r="AI589" s="1471"/>
      <c r="AJ589" s="1471"/>
      <c r="AK589" s="1471"/>
      <c r="AZ589" s="3"/>
      <c r="BA589" s="3"/>
      <c r="BB589" s="3"/>
      <c r="BC589" s="3"/>
    </row>
    <row r="590" spans="1:55" ht="13.25" customHeight="1">
      <c r="A590" s="22"/>
      <c r="B590" t="s">
        <v>18</v>
      </c>
      <c r="H590" s="1407" t="s">
        <v>2321</v>
      </c>
      <c r="I590" s="1407"/>
      <c r="J590" s="1407"/>
      <c r="K590" s="1407"/>
      <c r="L590" s="1407"/>
      <c r="M590" s="1407"/>
      <c r="N590" s="1407"/>
      <c r="O590" s="1407"/>
      <c r="P590" s="1407"/>
      <c r="Q590" s="1407"/>
      <c r="R590" s="1407"/>
      <c r="T590" s="22"/>
      <c r="U590" t="s">
        <v>18</v>
      </c>
      <c r="AA590" s="1407" t="s">
        <v>2105</v>
      </c>
      <c r="AB590" s="1407"/>
      <c r="AC590" s="1407"/>
      <c r="AD590" s="1407"/>
      <c r="AE590" s="1407"/>
      <c r="AF590" s="1407"/>
      <c r="AG590" s="1407"/>
      <c r="AH590" s="1407"/>
      <c r="AI590" s="1407"/>
      <c r="AJ590" s="1407"/>
      <c r="AK590" s="1407"/>
      <c r="AZ590" s="3"/>
      <c r="BA590" s="3"/>
      <c r="BB590" s="3"/>
      <c r="BC590" s="3"/>
    </row>
    <row r="591" spans="1:55" ht="13.25" customHeight="1">
      <c r="A591" s="22"/>
      <c r="B591" t="s">
        <v>20</v>
      </c>
      <c r="N591" s="1415" t="s">
        <v>546</v>
      </c>
      <c r="O591" s="1415"/>
      <c r="T591" s="22"/>
      <c r="U591" t="s">
        <v>20</v>
      </c>
      <c r="AG591" s="1415" t="s">
        <v>546</v>
      </c>
      <c r="AH591" s="1415"/>
      <c r="AZ591" s="3"/>
      <c r="BA591" s="3"/>
      <c r="BB591" s="3"/>
      <c r="BC591" s="3"/>
    </row>
    <row r="592" spans="1:55" ht="13.25" customHeight="1">
      <c r="A592" s="22"/>
      <c r="T592" s="22"/>
      <c r="AZ592" s="3"/>
      <c r="BA592" s="3"/>
      <c r="BB592" s="3"/>
      <c r="BC592" s="3"/>
    </row>
    <row r="593" spans="1:55" ht="13.25" customHeight="1">
      <c r="A593" s="55" t="s">
        <v>456</v>
      </c>
      <c r="B593" t="s">
        <v>464</v>
      </c>
      <c r="G593" s="1483" t="str">
        <f>C560</f>
        <v>RedStone Equity Partners</v>
      </c>
      <c r="H593" s="1483"/>
      <c r="I593" s="1483"/>
      <c r="J593" s="1483"/>
      <c r="K593" s="1483"/>
      <c r="L593" s="1483"/>
      <c r="M593" s="1483"/>
      <c r="N593" s="1483"/>
      <c r="O593" s="1483"/>
      <c r="P593" s="1483"/>
      <c r="Q593" s="1483"/>
      <c r="R593" s="1483"/>
      <c r="T593" s="55" t="s">
        <v>457</v>
      </c>
      <c r="U593" t="s">
        <v>464</v>
      </c>
      <c r="Z593" s="1483" t="str">
        <f>C561</f>
        <v xml:space="preserve">Interfaith Development Corporation </v>
      </c>
      <c r="AA593" s="1483"/>
      <c r="AB593" s="1483"/>
      <c r="AC593" s="1483"/>
      <c r="AD593" s="1483"/>
      <c r="AE593" s="1483"/>
      <c r="AF593" s="1483"/>
      <c r="AG593" s="1483"/>
      <c r="AH593" s="1483"/>
      <c r="AI593" s="1483"/>
      <c r="AJ593" s="1483"/>
      <c r="AK593" s="1483"/>
      <c r="AZ593" s="3"/>
      <c r="BA593" s="3"/>
      <c r="BB593" s="3"/>
      <c r="BC593" s="3"/>
    </row>
    <row r="594" spans="1:55" s="4" customFormat="1" ht="13.25" customHeight="1">
      <c r="A594" s="22"/>
      <c r="B594" t="s">
        <v>85</v>
      </c>
      <c r="C594"/>
      <c r="D594"/>
      <c r="E594"/>
      <c r="F594"/>
      <c r="G594" s="1407" t="s">
        <v>2716</v>
      </c>
      <c r="H594" s="1407"/>
      <c r="I594" s="1407"/>
      <c r="J594" s="1407"/>
      <c r="K594" s="1407"/>
      <c r="L594" s="1407"/>
      <c r="M594" s="1407"/>
      <c r="N594" s="1407"/>
      <c r="O594" s="1407"/>
      <c r="P594" s="1407"/>
      <c r="Q594" s="1407"/>
      <c r="R594" s="1407"/>
      <c r="S594"/>
      <c r="T594" s="22"/>
      <c r="U594" t="s">
        <v>85</v>
      </c>
      <c r="V594"/>
      <c r="W594"/>
      <c r="X594"/>
      <c r="Y594"/>
      <c r="Z594" s="1407" t="s">
        <v>2719</v>
      </c>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25" customHeight="1">
      <c r="A595" s="22"/>
      <c r="B595" t="s">
        <v>581</v>
      </c>
      <c r="C595"/>
      <c r="D595"/>
      <c r="E595"/>
      <c r="F595"/>
      <c r="G595" s="1407" t="s">
        <v>2666</v>
      </c>
      <c r="H595" s="1407"/>
      <c r="I595" s="1407"/>
      <c r="J595" s="1407"/>
      <c r="K595" s="1407"/>
      <c r="L595" s="1407"/>
      <c r="M595" s="1407"/>
      <c r="N595" s="1407"/>
      <c r="O595" s="1407"/>
      <c r="P595" s="1407"/>
      <c r="Q595" s="1407"/>
      <c r="R595" s="1407"/>
      <c r="S595"/>
      <c r="T595" s="22"/>
      <c r="U595" t="s">
        <v>581</v>
      </c>
      <c r="V595"/>
      <c r="W595"/>
      <c r="X595"/>
      <c r="Y595"/>
      <c r="Z595" s="1371" t="s">
        <v>2718</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25" customHeight="1">
      <c r="A596" s="22"/>
      <c r="B596" t="s">
        <v>17</v>
      </c>
      <c r="C596"/>
      <c r="D596"/>
      <c r="E596"/>
      <c r="F596"/>
      <c r="G596" s="1407" t="s">
        <v>2667</v>
      </c>
      <c r="H596" s="1407"/>
      <c r="I596" s="1407"/>
      <c r="J596" s="1407"/>
      <c r="K596" s="1407"/>
      <c r="L596" s="1407"/>
      <c r="M596" s="1407"/>
      <c r="N596" s="1407"/>
      <c r="O596" s="1407"/>
      <c r="P596" s="1407"/>
      <c r="Q596" s="1407"/>
      <c r="R596" s="1407"/>
      <c r="S596"/>
      <c r="T596" s="22"/>
      <c r="U596" t="s">
        <v>17</v>
      </c>
      <c r="V596"/>
      <c r="W596"/>
      <c r="X596"/>
      <c r="Y596"/>
      <c r="Z596" s="1371" t="s">
        <v>2720</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25" customHeight="1">
      <c r="A597" s="22"/>
      <c r="B597" t="s">
        <v>316</v>
      </c>
      <c r="C597"/>
      <c r="D597"/>
      <c r="E597"/>
      <c r="F597"/>
      <c r="G597" s="1487" t="s">
        <v>2668</v>
      </c>
      <c r="H597" s="1487"/>
      <c r="I597" s="1487"/>
      <c r="J597" s="1487"/>
      <c r="K597" s="1487"/>
      <c r="L597" s="1487"/>
      <c r="M597"/>
      <c r="N597"/>
      <c r="O597" s="33" t="s">
        <v>206</v>
      </c>
      <c r="P597" s="1471"/>
      <c r="Q597" s="1471"/>
      <c r="R597" s="1471"/>
      <c r="S597"/>
      <c r="T597" s="22"/>
      <c r="U597" t="s">
        <v>316</v>
      </c>
      <c r="V597"/>
      <c r="W597"/>
      <c r="X597"/>
      <c r="Y597"/>
      <c r="Z597" s="1487">
        <v>6196681532</v>
      </c>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3.25" customHeight="1">
      <c r="A598" s="22"/>
      <c r="B598" t="s">
        <v>18</v>
      </c>
      <c r="C598"/>
      <c r="D598"/>
      <c r="E598"/>
      <c r="F598"/>
      <c r="G598"/>
      <c r="H598" s="1407" t="s">
        <v>2717</v>
      </c>
      <c r="I598" s="1407"/>
      <c r="J598" s="1407"/>
      <c r="K598" s="1407"/>
      <c r="L598" s="1407"/>
      <c r="M598" s="1407"/>
      <c r="N598" s="1407"/>
      <c r="O598" s="1407"/>
      <c r="P598" s="1407"/>
      <c r="Q598" s="1407"/>
      <c r="R598" s="1407"/>
      <c r="S598"/>
      <c r="T598" s="22"/>
      <c r="U598" t="s">
        <v>18</v>
      </c>
      <c r="V598"/>
      <c r="W598"/>
      <c r="X598"/>
      <c r="Y598"/>
      <c r="Z598"/>
      <c r="AA598" s="1262" t="s">
        <v>2735</v>
      </c>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25" customHeight="1">
      <c r="A599" s="22"/>
      <c r="B599" t="s">
        <v>20</v>
      </c>
      <c r="N599" s="1415" t="s">
        <v>670</v>
      </c>
      <c r="O599" s="1415"/>
      <c r="T599" s="22"/>
      <c r="U599" t="s">
        <v>20</v>
      </c>
      <c r="AG599" s="1415" t="s">
        <v>546</v>
      </c>
      <c r="AH599" s="1415"/>
      <c r="BB599" s="3"/>
      <c r="BC599" s="3"/>
    </row>
    <row r="600" spans="1:55" ht="13.25" customHeight="1">
      <c r="A600" s="22"/>
      <c r="T600" s="22"/>
      <c r="BB600" s="3"/>
      <c r="BC600" s="3"/>
    </row>
    <row r="601" spans="1:55" ht="13.2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3.2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2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2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2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3.2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2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25" customHeight="1">
      <c r="A608" s="22"/>
      <c r="T608" s="22"/>
      <c r="AZ608" s="3"/>
      <c r="BA608" s="3"/>
      <c r="BB608" s="3"/>
      <c r="BC608" s="3"/>
    </row>
    <row r="609" spans="1:55" ht="13.2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3.2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2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2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2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3.2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25" customHeight="1">
      <c r="B615" t="s">
        <v>20</v>
      </c>
      <c r="N615" s="1415" t="s">
        <v>670</v>
      </c>
      <c r="O615" s="1415"/>
      <c r="U615" t="s">
        <v>20</v>
      </c>
      <c r="AG615" s="1415" t="s">
        <v>670</v>
      </c>
      <c r="AH615" s="1415"/>
      <c r="AU615" s="899"/>
      <c r="AV615" s="899"/>
      <c r="AW615" s="899"/>
      <c r="AX615" s="899"/>
      <c r="AY615" s="899"/>
      <c r="AZ615" s="3"/>
      <c r="BA615" s="3"/>
      <c r="BB615" s="3"/>
      <c r="BC615" s="3"/>
    </row>
    <row r="616" spans="1:55" ht="13.25" customHeight="1">
      <c r="AZ616" s="3"/>
      <c r="BA616" s="3"/>
      <c r="BB616" s="3"/>
      <c r="BC616" s="3"/>
    </row>
    <row r="617" spans="1:55" ht="13.2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2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25" customHeight="1">
      <c r="AZ619" s="3"/>
      <c r="BA619" s="3"/>
      <c r="BB619" s="3"/>
      <c r="BC619" s="3"/>
    </row>
    <row r="620" spans="1:55" ht="13.25" customHeight="1">
      <c r="A620" s="2" t="s">
        <v>319</v>
      </c>
      <c r="B620" s="2"/>
      <c r="C620" s="2" t="s">
        <v>21</v>
      </c>
      <c r="AZ620" s="3"/>
      <c r="BA620" s="3"/>
      <c r="BB620" s="3"/>
      <c r="BC620" s="3"/>
    </row>
    <row r="621" spans="1:55" ht="13.25" customHeight="1">
      <c r="A621" s="2"/>
      <c r="B621" s="2"/>
      <c r="C621" s="2"/>
      <c r="AZ621" s="3"/>
      <c r="BA621" s="3"/>
      <c r="BB621" s="3"/>
      <c r="BC621" s="3"/>
    </row>
    <row r="622" spans="1:55" ht="13.25" customHeight="1">
      <c r="C622" s="2" t="s">
        <v>2101</v>
      </c>
      <c r="AZ622" s="3"/>
      <c r="BA622" s="3"/>
      <c r="BB622" s="3"/>
      <c r="BC622" s="3"/>
    </row>
    <row r="623" spans="1:55" ht="13.25" customHeight="1">
      <c r="B623" s="512"/>
      <c r="C623" s="2"/>
      <c r="AU623" s="3"/>
      <c r="AZ623" s="3"/>
      <c r="BA623" s="3"/>
      <c r="BB623" s="3"/>
      <c r="BC623" s="3"/>
    </row>
    <row r="624" spans="1:55" ht="13.25" customHeight="1">
      <c r="B624" s="1668" t="s">
        <v>2103</v>
      </c>
      <c r="C624" s="1668"/>
      <c r="D624" s="1668"/>
      <c r="E624" s="1668"/>
      <c r="F624" s="1668"/>
      <c r="G624" s="1668"/>
      <c r="H624" s="1668"/>
      <c r="I624" s="1668"/>
      <c r="J624" s="1668"/>
      <c r="K624" s="1668"/>
      <c r="L624" s="1668"/>
      <c r="M624" s="1673" t="s">
        <v>2104</v>
      </c>
      <c r="N624" s="1673"/>
      <c r="O624" s="1673"/>
      <c r="P624" s="1673"/>
      <c r="Q624" s="1673" t="s">
        <v>1853</v>
      </c>
      <c r="R624" s="1673"/>
      <c r="S624" s="1673"/>
      <c r="T624" s="1673" t="s">
        <v>1851</v>
      </c>
      <c r="U624" s="1673"/>
      <c r="V624" s="1673"/>
      <c r="W624" s="1669" t="s">
        <v>454</v>
      </c>
      <c r="X624" s="1669"/>
      <c r="Y624" s="1669"/>
      <c r="Z624" s="1397" t="s">
        <v>2133</v>
      </c>
      <c r="AA624" s="1397"/>
      <c r="AB624" s="1398"/>
      <c r="AC624" s="1675" t="s">
        <v>1677</v>
      </c>
      <c r="AD624" s="1676"/>
      <c r="AE624" s="1677"/>
      <c r="AF624" s="1396" t="s">
        <v>1931</v>
      </c>
      <c r="AG624" s="1397"/>
      <c r="AH624" s="1397"/>
      <c r="AI624" s="1397"/>
      <c r="AJ624" s="1398"/>
      <c r="AK624" s="1589" t="s">
        <v>1932</v>
      </c>
      <c r="AL624" s="1590"/>
      <c r="AM624" s="1590"/>
      <c r="AN624" s="1591"/>
      <c r="AO624" s="1673" t="s">
        <v>455</v>
      </c>
      <c r="AP624" s="1673"/>
      <c r="AQ624" s="1673"/>
      <c r="AR624" s="1673"/>
      <c r="AS624" s="1673"/>
      <c r="AU624" s="3"/>
      <c r="AZ624" s="3"/>
      <c r="BA624" s="3"/>
      <c r="BB624" s="3"/>
      <c r="BC624" s="3"/>
    </row>
    <row r="625" spans="2:157" ht="13.25"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0"/>
      <c r="AA625" s="1400"/>
      <c r="AB625" s="1401"/>
      <c r="AC625" s="1678"/>
      <c r="AD625" s="1679"/>
      <c r="AE625" s="1680"/>
      <c r="AF625" s="1399"/>
      <c r="AG625" s="1400"/>
      <c r="AH625" s="1400"/>
      <c r="AI625" s="1400"/>
      <c r="AJ625" s="1401"/>
      <c r="AK625" s="1592"/>
      <c r="AL625" s="1593"/>
      <c r="AM625" s="1593"/>
      <c r="AN625" s="1594"/>
      <c r="AO625" s="1673"/>
      <c r="AP625" s="1673"/>
      <c r="AQ625" s="1673"/>
      <c r="AR625" s="1673"/>
      <c r="AS625" s="1673"/>
      <c r="AU625" s="3"/>
      <c r="AZ625" s="3"/>
      <c r="BA625" s="3"/>
      <c r="BB625" s="3"/>
      <c r="BC625" s="3"/>
      <c r="BD625" s="3"/>
    </row>
    <row r="626" spans="2:157" ht="13.25"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3"/>
      <c r="AA626" s="1403"/>
      <c r="AB626" s="1404"/>
      <c r="AC626" s="1681"/>
      <c r="AD626" s="1682"/>
      <c r="AE626" s="1683"/>
      <c r="AF626" s="1402"/>
      <c r="AG626" s="1403"/>
      <c r="AH626" s="1403"/>
      <c r="AI626" s="1403"/>
      <c r="AJ626" s="1404"/>
      <c r="AK626" s="1595"/>
      <c r="AL626" s="1596"/>
      <c r="AM626" s="1596"/>
      <c r="AN626" s="1597"/>
      <c r="AO626" s="1673"/>
      <c r="AP626" s="1673"/>
      <c r="AQ626" s="1673"/>
      <c r="AR626" s="1673"/>
      <c r="AS626" s="1673"/>
      <c r="AT626" s="3"/>
      <c r="AU626" s="3"/>
      <c r="AZ626" s="3"/>
      <c r="BA626" s="3"/>
      <c r="BB626" s="3"/>
      <c r="BC626" s="3"/>
      <c r="BD626" s="3"/>
    </row>
    <row r="627" spans="2:157" ht="13.25" customHeight="1">
      <c r="B627" s="51" t="s">
        <v>112</v>
      </c>
      <c r="C627" s="1479" t="s">
        <v>2705</v>
      </c>
      <c r="D627" s="1479"/>
      <c r="E627" s="1479"/>
      <c r="F627" s="1479"/>
      <c r="G627" s="1479"/>
      <c r="H627" s="1479"/>
      <c r="I627" s="1479"/>
      <c r="J627" s="1479"/>
      <c r="K627" s="1479"/>
      <c r="L627" s="1479"/>
      <c r="M627" s="1493" t="s">
        <v>2120</v>
      </c>
      <c r="N627" s="1493"/>
      <c r="O627" s="1493"/>
      <c r="P627" s="1493"/>
      <c r="Q627" s="1509">
        <f>12*18</f>
        <v>216</v>
      </c>
      <c r="R627" s="1509"/>
      <c r="S627" s="1510"/>
      <c r="T627" s="1508">
        <f>40*12</f>
        <v>480</v>
      </c>
      <c r="U627" s="1509"/>
      <c r="V627" s="1510"/>
      <c r="W627" s="1480">
        <v>6.59E-2</v>
      </c>
      <c r="X627" s="1481"/>
      <c r="Y627" s="1482"/>
      <c r="Z627" s="1476" t="s">
        <v>2132</v>
      </c>
      <c r="AA627" s="1477"/>
      <c r="AB627" s="1478"/>
      <c r="AC627" s="1381">
        <v>1</v>
      </c>
      <c r="AD627" s="1382"/>
      <c r="AE627" s="1383"/>
      <c r="AF627" s="1490">
        <v>826599.48</v>
      </c>
      <c r="AG627" s="1491"/>
      <c r="AH627" s="1491"/>
      <c r="AI627" s="1491"/>
      <c r="AJ627" s="1492"/>
      <c r="AK627" s="1484">
        <v>72547.83</v>
      </c>
      <c r="AL627" s="1485"/>
      <c r="AM627" s="1485"/>
      <c r="AN627" s="1486"/>
      <c r="AO627" s="1637">
        <v>12456000</v>
      </c>
      <c r="AP627" s="1637"/>
      <c r="AQ627" s="1637"/>
      <c r="AR627" s="1637"/>
      <c r="AS627" s="1637"/>
      <c r="AT627" s="3"/>
      <c r="AU627" s="3"/>
      <c r="AZ627" s="3"/>
      <c r="BA627" s="3"/>
      <c r="BB627" s="3"/>
      <c r="BC627" s="3"/>
      <c r="BD627" s="3"/>
    </row>
    <row r="628" spans="2:157" ht="13.25" customHeight="1">
      <c r="B628" s="52" t="s">
        <v>113</v>
      </c>
      <c r="C628" s="1479" t="s">
        <v>2626</v>
      </c>
      <c r="D628" s="1479"/>
      <c r="E628" s="1479"/>
      <c r="F628" s="1479"/>
      <c r="G628" s="1479"/>
      <c r="H628" s="1479"/>
      <c r="I628" s="1479"/>
      <c r="J628" s="1479"/>
      <c r="K628" s="1479"/>
      <c r="L628" s="1479"/>
      <c r="M628" s="1493" t="s">
        <v>2116</v>
      </c>
      <c r="N628" s="1493"/>
      <c r="O628" s="1493"/>
      <c r="P628" s="1493"/>
      <c r="Q628" s="1508">
        <v>660</v>
      </c>
      <c r="R628" s="1509"/>
      <c r="S628" s="1510"/>
      <c r="T628" s="1508">
        <v>660</v>
      </c>
      <c r="U628" s="1509"/>
      <c r="V628" s="1510"/>
      <c r="W628" s="1480">
        <v>0.03</v>
      </c>
      <c r="X628" s="1481"/>
      <c r="Y628" s="1482"/>
      <c r="Z628" s="1476" t="s">
        <v>458</v>
      </c>
      <c r="AA628" s="1477"/>
      <c r="AB628" s="1478"/>
      <c r="AC628" s="1381">
        <v>2</v>
      </c>
      <c r="AD628" s="1382"/>
      <c r="AE628" s="1383"/>
      <c r="AF628" s="1490"/>
      <c r="AG628" s="1491"/>
      <c r="AH628" s="1491"/>
      <c r="AI628" s="1491"/>
      <c r="AJ628" s="1492"/>
      <c r="AK628" s="1484"/>
      <c r="AL628" s="1485"/>
      <c r="AM628" s="1485"/>
      <c r="AN628" s="1486"/>
      <c r="AO628" s="1475">
        <v>8400000</v>
      </c>
      <c r="AP628" s="1338"/>
      <c r="AQ628" s="1338"/>
      <c r="AR628" s="1338"/>
      <c r="AS628" s="1339"/>
      <c r="AT628" s="1148" t="str">
        <f>IF(AND(NOT(C627=""),C628="",NOT(C629="")),"!","")</f>
        <v/>
      </c>
      <c r="AU628" s="3"/>
      <c r="AZ628" s="3"/>
      <c r="BA628" s="3"/>
      <c r="BB628" s="3"/>
      <c r="BC628" s="3"/>
      <c r="BD628" s="3"/>
    </row>
    <row r="629" spans="2:157" ht="13.25" customHeight="1">
      <c r="B629" s="52" t="s">
        <v>119</v>
      </c>
      <c r="C629" s="1479" t="s">
        <v>2705</v>
      </c>
      <c r="D629" s="1479"/>
      <c r="E629" s="1479"/>
      <c r="F629" s="1479"/>
      <c r="G629" s="1479"/>
      <c r="H629" s="1479"/>
      <c r="I629" s="1479"/>
      <c r="J629" s="1479"/>
      <c r="K629" s="1479"/>
      <c r="L629" s="1479"/>
      <c r="M629" s="1493" t="s">
        <v>2121</v>
      </c>
      <c r="N629" s="1493"/>
      <c r="O629" s="1493"/>
      <c r="P629" s="1493"/>
      <c r="Q629" s="1508">
        <v>216</v>
      </c>
      <c r="R629" s="1509"/>
      <c r="S629" s="1510"/>
      <c r="T629" s="1508">
        <v>480</v>
      </c>
      <c r="U629" s="1509"/>
      <c r="V629" s="1510"/>
      <c r="W629" s="1480">
        <v>6.59E-2</v>
      </c>
      <c r="X629" s="1481"/>
      <c r="Y629" s="1482"/>
      <c r="Z629" s="1476" t="s">
        <v>2132</v>
      </c>
      <c r="AA629" s="1477"/>
      <c r="AB629" s="1478"/>
      <c r="AC629" s="1381">
        <v>1</v>
      </c>
      <c r="AD629" s="1382"/>
      <c r="AE629" s="1383"/>
      <c r="AF629" s="1490">
        <f>PMT(W629,40,-AO629)-AK629</f>
        <v>171256.15517809242</v>
      </c>
      <c r="AG629" s="1491"/>
      <c r="AH629" s="1491"/>
      <c r="AI629" s="1491"/>
      <c r="AJ629" s="1492"/>
      <c r="AK629" s="1484">
        <v>14452.13</v>
      </c>
      <c r="AL629" s="1485"/>
      <c r="AM629" s="1485"/>
      <c r="AN629" s="1486"/>
      <c r="AO629" s="1475">
        <f>15554606-12456000-500000</f>
        <v>2598606</v>
      </c>
      <c r="AP629" s="1338"/>
      <c r="AQ629" s="1338"/>
      <c r="AR629" s="1338"/>
      <c r="AS629" s="1339"/>
      <c r="AT629" s="1148" t="str">
        <f t="shared" ref="AT629:AT638" si="1">IF(AND(NOT(C628=""),C629="",NOT(C630="")),"!","")</f>
        <v/>
      </c>
      <c r="AU629" s="3"/>
      <c r="AZ629" s="3"/>
      <c r="BA629" s="3"/>
      <c r="BB629" s="3"/>
      <c r="BC629" s="3"/>
      <c r="BD629" s="3"/>
    </row>
    <row r="630" spans="2:157" ht="13.25" customHeight="1">
      <c r="B630" s="52" t="s">
        <v>582</v>
      </c>
      <c r="C630" s="1489" t="s">
        <v>2708</v>
      </c>
      <c r="D630" s="1489"/>
      <c r="E630" s="1489"/>
      <c r="F630" s="1489"/>
      <c r="G630" s="1489"/>
      <c r="H630" s="1489"/>
      <c r="I630" s="1489"/>
      <c r="J630" s="1489"/>
      <c r="K630" s="1489"/>
      <c r="L630" s="1489"/>
      <c r="M630" s="1493" t="s">
        <v>2105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827000</v>
      </c>
      <c r="AP630" s="1338"/>
      <c r="AQ630" s="1338"/>
      <c r="AR630" s="1338"/>
      <c r="AS630" s="1339"/>
      <c r="AT630" s="1148" t="str">
        <f t="shared" si="1"/>
        <v/>
      </c>
      <c r="AU630" s="3"/>
      <c r="AZ630" s="3"/>
      <c r="BA630" s="3"/>
      <c r="BB630" s="3"/>
      <c r="BC630" s="3"/>
      <c r="BD630" s="3"/>
    </row>
    <row r="631" spans="2:157" ht="13.25" customHeight="1">
      <c r="B631" s="52" t="s">
        <v>764</v>
      </c>
      <c r="C631" s="1489" t="s">
        <v>2709</v>
      </c>
      <c r="D631" s="1489"/>
      <c r="E631" s="1489"/>
      <c r="F631" s="1489"/>
      <c r="G631" s="1489"/>
      <c r="H631" s="1489"/>
      <c r="I631" s="1489"/>
      <c r="J631" s="1489"/>
      <c r="K631" s="1489"/>
      <c r="L631" s="1489"/>
      <c r="M631" s="1493" t="s">
        <v>2107</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f>3313306+4705-1+500000</f>
        <v>3818010</v>
      </c>
      <c r="AP631" s="1338"/>
      <c r="AQ631" s="1338"/>
      <c r="AR631" s="1338"/>
      <c r="AS631" s="1339"/>
      <c r="AT631" s="1148" t="str">
        <f t="shared" si="1"/>
        <v/>
      </c>
      <c r="AU631" s="3"/>
      <c r="AZ631" s="3"/>
      <c r="BA631" s="3"/>
      <c r="BB631" s="3"/>
      <c r="BC631" s="3"/>
      <c r="BD631" s="3"/>
    </row>
    <row r="632" spans="2:157" ht="13.25" customHeight="1">
      <c r="B632" s="52" t="s">
        <v>585</v>
      </c>
      <c r="C632" s="1489" t="s">
        <v>2626</v>
      </c>
      <c r="D632" s="1489"/>
      <c r="E632" s="1489"/>
      <c r="F632" s="1489"/>
      <c r="G632" s="1489"/>
      <c r="H632" s="1489"/>
      <c r="I632" s="1489"/>
      <c r="J632" s="1489"/>
      <c r="K632" s="1489"/>
      <c r="L632" s="1489"/>
      <c r="M632" s="1493" t="s">
        <v>2127</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v>67500</v>
      </c>
      <c r="AP632" s="1338"/>
      <c r="AQ632" s="1338"/>
      <c r="AR632" s="1338"/>
      <c r="AS632" s="1339"/>
      <c r="AT632" s="1148" t="str">
        <f t="shared" si="1"/>
        <v/>
      </c>
      <c r="AU632" s="3"/>
      <c r="AZ632" s="3"/>
      <c r="BA632" s="3"/>
      <c r="BB632" s="3"/>
      <c r="BC632" s="3"/>
      <c r="BD632" s="3"/>
    </row>
    <row r="633" spans="2:157" ht="13.2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3.2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3.2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132.66666666666666</v>
      </c>
      <c r="DY635" s="1369"/>
      <c r="DZ635" s="1369"/>
      <c r="EA635" s="1369"/>
      <c r="EB635" s="1369"/>
      <c r="EC635" s="1369" t="e" vm="1">
        <f t="shared" ref="EC635:EC669" si="3">FE718*(CU718/$CU$753)</f>
        <v>#VALUE!</v>
      </c>
      <c r="ED635" s="1369"/>
      <c r="EE635" s="1369"/>
      <c r="EF635" s="1369"/>
      <c r="EG635" s="1369"/>
      <c r="EH635" s="1369" t="e" vm="1">
        <f t="shared" ref="EH635:EH669" si="4">FJ718*(CZ718/$CZ$753)</f>
        <v>#VALUE!</v>
      </c>
      <c r="EI635" s="1369"/>
      <c r="EJ635" s="1369"/>
      <c r="EK635" s="1369"/>
      <c r="EL635" s="1369"/>
      <c r="EM635" s="1369" t="e" vm="1">
        <f t="shared" ref="EM635:EM669" si="5">FO718*(DE718/$DE$753)</f>
        <v>#VALUE!</v>
      </c>
      <c r="EN635" s="1369"/>
      <c r="EO635" s="1369"/>
      <c r="EP635" s="1369"/>
      <c r="EQ635" s="1369"/>
      <c r="ER635" s="1369" t="e" vm="1">
        <f t="shared" ref="ER635:ER669" si="6">FT718*(DJ718/$DJ$753)</f>
        <v>#VALUE!</v>
      </c>
      <c r="ES635" s="1369"/>
      <c r="ET635" s="1369"/>
      <c r="EU635" s="1369"/>
      <c r="EV635" s="1369"/>
      <c r="EW635" s="1369" t="e" vm="1">
        <f t="shared" ref="EW635:EW669" si="7">FY718*(DO718/$DO$753)</f>
        <v>#VALUE!</v>
      </c>
      <c r="EX635" s="1369"/>
      <c r="EY635" s="1369"/>
      <c r="EZ635" s="1369"/>
      <c r="FA635" s="1369"/>
    </row>
    <row r="636" spans="2:157" ht="13.2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458.33333333333331</v>
      </c>
      <c r="DY636" s="1369"/>
      <c r="DZ636" s="1369"/>
      <c r="EA636" s="1369"/>
      <c r="EB636" s="1369"/>
      <c r="EC636" s="1369" t="e" vm="1">
        <f t="shared" si="3"/>
        <v>#VALUE!</v>
      </c>
      <c r="ED636" s="1369"/>
      <c r="EE636" s="1369"/>
      <c r="EF636" s="1369"/>
      <c r="EG636" s="1369"/>
      <c r="EH636" s="1369" t="e" vm="1">
        <f t="shared" si="4"/>
        <v>#VALUE!</v>
      </c>
      <c r="EI636" s="1369"/>
      <c r="EJ636" s="1369"/>
      <c r="EK636" s="1369"/>
      <c r="EL636" s="1369"/>
      <c r="EM636" s="1369" t="e" vm="1">
        <f t="shared" si="5"/>
        <v>#VALUE!</v>
      </c>
      <c r="EN636" s="1369"/>
      <c r="EO636" s="1369"/>
      <c r="EP636" s="1369"/>
      <c r="EQ636" s="1369"/>
      <c r="ER636" s="1369" t="e" vm="1">
        <f t="shared" si="6"/>
        <v>#VALUE!</v>
      </c>
      <c r="ES636" s="1369"/>
      <c r="ET636" s="1369"/>
      <c r="EU636" s="1369"/>
      <c r="EV636" s="1369"/>
      <c r="EW636" s="1369" t="e" vm="1">
        <f t="shared" si="7"/>
        <v>#VALUE!</v>
      </c>
      <c r="EX636" s="1369"/>
      <c r="EY636" s="1369"/>
      <c r="EZ636" s="1369"/>
      <c r="FA636" s="1369"/>
    </row>
    <row r="637" spans="2:157" ht="13.2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f t="shared" si="2"/>
        <v>1121.5</v>
      </c>
      <c r="DY637" s="1369"/>
      <c r="DZ637" s="1369"/>
      <c r="EA637" s="1369"/>
      <c r="EB637" s="1369"/>
      <c r="EC637" s="1369" t="e" vm="1">
        <f t="shared" si="3"/>
        <v>#VALUE!</v>
      </c>
      <c r="ED637" s="1369"/>
      <c r="EE637" s="1369"/>
      <c r="EF637" s="1369"/>
      <c r="EG637" s="1369"/>
      <c r="EH637" s="1369" t="e" vm="1">
        <f t="shared" si="4"/>
        <v>#VALUE!</v>
      </c>
      <c r="EI637" s="1369"/>
      <c r="EJ637" s="1369"/>
      <c r="EK637" s="1369"/>
      <c r="EL637" s="1369"/>
      <c r="EM637" s="1369" t="e" vm="1">
        <f t="shared" si="5"/>
        <v>#VALUE!</v>
      </c>
      <c r="EN637" s="1369"/>
      <c r="EO637" s="1369"/>
      <c r="EP637" s="1369"/>
      <c r="EQ637" s="1369"/>
      <c r="ER637" s="1369" t="e" vm="1">
        <f t="shared" si="6"/>
        <v>#VALUE!</v>
      </c>
      <c r="ES637" s="1369"/>
      <c r="ET637" s="1369"/>
      <c r="EU637" s="1369"/>
      <c r="EV637" s="1369"/>
      <c r="EW637" s="1369" t="e" vm="1">
        <f t="shared" si="7"/>
        <v>#VALUE!</v>
      </c>
      <c r="EX637" s="1369"/>
      <c r="EY637" s="1369"/>
      <c r="EZ637" s="1369"/>
      <c r="FA637" s="1369"/>
    </row>
    <row r="638" spans="2:157" ht="13.2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vm="1">
        <f t="shared" si="2"/>
        <v>#VALUE!</v>
      </c>
      <c r="DY638" s="1369"/>
      <c r="DZ638" s="1369"/>
      <c r="EA638" s="1369"/>
      <c r="EB638" s="1369"/>
      <c r="EC638" s="1369">
        <f t="shared" si="3"/>
        <v>87.310344827586206</v>
      </c>
      <c r="ED638" s="1369"/>
      <c r="EE638" s="1369"/>
      <c r="EF638" s="1369"/>
      <c r="EG638" s="1369"/>
      <c r="EH638" s="1369" t="e" vm="1">
        <f t="shared" si="4"/>
        <v>#VALUE!</v>
      </c>
      <c r="EI638" s="1369"/>
      <c r="EJ638" s="1369"/>
      <c r="EK638" s="1369"/>
      <c r="EL638" s="1369"/>
      <c r="EM638" s="1369" t="e" vm="1">
        <f t="shared" si="5"/>
        <v>#VALUE!</v>
      </c>
      <c r="EN638" s="1369"/>
      <c r="EO638" s="1369"/>
      <c r="EP638" s="1369"/>
      <c r="EQ638" s="1369"/>
      <c r="ER638" s="1369" t="e" vm="1">
        <f t="shared" si="6"/>
        <v>#VALUE!</v>
      </c>
      <c r="ES638" s="1369"/>
      <c r="ET638" s="1369"/>
      <c r="EU638" s="1369"/>
      <c r="EV638" s="1369"/>
      <c r="EW638" s="1369" t="e" vm="1">
        <f t="shared" si="7"/>
        <v>#VALUE!</v>
      </c>
      <c r="EX638" s="1369"/>
      <c r="EY638" s="1369"/>
      <c r="EZ638" s="1369"/>
      <c r="FA638" s="1369"/>
    </row>
    <row r="639" spans="2:157" ht="13.2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28167116</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vm="1">
        <f t="shared" si="2"/>
        <v>#VALUE!</v>
      </c>
      <c r="DY639" s="1369"/>
      <c r="DZ639" s="1369"/>
      <c r="EA639" s="1369"/>
      <c r="EB639" s="1369"/>
      <c r="EC639" s="1369">
        <f t="shared" si="3"/>
        <v>605.79310344827582</v>
      </c>
      <c r="ED639" s="1369"/>
      <c r="EE639" s="1369"/>
      <c r="EF639" s="1369"/>
      <c r="EG639" s="1369"/>
      <c r="EH639" s="1369" t="e" vm="1">
        <f t="shared" si="4"/>
        <v>#VALUE!</v>
      </c>
      <c r="EI639" s="1369"/>
      <c r="EJ639" s="1369"/>
      <c r="EK639" s="1369"/>
      <c r="EL639" s="1369"/>
      <c r="EM639" s="1369" t="e" vm="1">
        <f t="shared" si="5"/>
        <v>#VALUE!</v>
      </c>
      <c r="EN639" s="1369"/>
      <c r="EO639" s="1369"/>
      <c r="EP639" s="1369"/>
      <c r="EQ639" s="1369"/>
      <c r="ER639" s="1369" t="e" vm="1">
        <f t="shared" si="6"/>
        <v>#VALUE!</v>
      </c>
      <c r="ES639" s="1369"/>
      <c r="ET639" s="1369"/>
      <c r="EU639" s="1369"/>
      <c r="EV639" s="1369"/>
      <c r="EW639" s="1369" t="e" vm="1">
        <f t="shared" si="7"/>
        <v>#VALUE!</v>
      </c>
      <c r="EX639" s="1369"/>
      <c r="EY639" s="1369"/>
      <c r="EZ639" s="1369"/>
      <c r="FA639" s="1369"/>
    </row>
    <row r="640" spans="2:157" ht="13.2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17924506-75000</f>
        <v>17849506</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vm="1">
        <f t="shared" si="2"/>
        <v>#VALUE!</v>
      </c>
      <c r="DY640" s="1369"/>
      <c r="DZ640" s="1369"/>
      <c r="EA640" s="1369"/>
      <c r="EB640" s="1369"/>
      <c r="EC640" s="1369">
        <f t="shared" si="3"/>
        <v>122.34482758620689</v>
      </c>
      <c r="ED640" s="1369"/>
      <c r="EE640" s="1369"/>
      <c r="EF640" s="1369"/>
      <c r="EG640" s="1369"/>
      <c r="EH640" s="1369" t="e" vm="1">
        <f t="shared" si="4"/>
        <v>#VALUE!</v>
      </c>
      <c r="EI640" s="1369"/>
      <c r="EJ640" s="1369"/>
      <c r="EK640" s="1369"/>
      <c r="EL640" s="1369"/>
      <c r="EM640" s="1369" t="e" vm="1">
        <f t="shared" si="5"/>
        <v>#VALUE!</v>
      </c>
      <c r="EN640" s="1369"/>
      <c r="EO640" s="1369"/>
      <c r="EP640" s="1369"/>
      <c r="EQ640" s="1369"/>
      <c r="ER640" s="1369" t="e" vm="1">
        <f t="shared" si="6"/>
        <v>#VALUE!</v>
      </c>
      <c r="ES640" s="1369"/>
      <c r="ET640" s="1369"/>
      <c r="EU640" s="1369"/>
      <c r="EV640" s="1369"/>
      <c r="EW640" s="1369" t="e" vm="1">
        <f t="shared" si="7"/>
        <v>#VALUE!</v>
      </c>
      <c r="EX640" s="1369"/>
      <c r="EY640" s="1369"/>
      <c r="EZ640" s="1369"/>
      <c r="FA640" s="1369"/>
    </row>
    <row r="641" spans="1:157" ht="13.25" customHeight="1">
      <c r="B641" s="183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46016622</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vm="1">
        <f t="shared" si="2"/>
        <v>#VALUE!</v>
      </c>
      <c r="DY641" s="1369"/>
      <c r="DZ641" s="1369"/>
      <c r="EA641" s="1369"/>
      <c r="EB641" s="1369"/>
      <c r="EC641" s="1369">
        <f t="shared" si="3"/>
        <v>990.62068965517244</v>
      </c>
      <c r="ED641" s="1369"/>
      <c r="EE641" s="1369"/>
      <c r="EF641" s="1369"/>
      <c r="EG641" s="1369"/>
      <c r="EH641" s="1369" t="e" vm="1">
        <f t="shared" si="4"/>
        <v>#VALUE!</v>
      </c>
      <c r="EI641" s="1369"/>
      <c r="EJ641" s="1369"/>
      <c r="EK641" s="1369"/>
      <c r="EL641" s="1369"/>
      <c r="EM641" s="1369" t="e" vm="1">
        <f t="shared" si="5"/>
        <v>#VALUE!</v>
      </c>
      <c r="EN641" s="1369"/>
      <c r="EO641" s="1369"/>
      <c r="EP641" s="1369"/>
      <c r="EQ641" s="1369"/>
      <c r="ER641" s="1369" t="e" vm="1">
        <f t="shared" si="6"/>
        <v>#VALUE!</v>
      </c>
      <c r="ES641" s="1369"/>
      <c r="ET641" s="1369"/>
      <c r="EU641" s="1369"/>
      <c r="EV641" s="1369"/>
      <c r="EW641" s="1369" t="e" vm="1">
        <f t="shared" si="7"/>
        <v>#VALUE!</v>
      </c>
      <c r="EX641" s="1369"/>
      <c r="EY641" s="1369"/>
      <c r="EZ641" s="1369"/>
      <c r="FA641" s="1369"/>
    </row>
    <row r="642" spans="1:157" ht="13.2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vm="1">
        <f t="shared" si="2"/>
        <v>#VALUE!</v>
      </c>
      <c r="DY642" s="1369"/>
      <c r="DZ642" s="1369"/>
      <c r="EA642" s="1369"/>
      <c r="EB642" s="1369"/>
      <c r="EC642" s="1369" t="e" vm="1">
        <f t="shared" si="3"/>
        <v>#VALUE!</v>
      </c>
      <c r="ED642" s="1369"/>
      <c r="EE642" s="1369"/>
      <c r="EF642" s="1369"/>
      <c r="EG642" s="1369"/>
      <c r="EH642" s="1369">
        <f t="shared" si="4"/>
        <v>111.44444444444444</v>
      </c>
      <c r="EI642" s="1369"/>
      <c r="EJ642" s="1369"/>
      <c r="EK642" s="1369"/>
      <c r="EL642" s="1369"/>
      <c r="EM642" s="1369" t="e" vm="1">
        <f t="shared" si="5"/>
        <v>#VALUE!</v>
      </c>
      <c r="EN642" s="1369"/>
      <c r="EO642" s="1369"/>
      <c r="EP642" s="1369"/>
      <c r="EQ642" s="1369"/>
      <c r="ER642" s="1369" t="e" vm="1">
        <f t="shared" si="6"/>
        <v>#VALUE!</v>
      </c>
      <c r="ES642" s="1369"/>
      <c r="ET642" s="1369"/>
      <c r="EU642" s="1369"/>
      <c r="EV642" s="1369"/>
      <c r="EW642" s="1369" t="e" vm="1">
        <f t="shared" si="7"/>
        <v>#VALUE!</v>
      </c>
      <c r="EX642" s="1369"/>
      <c r="EY642" s="1369"/>
      <c r="EZ642" s="1369"/>
      <c r="FA642" s="1369"/>
    </row>
    <row r="643" spans="1:157" ht="13.25" customHeight="1">
      <c r="A643" s="55" t="s">
        <v>112</v>
      </c>
      <c r="B643" t="s">
        <v>464</v>
      </c>
      <c r="G643" s="1483" t="str">
        <f>C627</f>
        <v>Citi Community Capital</v>
      </c>
      <c r="H643" s="1483"/>
      <c r="I643" s="1483"/>
      <c r="J643" s="1483"/>
      <c r="K643" s="1483"/>
      <c r="L643" s="1483"/>
      <c r="M643" s="1483"/>
      <c r="N643" s="1483"/>
      <c r="O643" s="1483"/>
      <c r="P643" s="1483"/>
      <c r="Q643" s="1483"/>
      <c r="R643" s="1483"/>
      <c r="S643" s="8"/>
      <c r="T643" s="55" t="s">
        <v>113</v>
      </c>
      <c r="U643" t="s">
        <v>464</v>
      </c>
      <c r="Z643" s="1483" t="str">
        <f>C628</f>
        <v xml:space="preserve">Interfaith Development Corporation </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vm="1">
        <f t="shared" si="2"/>
        <v>#VALUE!</v>
      </c>
      <c r="DY643" s="1369"/>
      <c r="DZ643" s="1369"/>
      <c r="EA643" s="1369"/>
      <c r="EB643" s="1369"/>
      <c r="EC643" s="1369" t="e" vm="1">
        <f t="shared" si="3"/>
        <v>#VALUE!</v>
      </c>
      <c r="ED643" s="1369"/>
      <c r="EE643" s="1369"/>
      <c r="EF643" s="1369"/>
      <c r="EG643" s="1369"/>
      <c r="EH643" s="1369">
        <f t="shared" si="4"/>
        <v>1552.8888888888889</v>
      </c>
      <c r="EI643" s="1369"/>
      <c r="EJ643" s="1369"/>
      <c r="EK643" s="1369"/>
      <c r="EL643" s="1369"/>
      <c r="EM643" s="1369" t="e" vm="1">
        <f t="shared" si="5"/>
        <v>#VALUE!</v>
      </c>
      <c r="EN643" s="1369"/>
      <c r="EO643" s="1369"/>
      <c r="EP643" s="1369"/>
      <c r="EQ643" s="1369"/>
      <c r="ER643" s="1369" t="e" vm="1">
        <f t="shared" si="6"/>
        <v>#VALUE!</v>
      </c>
      <c r="ES643" s="1369"/>
      <c r="ET643" s="1369"/>
      <c r="EU643" s="1369"/>
      <c r="EV643" s="1369"/>
      <c r="EW643" s="1369" t="e" vm="1">
        <f t="shared" si="7"/>
        <v>#VALUE!</v>
      </c>
      <c r="EX643" s="1369"/>
      <c r="EY643" s="1369"/>
      <c r="EZ643" s="1369"/>
      <c r="FA643" s="1369"/>
    </row>
    <row r="644" spans="1:157" ht="13.25" customHeight="1">
      <c r="A644" s="22"/>
      <c r="B644" t="s">
        <v>85</v>
      </c>
      <c r="G644" s="1407" t="s">
        <v>2710</v>
      </c>
      <c r="H644" s="1407"/>
      <c r="I644" s="1407"/>
      <c r="J644" s="1407"/>
      <c r="K644" s="1407"/>
      <c r="L644" s="1407"/>
      <c r="M644" s="1407"/>
      <c r="N644" s="1407"/>
      <c r="O644" s="1407"/>
      <c r="P644" s="1407"/>
      <c r="Q644" s="1407"/>
      <c r="R644" s="1407"/>
      <c r="S644" s="8"/>
      <c r="T644" s="22"/>
      <c r="U644" t="s">
        <v>85</v>
      </c>
      <c r="Z644" s="1407" t="s">
        <v>2719</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vm="1">
        <f t="shared" si="2"/>
        <v>#VALUE!</v>
      </c>
      <c r="DY644" s="1369"/>
      <c r="DZ644" s="1369"/>
      <c r="EA644" s="1369"/>
      <c r="EB644" s="1369"/>
      <c r="EC644" s="1369" t="e" vm="1">
        <f t="shared" si="3"/>
        <v>#VALUE!</v>
      </c>
      <c r="ED644" s="1369"/>
      <c r="EE644" s="1369"/>
      <c r="EF644" s="1369"/>
      <c r="EG644" s="1369"/>
      <c r="EH644" s="1369" t="e" vm="1">
        <f t="shared" si="4"/>
        <v>#VALUE!</v>
      </c>
      <c r="EI644" s="1369"/>
      <c r="EJ644" s="1369"/>
      <c r="EK644" s="1369"/>
      <c r="EL644" s="1369"/>
      <c r="EM644" s="1369">
        <f t="shared" si="5"/>
        <v>127.1111111111111</v>
      </c>
      <c r="EN644" s="1369"/>
      <c r="EO644" s="1369"/>
      <c r="EP644" s="1369"/>
      <c r="EQ644" s="1369"/>
      <c r="ER644" s="1369" t="e" vm="1">
        <f t="shared" si="6"/>
        <v>#VALUE!</v>
      </c>
      <c r="ES644" s="1369"/>
      <c r="ET644" s="1369"/>
      <c r="EU644" s="1369"/>
      <c r="EV644" s="1369"/>
      <c r="EW644" s="1369" t="e" vm="1">
        <f t="shared" si="7"/>
        <v>#VALUE!</v>
      </c>
      <c r="EX644" s="1369"/>
      <c r="EY644" s="1369"/>
      <c r="EZ644" s="1369"/>
      <c r="FA644" s="1369"/>
    </row>
    <row r="645" spans="1:157" ht="13.25" customHeight="1">
      <c r="A645" s="22"/>
      <c r="B645" t="s">
        <v>581</v>
      </c>
      <c r="G645" s="1407" t="s">
        <v>2711</v>
      </c>
      <c r="H645" s="1407"/>
      <c r="I645" s="1407"/>
      <c r="J645" s="1407"/>
      <c r="K645" s="1407"/>
      <c r="L645" s="1407"/>
      <c r="M645" s="1407"/>
      <c r="N645" s="1407"/>
      <c r="O645" s="1407"/>
      <c r="P645" s="1407"/>
      <c r="Q645" s="1407"/>
      <c r="R645" s="1407"/>
      <c r="T645" s="22"/>
      <c r="U645" t="s">
        <v>581</v>
      </c>
      <c r="Z645" s="1371" t="s">
        <v>2718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vm="1">
        <f t="shared" si="2"/>
        <v>#VALUE!</v>
      </c>
      <c r="DY645" s="1369"/>
      <c r="DZ645" s="1369"/>
      <c r="EA645" s="1369"/>
      <c r="EB645" s="1369"/>
      <c r="EC645" s="1369" t="e" vm="1">
        <f t="shared" si="3"/>
        <v>#VALUE!</v>
      </c>
      <c r="ED645" s="1369"/>
      <c r="EE645" s="1369"/>
      <c r="EF645" s="1369"/>
      <c r="EG645" s="1369"/>
      <c r="EH645" s="1369" t="e" vm="1">
        <f t="shared" si="4"/>
        <v>#VALUE!</v>
      </c>
      <c r="EI645" s="1369"/>
      <c r="EJ645" s="1369"/>
      <c r="EK645" s="1369"/>
      <c r="EL645" s="1369"/>
      <c r="EM645" s="1369">
        <f t="shared" si="5"/>
        <v>334</v>
      </c>
      <c r="EN645" s="1369"/>
      <c r="EO645" s="1369"/>
      <c r="EP645" s="1369"/>
      <c r="EQ645" s="1369"/>
      <c r="ER645" s="1369" t="e" vm="1">
        <f t="shared" si="6"/>
        <v>#VALUE!</v>
      </c>
      <c r="ES645" s="1369"/>
      <c r="ET645" s="1369"/>
      <c r="EU645" s="1369"/>
      <c r="EV645" s="1369"/>
      <c r="EW645" s="1369" t="e" vm="1">
        <f t="shared" si="7"/>
        <v>#VALUE!</v>
      </c>
      <c r="EX645" s="1369"/>
      <c r="EY645" s="1369"/>
      <c r="EZ645" s="1369"/>
      <c r="FA645" s="1369"/>
    </row>
    <row r="646" spans="1:157" ht="13.25" customHeight="1">
      <c r="A646" s="22"/>
      <c r="B646" t="s">
        <v>17</v>
      </c>
      <c r="G646" s="1407" t="s">
        <v>2712</v>
      </c>
      <c r="H646" s="1407"/>
      <c r="I646" s="1407"/>
      <c r="J646" s="1407"/>
      <c r="K646" s="1407"/>
      <c r="L646" s="1407"/>
      <c r="M646" s="1407"/>
      <c r="N646" s="1407"/>
      <c r="O646" s="1407"/>
      <c r="P646" s="1407"/>
      <c r="Q646" s="1407"/>
      <c r="R646" s="1407"/>
      <c r="S646" s="8"/>
      <c r="T646" s="22"/>
      <c r="U646" t="s">
        <v>17</v>
      </c>
      <c r="Z646" s="1371" t="s">
        <v>2720</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vm="1">
        <f t="shared" si="2"/>
        <v>#VALUE!</v>
      </c>
      <c r="DY646" s="1369"/>
      <c r="DZ646" s="1369"/>
      <c r="EA646" s="1369"/>
      <c r="EB646" s="1369"/>
      <c r="EC646" s="1369" t="e" vm="1">
        <f t="shared" si="3"/>
        <v>#VALUE!</v>
      </c>
      <c r="ED646" s="1369"/>
      <c r="EE646" s="1369"/>
      <c r="EF646" s="1369"/>
      <c r="EG646" s="1369"/>
      <c r="EH646" s="1369" t="e" vm="1">
        <f t="shared" si="4"/>
        <v>#VALUE!</v>
      </c>
      <c r="EI646" s="1369"/>
      <c r="EJ646" s="1369"/>
      <c r="EK646" s="1369"/>
      <c r="EL646" s="1369"/>
      <c r="EM646" s="1369">
        <f t="shared" si="5"/>
        <v>676.11111111111109</v>
      </c>
      <c r="EN646" s="1369"/>
      <c r="EO646" s="1369"/>
      <c r="EP646" s="1369"/>
      <c r="EQ646" s="1369"/>
      <c r="ER646" s="1369" t="e" vm="1">
        <f t="shared" si="6"/>
        <v>#VALUE!</v>
      </c>
      <c r="ES646" s="1369"/>
      <c r="ET646" s="1369"/>
      <c r="EU646" s="1369"/>
      <c r="EV646" s="1369"/>
      <c r="EW646" s="1369" t="e" vm="1">
        <f t="shared" si="7"/>
        <v>#VALUE!</v>
      </c>
      <c r="EX646" s="1369"/>
      <c r="EY646" s="1369"/>
      <c r="EZ646" s="1369"/>
      <c r="FA646" s="1369"/>
    </row>
    <row r="647" spans="1:157" ht="13.25" customHeight="1">
      <c r="A647" s="22"/>
      <c r="B647" t="s">
        <v>316</v>
      </c>
      <c r="G647" s="1487" t="s">
        <v>2713</v>
      </c>
      <c r="H647" s="1487"/>
      <c r="I647" s="1487"/>
      <c r="J647" s="1487"/>
      <c r="K647" s="1487"/>
      <c r="L647" s="1487"/>
      <c r="O647" s="33" t="s">
        <v>206</v>
      </c>
      <c r="P647" s="1471"/>
      <c r="Q647" s="1471"/>
      <c r="R647" s="1471"/>
      <c r="S647" s="10"/>
      <c r="T647" s="22"/>
      <c r="U647" t="s">
        <v>316</v>
      </c>
      <c r="Z647" s="1487">
        <v>6196681532</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vm="1">
        <f t="shared" si="2"/>
        <v>#VALUE!</v>
      </c>
      <c r="DY647" s="1369"/>
      <c r="DZ647" s="1369"/>
      <c r="EA647" s="1369"/>
      <c r="EB647" s="1369"/>
      <c r="EC647" s="1369" t="e" vm="1">
        <f t="shared" si="3"/>
        <v>#VALUE!</v>
      </c>
      <c r="ED647" s="1369"/>
      <c r="EE647" s="1369"/>
      <c r="EF647" s="1369"/>
      <c r="EG647" s="1369"/>
      <c r="EH647" s="1369" t="e" vm="1">
        <f t="shared" si="4"/>
        <v>#VALUE!</v>
      </c>
      <c r="EI647" s="1369"/>
      <c r="EJ647" s="1369"/>
      <c r="EK647" s="1369"/>
      <c r="EL647" s="1369"/>
      <c r="EM647" s="1369">
        <f t="shared" si="5"/>
        <v>1464</v>
      </c>
      <c r="EN647" s="1369"/>
      <c r="EO647" s="1369"/>
      <c r="EP647" s="1369"/>
      <c r="EQ647" s="1369"/>
      <c r="ER647" s="1369" t="e" vm="1">
        <f t="shared" si="6"/>
        <v>#VALUE!</v>
      </c>
      <c r="ES647" s="1369"/>
      <c r="ET647" s="1369"/>
      <c r="EU647" s="1369"/>
      <c r="EV647" s="1369"/>
      <c r="EW647" s="1369" t="e" vm="1">
        <f t="shared" si="7"/>
        <v>#VALUE!</v>
      </c>
      <c r="EX647" s="1369"/>
      <c r="EY647" s="1369"/>
      <c r="EZ647" s="1369"/>
      <c r="FA647" s="1369"/>
    </row>
    <row r="648" spans="1:157" ht="13.25" customHeight="1">
      <c r="A648" s="22"/>
      <c r="B648" t="s">
        <v>18</v>
      </c>
      <c r="H648" s="1407" t="s">
        <v>2714</v>
      </c>
      <c r="I648" s="1407"/>
      <c r="J648" s="1407"/>
      <c r="K648" s="1407"/>
      <c r="L648" s="1407"/>
      <c r="M648" s="1407"/>
      <c r="N648" s="1407"/>
      <c r="O648" s="1407"/>
      <c r="P648" s="1407"/>
      <c r="Q648" s="1407"/>
      <c r="R648" s="1407"/>
      <c r="S648" s="8"/>
      <c r="T648" s="22"/>
      <c r="U648" t="s">
        <v>18</v>
      </c>
      <c r="AA648" s="1407" t="s">
        <v>2729</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vm="1">
        <f t="shared" si="2"/>
        <v>#VALUE!</v>
      </c>
      <c r="DY648" s="1369"/>
      <c r="DZ648" s="1369"/>
      <c r="EA648" s="1369"/>
      <c r="EB648" s="1369"/>
      <c r="EC648" s="1369" t="e" vm="1">
        <f t="shared" si="3"/>
        <v>#VALUE!</v>
      </c>
      <c r="ED648" s="1369"/>
      <c r="EE648" s="1369"/>
      <c r="EF648" s="1369"/>
      <c r="EG648" s="1369"/>
      <c r="EH648" s="1369" t="e" vm="1">
        <f t="shared" si="4"/>
        <v>#VALUE!</v>
      </c>
      <c r="EI648" s="1369"/>
      <c r="EJ648" s="1369"/>
      <c r="EK648" s="1369"/>
      <c r="EL648" s="1369"/>
      <c r="EM648" s="1369" t="e" vm="1">
        <f t="shared" si="5"/>
        <v>#VALUE!</v>
      </c>
      <c r="EN648" s="1369"/>
      <c r="EO648" s="1369"/>
      <c r="EP648" s="1369"/>
      <c r="EQ648" s="1369"/>
      <c r="ER648" s="1369" t="e" vm="1">
        <f t="shared" si="6"/>
        <v>#VALUE!</v>
      </c>
      <c r="ES648" s="1369"/>
      <c r="ET648" s="1369"/>
      <c r="EU648" s="1369"/>
      <c r="EV648" s="1369"/>
      <c r="EW648" s="1369" t="e" vm="1">
        <f t="shared" si="7"/>
        <v>#VALUE!</v>
      </c>
      <c r="EX648" s="1369"/>
      <c r="EY648" s="1369"/>
      <c r="EZ648" s="1369"/>
      <c r="FA648" s="1369"/>
    </row>
    <row r="649" spans="1:157" ht="13.2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vm="1">
        <f t="shared" si="2"/>
        <v>#VALUE!</v>
      </c>
      <c r="DY649" s="1369"/>
      <c r="DZ649" s="1369"/>
      <c r="EA649" s="1369"/>
      <c r="EB649" s="1369"/>
      <c r="EC649" s="1369" t="e" vm="1">
        <f t="shared" si="3"/>
        <v>#VALUE!</v>
      </c>
      <c r="ED649" s="1369"/>
      <c r="EE649" s="1369"/>
      <c r="EF649" s="1369"/>
      <c r="EG649" s="1369"/>
      <c r="EH649" s="1369" t="e" vm="1">
        <f t="shared" si="4"/>
        <v>#VALUE!</v>
      </c>
      <c r="EI649" s="1369"/>
      <c r="EJ649" s="1369"/>
      <c r="EK649" s="1369"/>
      <c r="EL649" s="1369"/>
      <c r="EM649" s="1369" t="e" vm="1">
        <f t="shared" si="5"/>
        <v>#VALUE!</v>
      </c>
      <c r="EN649" s="1369"/>
      <c r="EO649" s="1369"/>
      <c r="EP649" s="1369"/>
      <c r="EQ649" s="1369"/>
      <c r="ER649" s="1369" t="e" vm="1">
        <f t="shared" si="6"/>
        <v>#VALUE!</v>
      </c>
      <c r="ES649" s="1369"/>
      <c r="ET649" s="1369"/>
      <c r="EU649" s="1369"/>
      <c r="EV649" s="1369"/>
      <c r="EW649" s="1369" t="e" vm="1">
        <f t="shared" si="7"/>
        <v>#VALUE!</v>
      </c>
      <c r="EX649" s="1369"/>
      <c r="EY649" s="1369"/>
      <c r="EZ649" s="1369"/>
      <c r="FA649" s="1369"/>
    </row>
    <row r="650" spans="1:157" ht="13.25" customHeight="1">
      <c r="A650" s="22"/>
      <c r="T650" s="22"/>
      <c r="AZ650" s="34"/>
      <c r="BA650" s="34"/>
      <c r="BB650" s="34"/>
      <c r="BC650" s="34"/>
      <c r="BD650" s="34"/>
      <c r="BE650" s="34"/>
      <c r="BF650" s="34"/>
      <c r="BG650" s="34"/>
      <c r="BH650" s="34"/>
      <c r="BI650" s="34"/>
      <c r="BJ650" s="34"/>
      <c r="BK650" s="34"/>
      <c r="BL650" s="34"/>
      <c r="BM650" s="34"/>
      <c r="DX650" s="1369" t="e" vm="1">
        <f t="shared" si="2"/>
        <v>#VALUE!</v>
      </c>
      <c r="DY650" s="1369"/>
      <c r="DZ650" s="1369"/>
      <c r="EA650" s="1369"/>
      <c r="EB650" s="1369"/>
      <c r="EC650" s="1369" t="e" vm="1">
        <f t="shared" si="3"/>
        <v>#VALUE!</v>
      </c>
      <c r="ED650" s="1369"/>
      <c r="EE650" s="1369"/>
      <c r="EF650" s="1369"/>
      <c r="EG650" s="1369"/>
      <c r="EH650" s="1369" t="e" vm="1">
        <f t="shared" si="4"/>
        <v>#VALUE!</v>
      </c>
      <c r="EI650" s="1369"/>
      <c r="EJ650" s="1369"/>
      <c r="EK650" s="1369"/>
      <c r="EL650" s="1369"/>
      <c r="EM650" s="1369" t="e" vm="1">
        <f t="shared" si="5"/>
        <v>#VALUE!</v>
      </c>
      <c r="EN650" s="1369"/>
      <c r="EO650" s="1369"/>
      <c r="EP650" s="1369"/>
      <c r="EQ650" s="1369"/>
      <c r="ER650" s="1369" t="e" vm="1">
        <f t="shared" si="6"/>
        <v>#VALUE!</v>
      </c>
      <c r="ES650" s="1369"/>
      <c r="ET650" s="1369"/>
      <c r="EU650" s="1369"/>
      <c r="EV650" s="1369"/>
      <c r="EW650" s="1369" t="e" vm="1">
        <f t="shared" si="7"/>
        <v>#VALUE!</v>
      </c>
      <c r="EX650" s="1369"/>
      <c r="EY650" s="1369"/>
      <c r="EZ650" s="1369"/>
      <c r="FA650" s="1369"/>
    </row>
    <row r="651" spans="1:157" ht="13.25" customHeight="1">
      <c r="A651" s="55" t="s">
        <v>119</v>
      </c>
      <c r="B651" t="s">
        <v>464</v>
      </c>
      <c r="G651" s="1483" t="str">
        <f>C629</f>
        <v>Citi Community Capital</v>
      </c>
      <c r="H651" s="1483"/>
      <c r="I651" s="1483"/>
      <c r="J651" s="1483"/>
      <c r="K651" s="1483"/>
      <c r="L651" s="1483"/>
      <c r="M651" s="1483"/>
      <c r="N651" s="1483"/>
      <c r="O651" s="1483"/>
      <c r="P651" s="1483"/>
      <c r="Q651" s="1483"/>
      <c r="R651" s="1483"/>
      <c r="T651" s="55" t="s">
        <v>582</v>
      </c>
      <c r="U651" t="s">
        <v>464</v>
      </c>
      <c r="Z651" s="1483" t="str">
        <f>C630</f>
        <v>Accrued Interest on Subordinate Debt</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vm="1">
        <f t="shared" si="2"/>
        <v>#VALUE!</v>
      </c>
      <c r="DY651" s="1369"/>
      <c r="DZ651" s="1369"/>
      <c r="EA651" s="1369"/>
      <c r="EB651" s="1369"/>
      <c r="EC651" s="1369" t="e" vm="1">
        <f t="shared" si="3"/>
        <v>#VALUE!</v>
      </c>
      <c r="ED651" s="1369"/>
      <c r="EE651" s="1369"/>
      <c r="EF651" s="1369"/>
      <c r="EG651" s="1369"/>
      <c r="EH651" s="1369" t="e" vm="1">
        <f t="shared" si="4"/>
        <v>#VALUE!</v>
      </c>
      <c r="EI651" s="1369"/>
      <c r="EJ651" s="1369"/>
      <c r="EK651" s="1369"/>
      <c r="EL651" s="1369"/>
      <c r="EM651" s="1369" t="e" vm="1">
        <f t="shared" si="5"/>
        <v>#VALUE!</v>
      </c>
      <c r="EN651" s="1369"/>
      <c r="EO651" s="1369"/>
      <c r="EP651" s="1369"/>
      <c r="EQ651" s="1369"/>
      <c r="ER651" s="1369" t="e" vm="1">
        <f t="shared" si="6"/>
        <v>#VALUE!</v>
      </c>
      <c r="ES651" s="1369"/>
      <c r="ET651" s="1369"/>
      <c r="EU651" s="1369"/>
      <c r="EV651" s="1369"/>
      <c r="EW651" s="1369" t="e" vm="1">
        <f t="shared" si="7"/>
        <v>#VALUE!</v>
      </c>
      <c r="EX651" s="1369"/>
      <c r="EY651" s="1369"/>
      <c r="EZ651" s="1369"/>
      <c r="FA651" s="1369"/>
    </row>
    <row r="652" spans="1:157" ht="13.25" customHeight="1">
      <c r="A652" s="22"/>
      <c r="B652" t="s">
        <v>85</v>
      </c>
      <c r="G652" s="1407" t="s">
        <v>2710</v>
      </c>
      <c r="H652" s="1407"/>
      <c r="I652" s="1407"/>
      <c r="J652" s="1407"/>
      <c r="K652" s="1407"/>
      <c r="L652" s="1407"/>
      <c r="M652" s="1407"/>
      <c r="N652" s="1407"/>
      <c r="O652" s="1407"/>
      <c r="P652" s="1407"/>
      <c r="Q652" s="1407"/>
      <c r="R652" s="1407"/>
      <c r="T652" s="22"/>
      <c r="U652" t="s">
        <v>85</v>
      </c>
      <c r="Z652" s="1407" t="s">
        <v>2621</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vm="1">
        <f t="shared" si="2"/>
        <v>#VALUE!</v>
      </c>
      <c r="DY652" s="1369"/>
      <c r="DZ652" s="1369"/>
      <c r="EA652" s="1369"/>
      <c r="EB652" s="1369"/>
      <c r="EC652" s="1369" t="e" vm="1">
        <f t="shared" si="3"/>
        <v>#VALUE!</v>
      </c>
      <c r="ED652" s="1369"/>
      <c r="EE652" s="1369"/>
      <c r="EF652" s="1369"/>
      <c r="EG652" s="1369"/>
      <c r="EH652" s="1369" t="e" vm="1">
        <f t="shared" si="4"/>
        <v>#VALUE!</v>
      </c>
      <c r="EI652" s="1369"/>
      <c r="EJ652" s="1369"/>
      <c r="EK652" s="1369"/>
      <c r="EL652" s="1369"/>
      <c r="EM652" s="1369" t="e" vm="1">
        <f t="shared" si="5"/>
        <v>#VALUE!</v>
      </c>
      <c r="EN652" s="1369"/>
      <c r="EO652" s="1369"/>
      <c r="EP652" s="1369"/>
      <c r="EQ652" s="1369"/>
      <c r="ER652" s="1369" t="e" vm="1">
        <f t="shared" si="6"/>
        <v>#VALUE!</v>
      </c>
      <c r="ES652" s="1369"/>
      <c r="ET652" s="1369"/>
      <c r="EU652" s="1369"/>
      <c r="EV652" s="1369"/>
      <c r="EW652" s="1369" t="e" vm="1">
        <f t="shared" si="7"/>
        <v>#VALUE!</v>
      </c>
      <c r="EX652" s="1369"/>
      <c r="EY652" s="1369"/>
      <c r="EZ652" s="1369"/>
      <c r="FA652" s="1369"/>
    </row>
    <row r="653" spans="1:157" ht="13.25" customHeight="1">
      <c r="A653" s="22"/>
      <c r="B653" t="s">
        <v>581</v>
      </c>
      <c r="G653" s="1371" t="s">
        <v>2711</v>
      </c>
      <c r="H653" s="1371"/>
      <c r="I653" s="1371"/>
      <c r="J653" s="1371"/>
      <c r="K653" s="1371"/>
      <c r="L653" s="1371"/>
      <c r="M653" s="1371"/>
      <c r="N653" s="1371"/>
      <c r="O653" s="1371"/>
      <c r="P653" s="1371"/>
      <c r="Q653" s="1371"/>
      <c r="R653" s="1371"/>
      <c r="T653" s="22"/>
      <c r="U653" t="s">
        <v>581</v>
      </c>
      <c r="Z653" s="1371" t="s">
        <v>2715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vm="1">
        <f t="shared" si="2"/>
        <v>#VALUE!</v>
      </c>
      <c r="DY653" s="1369"/>
      <c r="DZ653" s="1369"/>
      <c r="EA653" s="1369"/>
      <c r="EB653" s="1369"/>
      <c r="EC653" s="1369" t="e" vm="1">
        <f t="shared" si="3"/>
        <v>#VALUE!</v>
      </c>
      <c r="ED653" s="1369"/>
      <c r="EE653" s="1369"/>
      <c r="EF653" s="1369"/>
      <c r="EG653" s="1369"/>
      <c r="EH653" s="1369" t="e" vm="1">
        <f t="shared" si="4"/>
        <v>#VALUE!</v>
      </c>
      <c r="EI653" s="1369"/>
      <c r="EJ653" s="1369"/>
      <c r="EK653" s="1369"/>
      <c r="EL653" s="1369"/>
      <c r="EM653" s="1369" t="e" vm="1">
        <f t="shared" si="5"/>
        <v>#VALUE!</v>
      </c>
      <c r="EN653" s="1369"/>
      <c r="EO653" s="1369"/>
      <c r="EP653" s="1369"/>
      <c r="EQ653" s="1369"/>
      <c r="ER653" s="1369" t="e" vm="1">
        <f t="shared" si="6"/>
        <v>#VALUE!</v>
      </c>
      <c r="ES653" s="1369"/>
      <c r="ET653" s="1369"/>
      <c r="EU653" s="1369"/>
      <c r="EV653" s="1369"/>
      <c r="EW653" s="1369" t="e" vm="1">
        <f t="shared" si="7"/>
        <v>#VALUE!</v>
      </c>
      <c r="EX653" s="1369"/>
      <c r="EY653" s="1369"/>
      <c r="EZ653" s="1369"/>
      <c r="FA653" s="1369"/>
    </row>
    <row r="654" spans="1:157" ht="13.25" customHeight="1">
      <c r="A654" s="22"/>
      <c r="B654" t="s">
        <v>17</v>
      </c>
      <c r="G654" s="1371" t="s">
        <v>2712</v>
      </c>
      <c r="H654" s="1371"/>
      <c r="I654" s="1371"/>
      <c r="J654" s="1371"/>
      <c r="K654" s="1371"/>
      <c r="L654" s="1371"/>
      <c r="M654" s="1371"/>
      <c r="N654" s="1371"/>
      <c r="O654" s="1371"/>
      <c r="P654" s="1371"/>
      <c r="Q654" s="1371"/>
      <c r="R654" s="1371"/>
      <c r="T654" s="22"/>
      <c r="U654" t="s">
        <v>17</v>
      </c>
      <c r="Z654" s="1371" t="s">
        <v>2623</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vm="1">
        <f t="shared" si="2"/>
        <v>#VALUE!</v>
      </c>
      <c r="DY654" s="1369"/>
      <c r="DZ654" s="1369"/>
      <c r="EA654" s="1369"/>
      <c r="EB654" s="1369"/>
      <c r="EC654" s="1369" t="e" vm="1">
        <f t="shared" si="3"/>
        <v>#VALUE!</v>
      </c>
      <c r="ED654" s="1369"/>
      <c r="EE654" s="1369"/>
      <c r="EF654" s="1369"/>
      <c r="EG654" s="1369"/>
      <c r="EH654" s="1369" t="e" vm="1">
        <f t="shared" si="4"/>
        <v>#VALUE!</v>
      </c>
      <c r="EI654" s="1369"/>
      <c r="EJ654" s="1369"/>
      <c r="EK654" s="1369"/>
      <c r="EL654" s="1369"/>
      <c r="EM654" s="1369" t="e" vm="1">
        <f t="shared" si="5"/>
        <v>#VALUE!</v>
      </c>
      <c r="EN654" s="1369"/>
      <c r="EO654" s="1369"/>
      <c r="EP654" s="1369"/>
      <c r="EQ654" s="1369"/>
      <c r="ER654" s="1369" t="e" vm="1">
        <f t="shared" si="6"/>
        <v>#VALUE!</v>
      </c>
      <c r="ES654" s="1369"/>
      <c r="ET654" s="1369"/>
      <c r="EU654" s="1369"/>
      <c r="EV654" s="1369"/>
      <c r="EW654" s="1369" t="e" vm="1">
        <f t="shared" si="7"/>
        <v>#VALUE!</v>
      </c>
      <c r="EX654" s="1369"/>
      <c r="EY654" s="1369"/>
      <c r="EZ654" s="1369"/>
      <c r="FA654" s="1369"/>
    </row>
    <row r="655" spans="1:157" ht="13.25" customHeight="1">
      <c r="A655" s="22"/>
      <c r="B655" t="s">
        <v>316</v>
      </c>
      <c r="G655" s="1487" t="s">
        <v>2713</v>
      </c>
      <c r="H655" s="1487"/>
      <c r="I655" s="1487"/>
      <c r="J655" s="1487"/>
      <c r="K655" s="1487"/>
      <c r="L655" s="1487"/>
      <c r="O655" s="33" t="s">
        <v>206</v>
      </c>
      <c r="P655" s="1471"/>
      <c r="Q655" s="1471"/>
      <c r="R655" s="1471"/>
      <c r="T655" s="22"/>
      <c r="U655" t="s">
        <v>316</v>
      </c>
      <c r="Z655" s="1487" t="s">
        <v>2624</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vm="1">
        <f t="shared" si="2"/>
        <v>#VALUE!</v>
      </c>
      <c r="DY655" s="1369"/>
      <c r="DZ655" s="1369"/>
      <c r="EA655" s="1369"/>
      <c r="EB655" s="1369"/>
      <c r="EC655" s="1369" t="e" vm="1">
        <f t="shared" si="3"/>
        <v>#VALUE!</v>
      </c>
      <c r="ED655" s="1369"/>
      <c r="EE655" s="1369"/>
      <c r="EF655" s="1369"/>
      <c r="EG655" s="1369"/>
      <c r="EH655" s="1369" t="e" vm="1">
        <f t="shared" si="4"/>
        <v>#VALUE!</v>
      </c>
      <c r="EI655" s="1369"/>
      <c r="EJ655" s="1369"/>
      <c r="EK655" s="1369"/>
      <c r="EL655" s="1369"/>
      <c r="EM655" s="1369" t="e" vm="1">
        <f t="shared" si="5"/>
        <v>#VALUE!</v>
      </c>
      <c r="EN655" s="1369"/>
      <c r="EO655" s="1369"/>
      <c r="EP655" s="1369"/>
      <c r="EQ655" s="1369"/>
      <c r="ER655" s="1369" t="e" vm="1">
        <f t="shared" si="6"/>
        <v>#VALUE!</v>
      </c>
      <c r="ES655" s="1369"/>
      <c r="ET655" s="1369"/>
      <c r="EU655" s="1369"/>
      <c r="EV655" s="1369"/>
      <c r="EW655" s="1369" t="e" vm="1">
        <f t="shared" si="7"/>
        <v>#VALUE!</v>
      </c>
      <c r="EX655" s="1369"/>
      <c r="EY655" s="1369"/>
      <c r="EZ655" s="1369"/>
      <c r="FA655" s="1369"/>
    </row>
    <row r="656" spans="1:157" ht="13.25" customHeight="1">
      <c r="A656" s="22"/>
      <c r="B656" t="s">
        <v>18</v>
      </c>
      <c r="H656" s="1407" t="s">
        <v>2714</v>
      </c>
      <c r="I656" s="1407"/>
      <c r="J656" s="1407"/>
      <c r="K656" s="1407"/>
      <c r="L656" s="1407"/>
      <c r="M656" s="1407"/>
      <c r="N656" s="1407"/>
      <c r="O656" s="1407"/>
      <c r="P656" s="1407"/>
      <c r="Q656" s="1407"/>
      <c r="R656" s="1407"/>
      <c r="T656" s="22"/>
      <c r="U656" t="s">
        <v>18</v>
      </c>
      <c r="AA656" s="1407" t="s">
        <v>2105</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vm="1">
        <f t="shared" si="2"/>
        <v>#VALUE!</v>
      </c>
      <c r="DY656" s="1369"/>
      <c r="DZ656" s="1369"/>
      <c r="EA656" s="1369"/>
      <c r="EB656" s="1369"/>
      <c r="EC656" s="1369" t="e" vm="1">
        <f t="shared" si="3"/>
        <v>#VALUE!</v>
      </c>
      <c r="ED656" s="1369"/>
      <c r="EE656" s="1369"/>
      <c r="EF656" s="1369"/>
      <c r="EG656" s="1369"/>
      <c r="EH656" s="1369" t="e" vm="1">
        <f t="shared" si="4"/>
        <v>#VALUE!</v>
      </c>
      <c r="EI656" s="1369"/>
      <c r="EJ656" s="1369"/>
      <c r="EK656" s="1369"/>
      <c r="EL656" s="1369"/>
      <c r="EM656" s="1369" t="e" vm="1">
        <f t="shared" si="5"/>
        <v>#VALUE!</v>
      </c>
      <c r="EN656" s="1369"/>
      <c r="EO656" s="1369"/>
      <c r="EP656" s="1369"/>
      <c r="EQ656" s="1369"/>
      <c r="ER656" s="1369" t="e" vm="1">
        <f t="shared" si="6"/>
        <v>#VALUE!</v>
      </c>
      <c r="ES656" s="1369"/>
      <c r="ET656" s="1369"/>
      <c r="EU656" s="1369"/>
      <c r="EV656" s="1369"/>
      <c r="EW656" s="1369" t="e" vm="1">
        <f t="shared" si="7"/>
        <v>#VALUE!</v>
      </c>
      <c r="EX656" s="1369"/>
      <c r="EY656" s="1369"/>
      <c r="EZ656" s="1369"/>
      <c r="FA656" s="1369"/>
    </row>
    <row r="657" spans="1:157" ht="13.2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vm="1">
        <f t="shared" si="2"/>
        <v>#VALUE!</v>
      </c>
      <c r="DY657" s="1369"/>
      <c r="DZ657" s="1369"/>
      <c r="EA657" s="1369"/>
      <c r="EB657" s="1369"/>
      <c r="EC657" s="1369" t="e" vm="1">
        <f t="shared" si="3"/>
        <v>#VALUE!</v>
      </c>
      <c r="ED657" s="1369"/>
      <c r="EE657" s="1369"/>
      <c r="EF657" s="1369"/>
      <c r="EG657" s="1369"/>
      <c r="EH657" s="1369" t="e" vm="1">
        <f t="shared" si="4"/>
        <v>#VALUE!</v>
      </c>
      <c r="EI657" s="1369"/>
      <c r="EJ657" s="1369"/>
      <c r="EK657" s="1369"/>
      <c r="EL657" s="1369"/>
      <c r="EM657" s="1369" t="e" vm="1">
        <f t="shared" si="5"/>
        <v>#VALUE!</v>
      </c>
      <c r="EN657" s="1369"/>
      <c r="EO657" s="1369"/>
      <c r="EP657" s="1369"/>
      <c r="EQ657" s="1369"/>
      <c r="ER657" s="1369" t="e" vm="1">
        <f t="shared" si="6"/>
        <v>#VALUE!</v>
      </c>
      <c r="ES657" s="1369"/>
      <c r="ET657" s="1369"/>
      <c r="EU657" s="1369"/>
      <c r="EV657" s="1369"/>
      <c r="EW657" s="1369" t="e" vm="1">
        <f t="shared" si="7"/>
        <v>#VALUE!</v>
      </c>
      <c r="EX657" s="1369"/>
      <c r="EY657" s="1369"/>
      <c r="EZ657" s="1369"/>
      <c r="FA657" s="1369"/>
    </row>
    <row r="658" spans="1:157" ht="13.25" customHeight="1">
      <c r="A658" s="22"/>
      <c r="T658" s="22"/>
      <c r="AZ658" s="34"/>
      <c r="BA658" s="34"/>
      <c r="BB658" s="34"/>
      <c r="BC658" s="34"/>
      <c r="BD658" s="34"/>
      <c r="BE658" s="34"/>
      <c r="BF658" s="34"/>
      <c r="BG658" s="34"/>
      <c r="BH658" s="34"/>
      <c r="BI658" s="34"/>
      <c r="BJ658" s="34"/>
      <c r="BK658" s="34"/>
      <c r="BL658" s="34"/>
      <c r="BM658" s="34"/>
      <c r="DX658" s="1369" t="e" vm="1">
        <f t="shared" si="2"/>
        <v>#VALUE!</v>
      </c>
      <c r="DY658" s="1369"/>
      <c r="DZ658" s="1369"/>
      <c r="EA658" s="1369"/>
      <c r="EB658" s="1369"/>
      <c r="EC658" s="1369" t="e" vm="1">
        <f t="shared" si="3"/>
        <v>#VALUE!</v>
      </c>
      <c r="ED658" s="1369"/>
      <c r="EE658" s="1369"/>
      <c r="EF658" s="1369"/>
      <c r="EG658" s="1369"/>
      <c r="EH658" s="1369" t="e" vm="1">
        <f t="shared" si="4"/>
        <v>#VALUE!</v>
      </c>
      <c r="EI658" s="1369"/>
      <c r="EJ658" s="1369"/>
      <c r="EK658" s="1369"/>
      <c r="EL658" s="1369"/>
      <c r="EM658" s="1369" t="e" vm="1">
        <f t="shared" si="5"/>
        <v>#VALUE!</v>
      </c>
      <c r="EN658" s="1369"/>
      <c r="EO658" s="1369"/>
      <c r="EP658" s="1369"/>
      <c r="EQ658" s="1369"/>
      <c r="ER658" s="1369" t="e" vm="1">
        <f t="shared" si="6"/>
        <v>#VALUE!</v>
      </c>
      <c r="ES658" s="1369"/>
      <c r="ET658" s="1369"/>
      <c r="EU658" s="1369"/>
      <c r="EV658" s="1369"/>
      <c r="EW658" s="1369" t="e" vm="1">
        <f t="shared" si="7"/>
        <v>#VALUE!</v>
      </c>
      <c r="EX658" s="1369"/>
      <c r="EY658" s="1369"/>
      <c r="EZ658" s="1369"/>
      <c r="FA658" s="1369"/>
    </row>
    <row r="659" spans="1:157" ht="13.25" customHeight="1">
      <c r="A659" s="55" t="s">
        <v>764</v>
      </c>
      <c r="B659" t="s">
        <v>464</v>
      </c>
      <c r="G659" s="1483" t="str">
        <f>C631</f>
        <v>Deffered Developer Fee</v>
      </c>
      <c r="H659" s="1483"/>
      <c r="I659" s="1483"/>
      <c r="J659" s="1483"/>
      <c r="K659" s="1483"/>
      <c r="L659" s="1483"/>
      <c r="M659" s="1483"/>
      <c r="N659" s="1483"/>
      <c r="O659" s="1483"/>
      <c r="P659" s="1483"/>
      <c r="Q659" s="1483"/>
      <c r="R659" s="1483"/>
      <c r="T659" s="55" t="s">
        <v>585</v>
      </c>
      <c r="U659" t="s">
        <v>464</v>
      </c>
      <c r="Z659" s="1483" t="str">
        <f>C632</f>
        <v xml:space="preserve">Interfaith Development Corporation </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vm="1">
        <f t="shared" si="2"/>
        <v>#VALUE!</v>
      </c>
      <c r="DY659" s="1369"/>
      <c r="DZ659" s="1369"/>
      <c r="EA659" s="1369"/>
      <c r="EB659" s="1369"/>
      <c r="EC659" s="1369" t="e" vm="1">
        <f t="shared" si="3"/>
        <v>#VALUE!</v>
      </c>
      <c r="ED659" s="1369"/>
      <c r="EE659" s="1369"/>
      <c r="EF659" s="1369"/>
      <c r="EG659" s="1369"/>
      <c r="EH659" s="1369" t="e" vm="1">
        <f t="shared" si="4"/>
        <v>#VALUE!</v>
      </c>
      <c r="EI659" s="1369"/>
      <c r="EJ659" s="1369"/>
      <c r="EK659" s="1369"/>
      <c r="EL659" s="1369"/>
      <c r="EM659" s="1369" t="e" vm="1">
        <f t="shared" si="5"/>
        <v>#VALUE!</v>
      </c>
      <c r="EN659" s="1369"/>
      <c r="EO659" s="1369"/>
      <c r="EP659" s="1369"/>
      <c r="EQ659" s="1369"/>
      <c r="ER659" s="1369" t="e" vm="1">
        <f t="shared" si="6"/>
        <v>#VALUE!</v>
      </c>
      <c r="ES659" s="1369"/>
      <c r="ET659" s="1369"/>
      <c r="EU659" s="1369"/>
      <c r="EV659" s="1369"/>
      <c r="EW659" s="1369" t="e" vm="1">
        <f t="shared" si="7"/>
        <v>#VALUE!</v>
      </c>
      <c r="EX659" s="1369"/>
      <c r="EY659" s="1369"/>
      <c r="EZ659" s="1369"/>
      <c r="FA659" s="1369"/>
    </row>
    <row r="660" spans="1:157" ht="13.25" customHeight="1">
      <c r="A660" s="22"/>
      <c r="B660" t="s">
        <v>85</v>
      </c>
      <c r="G660" s="1407" t="s">
        <v>2621</v>
      </c>
      <c r="H660" s="1407"/>
      <c r="I660" s="1407"/>
      <c r="J660" s="1407"/>
      <c r="K660" s="1407"/>
      <c r="L660" s="1407"/>
      <c r="M660" s="1407"/>
      <c r="N660" s="1407"/>
      <c r="O660" s="1407"/>
      <c r="P660" s="1407"/>
      <c r="Q660" s="1407"/>
      <c r="R660" s="1407"/>
      <c r="T660" s="22"/>
      <c r="U660" t="s">
        <v>85</v>
      </c>
      <c r="Z660" s="1407" t="s">
        <v>2719</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vm="1">
        <f t="shared" si="2"/>
        <v>#VALUE!</v>
      </c>
      <c r="DY660" s="1369"/>
      <c r="DZ660" s="1369"/>
      <c r="EA660" s="1369"/>
      <c r="EB660" s="1369"/>
      <c r="EC660" s="1369" t="e" vm="1">
        <f t="shared" si="3"/>
        <v>#VALUE!</v>
      </c>
      <c r="ED660" s="1369"/>
      <c r="EE660" s="1369"/>
      <c r="EF660" s="1369"/>
      <c r="EG660" s="1369"/>
      <c r="EH660" s="1369" t="e" vm="1">
        <f t="shared" si="4"/>
        <v>#VALUE!</v>
      </c>
      <c r="EI660" s="1369"/>
      <c r="EJ660" s="1369"/>
      <c r="EK660" s="1369"/>
      <c r="EL660" s="1369"/>
      <c r="EM660" s="1369" t="e" vm="1">
        <f t="shared" si="5"/>
        <v>#VALUE!</v>
      </c>
      <c r="EN660" s="1369"/>
      <c r="EO660" s="1369"/>
      <c r="EP660" s="1369"/>
      <c r="EQ660" s="1369"/>
      <c r="ER660" s="1369" t="e" vm="1">
        <f t="shared" si="6"/>
        <v>#VALUE!</v>
      </c>
      <c r="ES660" s="1369"/>
      <c r="ET660" s="1369"/>
      <c r="EU660" s="1369"/>
      <c r="EV660" s="1369"/>
      <c r="EW660" s="1369" t="e" vm="1">
        <f t="shared" si="7"/>
        <v>#VALUE!</v>
      </c>
      <c r="EX660" s="1369"/>
      <c r="EY660" s="1369"/>
      <c r="EZ660" s="1369"/>
      <c r="FA660" s="1369"/>
    </row>
    <row r="661" spans="1:157" ht="13.25" customHeight="1">
      <c r="A661" s="22"/>
      <c r="B661" t="s">
        <v>581</v>
      </c>
      <c r="G661" s="1407" t="s">
        <v>2715</v>
      </c>
      <c r="H661" s="1407"/>
      <c r="I661" s="1407"/>
      <c r="J661" s="1407"/>
      <c r="K661" s="1407"/>
      <c r="L661" s="1407"/>
      <c r="M661" s="1407"/>
      <c r="N661" s="1407"/>
      <c r="O661" s="1407"/>
      <c r="P661" s="1407"/>
      <c r="Q661" s="1407"/>
      <c r="R661" s="1407"/>
      <c r="T661" s="22"/>
      <c r="U661" t="s">
        <v>581</v>
      </c>
      <c r="Z661" s="1371" t="s">
        <v>2718</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vm="1">
        <f t="shared" si="2"/>
        <v>#VALUE!</v>
      </c>
      <c r="DY661" s="1369"/>
      <c r="DZ661" s="1369"/>
      <c r="EA661" s="1369"/>
      <c r="EB661" s="1369"/>
      <c r="EC661" s="1369" t="e" vm="1">
        <f t="shared" si="3"/>
        <v>#VALUE!</v>
      </c>
      <c r="ED661" s="1369"/>
      <c r="EE661" s="1369"/>
      <c r="EF661" s="1369"/>
      <c r="EG661" s="1369"/>
      <c r="EH661" s="1369" t="e" vm="1">
        <f t="shared" si="4"/>
        <v>#VALUE!</v>
      </c>
      <c r="EI661" s="1369"/>
      <c r="EJ661" s="1369"/>
      <c r="EK661" s="1369"/>
      <c r="EL661" s="1369"/>
      <c r="EM661" s="1369" t="e" vm="1">
        <f t="shared" si="5"/>
        <v>#VALUE!</v>
      </c>
      <c r="EN661" s="1369"/>
      <c r="EO661" s="1369"/>
      <c r="EP661" s="1369"/>
      <c r="EQ661" s="1369"/>
      <c r="ER661" s="1369" t="e" vm="1">
        <f t="shared" si="6"/>
        <v>#VALUE!</v>
      </c>
      <c r="ES661" s="1369"/>
      <c r="ET661" s="1369"/>
      <c r="EU661" s="1369"/>
      <c r="EV661" s="1369"/>
      <c r="EW661" s="1369" t="e" vm="1">
        <f t="shared" si="7"/>
        <v>#VALUE!</v>
      </c>
      <c r="EX661" s="1369"/>
      <c r="EY661" s="1369"/>
      <c r="EZ661" s="1369"/>
      <c r="FA661" s="1369"/>
    </row>
    <row r="662" spans="1:157" ht="13.25" customHeight="1">
      <c r="A662" s="22"/>
      <c r="B662" t="s">
        <v>17</v>
      </c>
      <c r="G662" s="1407" t="s">
        <v>2623</v>
      </c>
      <c r="H662" s="1407"/>
      <c r="I662" s="1407"/>
      <c r="J662" s="1407"/>
      <c r="K662" s="1407"/>
      <c r="L662" s="1407"/>
      <c r="M662" s="1407"/>
      <c r="N662" s="1407"/>
      <c r="O662" s="1407"/>
      <c r="P662" s="1407"/>
      <c r="Q662" s="1407"/>
      <c r="R662" s="1407"/>
      <c r="T662" s="22"/>
      <c r="U662" t="s">
        <v>17</v>
      </c>
      <c r="Z662" s="1371" t="s">
        <v>2720</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vm="1">
        <f t="shared" si="2"/>
        <v>#VALUE!</v>
      </c>
      <c r="DY662" s="1369"/>
      <c r="DZ662" s="1369"/>
      <c r="EA662" s="1369"/>
      <c r="EB662" s="1369"/>
      <c r="EC662" s="1369" t="e" vm="1">
        <f t="shared" si="3"/>
        <v>#VALUE!</v>
      </c>
      <c r="ED662" s="1369"/>
      <c r="EE662" s="1369"/>
      <c r="EF662" s="1369"/>
      <c r="EG662" s="1369"/>
      <c r="EH662" s="1369" t="e" vm="1">
        <f t="shared" si="4"/>
        <v>#VALUE!</v>
      </c>
      <c r="EI662" s="1369"/>
      <c r="EJ662" s="1369"/>
      <c r="EK662" s="1369"/>
      <c r="EL662" s="1369"/>
      <c r="EM662" s="1369" t="e" vm="1">
        <f t="shared" si="5"/>
        <v>#VALUE!</v>
      </c>
      <c r="EN662" s="1369"/>
      <c r="EO662" s="1369"/>
      <c r="EP662" s="1369"/>
      <c r="EQ662" s="1369"/>
      <c r="ER662" s="1369" t="e" vm="1">
        <f t="shared" si="6"/>
        <v>#VALUE!</v>
      </c>
      <c r="ES662" s="1369"/>
      <c r="ET662" s="1369"/>
      <c r="EU662" s="1369"/>
      <c r="EV662" s="1369"/>
      <c r="EW662" s="1369" t="e" vm="1">
        <f t="shared" si="7"/>
        <v>#VALUE!</v>
      </c>
      <c r="EX662" s="1369"/>
      <c r="EY662" s="1369"/>
      <c r="EZ662" s="1369"/>
      <c r="FA662" s="1369"/>
    </row>
    <row r="663" spans="1:157" ht="13.25" customHeight="1">
      <c r="A663" s="22"/>
      <c r="B663" t="s">
        <v>316</v>
      </c>
      <c r="G663" s="1487" t="s">
        <v>2624</v>
      </c>
      <c r="H663" s="1487"/>
      <c r="I663" s="1487"/>
      <c r="J663" s="1487"/>
      <c r="K663" s="1487"/>
      <c r="L663" s="1487"/>
      <c r="O663" s="33" t="s">
        <v>206</v>
      </c>
      <c r="P663" s="1471"/>
      <c r="Q663" s="1471"/>
      <c r="R663" s="1471"/>
      <c r="T663" s="22"/>
      <c r="U663" t="s">
        <v>316</v>
      </c>
      <c r="Z663" s="1487">
        <v>6196681532</v>
      </c>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vm="1">
        <f t="shared" si="2"/>
        <v>#VALUE!</v>
      </c>
      <c r="DY663" s="1369"/>
      <c r="DZ663" s="1369"/>
      <c r="EA663" s="1369"/>
      <c r="EB663" s="1369"/>
      <c r="EC663" s="1369" t="e" vm="1">
        <f t="shared" si="3"/>
        <v>#VALUE!</v>
      </c>
      <c r="ED663" s="1369"/>
      <c r="EE663" s="1369"/>
      <c r="EF663" s="1369"/>
      <c r="EG663" s="1369"/>
      <c r="EH663" s="1369" t="e" vm="1">
        <f t="shared" si="4"/>
        <v>#VALUE!</v>
      </c>
      <c r="EI663" s="1369"/>
      <c r="EJ663" s="1369"/>
      <c r="EK663" s="1369"/>
      <c r="EL663" s="1369"/>
      <c r="EM663" s="1369" t="e" vm="1">
        <f t="shared" si="5"/>
        <v>#VALUE!</v>
      </c>
      <c r="EN663" s="1369"/>
      <c r="EO663" s="1369"/>
      <c r="EP663" s="1369"/>
      <c r="EQ663" s="1369"/>
      <c r="ER663" s="1369" t="e" vm="1">
        <f t="shared" si="6"/>
        <v>#VALUE!</v>
      </c>
      <c r="ES663" s="1369"/>
      <c r="ET663" s="1369"/>
      <c r="EU663" s="1369"/>
      <c r="EV663" s="1369"/>
      <c r="EW663" s="1369" t="e" vm="1">
        <f t="shared" si="7"/>
        <v>#VALUE!</v>
      </c>
      <c r="EX663" s="1369"/>
      <c r="EY663" s="1369"/>
      <c r="EZ663" s="1369"/>
      <c r="FA663" s="1369"/>
    </row>
    <row r="664" spans="1:157" ht="13.25" customHeight="1">
      <c r="A664" s="22"/>
      <c r="B664" t="s">
        <v>18</v>
      </c>
      <c r="H664" s="1407" t="s">
        <v>2321</v>
      </c>
      <c r="I664" s="1407"/>
      <c r="J664" s="1407"/>
      <c r="K664" s="1407"/>
      <c r="L664" s="1407"/>
      <c r="M664" s="1407"/>
      <c r="N664" s="1407"/>
      <c r="O664" s="1407"/>
      <c r="P664" s="1407"/>
      <c r="Q664" s="1407"/>
      <c r="R664" s="1407"/>
      <c r="T664" s="22"/>
      <c r="U664" t="s">
        <v>18</v>
      </c>
      <c r="AA664" s="1262" t="s">
        <v>2735</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vm="1">
        <f t="shared" si="2"/>
        <v>#VALUE!</v>
      </c>
      <c r="DY664" s="1369"/>
      <c r="DZ664" s="1369"/>
      <c r="EA664" s="1369"/>
      <c r="EB664" s="1369"/>
      <c r="EC664" s="1369" t="e" vm="1">
        <f t="shared" si="3"/>
        <v>#VALUE!</v>
      </c>
      <c r="ED664" s="1369"/>
      <c r="EE664" s="1369"/>
      <c r="EF664" s="1369"/>
      <c r="EG664" s="1369"/>
      <c r="EH664" s="1369" t="e" vm="1">
        <f t="shared" si="4"/>
        <v>#VALUE!</v>
      </c>
      <c r="EI664" s="1369"/>
      <c r="EJ664" s="1369"/>
      <c r="EK664" s="1369"/>
      <c r="EL664" s="1369"/>
      <c r="EM664" s="1369" t="e" vm="1">
        <f t="shared" si="5"/>
        <v>#VALUE!</v>
      </c>
      <c r="EN664" s="1369"/>
      <c r="EO664" s="1369"/>
      <c r="EP664" s="1369"/>
      <c r="EQ664" s="1369"/>
      <c r="ER664" s="1369" t="e" vm="1">
        <f t="shared" si="6"/>
        <v>#VALUE!</v>
      </c>
      <c r="ES664" s="1369"/>
      <c r="ET664" s="1369"/>
      <c r="EU664" s="1369"/>
      <c r="EV664" s="1369"/>
      <c r="EW664" s="1369" t="e" vm="1">
        <f t="shared" si="7"/>
        <v>#VALUE!</v>
      </c>
      <c r="EX664" s="1369"/>
      <c r="EY664" s="1369"/>
      <c r="EZ664" s="1369"/>
      <c r="FA664" s="1369"/>
    </row>
    <row r="665" spans="1:157" ht="13.25"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vm="1">
        <f t="shared" si="2"/>
        <v>#VALUE!</v>
      </c>
      <c r="DY665" s="1369"/>
      <c r="DZ665" s="1369"/>
      <c r="EA665" s="1369"/>
      <c r="EB665" s="1369"/>
      <c r="EC665" s="1369" t="e" vm="1">
        <f t="shared" si="3"/>
        <v>#VALUE!</v>
      </c>
      <c r="ED665" s="1369"/>
      <c r="EE665" s="1369"/>
      <c r="EF665" s="1369"/>
      <c r="EG665" s="1369"/>
      <c r="EH665" s="1369" t="e" vm="1">
        <f t="shared" si="4"/>
        <v>#VALUE!</v>
      </c>
      <c r="EI665" s="1369"/>
      <c r="EJ665" s="1369"/>
      <c r="EK665" s="1369"/>
      <c r="EL665" s="1369"/>
      <c r="EM665" s="1369" t="e" vm="1">
        <f t="shared" si="5"/>
        <v>#VALUE!</v>
      </c>
      <c r="EN665" s="1369"/>
      <c r="EO665" s="1369"/>
      <c r="EP665" s="1369"/>
      <c r="EQ665" s="1369"/>
      <c r="ER665" s="1369" t="e" vm="1">
        <f t="shared" si="6"/>
        <v>#VALUE!</v>
      </c>
      <c r="ES665" s="1369"/>
      <c r="ET665" s="1369"/>
      <c r="EU665" s="1369"/>
      <c r="EV665" s="1369"/>
      <c r="EW665" s="1369" t="e" vm="1">
        <f t="shared" si="7"/>
        <v>#VALUE!</v>
      </c>
      <c r="EX665" s="1369"/>
      <c r="EY665" s="1369"/>
      <c r="EZ665" s="1369"/>
      <c r="FA665" s="1369"/>
    </row>
    <row r="666" spans="1:157" ht="13.2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vm="1">
        <f t="shared" si="2"/>
        <v>#VALUE!</v>
      </c>
      <c r="DY666" s="1369"/>
      <c r="DZ666" s="1369"/>
      <c r="EA666" s="1369"/>
      <c r="EB666" s="1369"/>
      <c r="EC666" s="1369" t="e" vm="1">
        <f t="shared" si="3"/>
        <v>#VALUE!</v>
      </c>
      <c r="ED666" s="1369"/>
      <c r="EE666" s="1369"/>
      <c r="EF666" s="1369"/>
      <c r="EG666" s="1369"/>
      <c r="EH666" s="1369" t="e" vm="1">
        <f t="shared" si="4"/>
        <v>#VALUE!</v>
      </c>
      <c r="EI666" s="1369"/>
      <c r="EJ666" s="1369"/>
      <c r="EK666" s="1369"/>
      <c r="EL666" s="1369"/>
      <c r="EM666" s="1369" t="e" vm="1">
        <f t="shared" si="5"/>
        <v>#VALUE!</v>
      </c>
      <c r="EN666" s="1369"/>
      <c r="EO666" s="1369"/>
      <c r="EP666" s="1369"/>
      <c r="EQ666" s="1369"/>
      <c r="ER666" s="1369" t="e" vm="1">
        <f t="shared" si="6"/>
        <v>#VALUE!</v>
      </c>
      <c r="ES666" s="1369"/>
      <c r="ET666" s="1369"/>
      <c r="EU666" s="1369"/>
      <c r="EV666" s="1369"/>
      <c r="EW666" s="1369" t="e" vm="1">
        <f t="shared" si="7"/>
        <v>#VALUE!</v>
      </c>
      <c r="EX666" s="1369"/>
      <c r="EY666" s="1369"/>
      <c r="EZ666" s="1369"/>
      <c r="FA666" s="1369"/>
    </row>
    <row r="667" spans="1:157" ht="13.2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vm="1">
        <f t="shared" si="2"/>
        <v>#VALUE!</v>
      </c>
      <c r="DY667" s="1369"/>
      <c r="DZ667" s="1369"/>
      <c r="EA667" s="1369"/>
      <c r="EB667" s="1369"/>
      <c r="EC667" s="1369" t="e" vm="1">
        <f t="shared" si="3"/>
        <v>#VALUE!</v>
      </c>
      <c r="ED667" s="1369"/>
      <c r="EE667" s="1369"/>
      <c r="EF667" s="1369"/>
      <c r="EG667" s="1369"/>
      <c r="EH667" s="1369" t="e" vm="1">
        <f t="shared" si="4"/>
        <v>#VALUE!</v>
      </c>
      <c r="EI667" s="1369"/>
      <c r="EJ667" s="1369"/>
      <c r="EK667" s="1369"/>
      <c r="EL667" s="1369"/>
      <c r="EM667" s="1369" t="e" vm="1">
        <f t="shared" si="5"/>
        <v>#VALUE!</v>
      </c>
      <c r="EN667" s="1369"/>
      <c r="EO667" s="1369"/>
      <c r="EP667" s="1369"/>
      <c r="EQ667" s="1369"/>
      <c r="ER667" s="1369" t="e" vm="1">
        <f t="shared" si="6"/>
        <v>#VALUE!</v>
      </c>
      <c r="ES667" s="1369"/>
      <c r="ET667" s="1369"/>
      <c r="EU667" s="1369"/>
      <c r="EV667" s="1369"/>
      <c r="EW667" s="1369" t="e" vm="1">
        <f t="shared" si="7"/>
        <v>#VALUE!</v>
      </c>
      <c r="EX667" s="1369"/>
      <c r="EY667" s="1369"/>
      <c r="EZ667" s="1369"/>
      <c r="FA667" s="1369"/>
    </row>
    <row r="668" spans="1:157" ht="13.2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vm="1">
        <f t="shared" si="2"/>
        <v>#VALUE!</v>
      </c>
      <c r="DY668" s="1369"/>
      <c r="DZ668" s="1369"/>
      <c r="EA668" s="1369"/>
      <c r="EB668" s="1369"/>
      <c r="EC668" s="1369" t="e" vm="1">
        <f t="shared" si="3"/>
        <v>#VALUE!</v>
      </c>
      <c r="ED668" s="1369"/>
      <c r="EE668" s="1369"/>
      <c r="EF668" s="1369"/>
      <c r="EG668" s="1369"/>
      <c r="EH668" s="1369" t="e" vm="1">
        <f t="shared" si="4"/>
        <v>#VALUE!</v>
      </c>
      <c r="EI668" s="1369"/>
      <c r="EJ668" s="1369"/>
      <c r="EK668" s="1369"/>
      <c r="EL668" s="1369"/>
      <c r="EM668" s="1369" t="e" vm="1">
        <f t="shared" si="5"/>
        <v>#VALUE!</v>
      </c>
      <c r="EN668" s="1369"/>
      <c r="EO668" s="1369"/>
      <c r="EP668" s="1369"/>
      <c r="EQ668" s="1369"/>
      <c r="ER668" s="1369" t="e" vm="1">
        <f t="shared" si="6"/>
        <v>#VALUE!</v>
      </c>
      <c r="ES668" s="1369"/>
      <c r="ET668" s="1369"/>
      <c r="EU668" s="1369"/>
      <c r="EV668" s="1369"/>
      <c r="EW668" s="1369" t="e" vm="1">
        <f t="shared" si="7"/>
        <v>#VALUE!</v>
      </c>
      <c r="EX668" s="1369"/>
      <c r="EY668" s="1369"/>
      <c r="EZ668" s="1369"/>
      <c r="FA668" s="1369"/>
    </row>
    <row r="669" spans="1:157" ht="13.2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vm="1">
        <f t="shared" si="2"/>
        <v>#VALUE!</v>
      </c>
      <c r="DY669" s="1369"/>
      <c r="DZ669" s="1369"/>
      <c r="EA669" s="1369"/>
      <c r="EB669" s="1369"/>
      <c r="EC669" s="1369" t="e" vm="1">
        <f t="shared" si="3"/>
        <v>#VALUE!</v>
      </c>
      <c r="ED669" s="1369"/>
      <c r="EE669" s="1369"/>
      <c r="EF669" s="1369"/>
      <c r="EG669" s="1369"/>
      <c r="EH669" s="1369" t="e" vm="1">
        <f t="shared" si="4"/>
        <v>#VALUE!</v>
      </c>
      <c r="EI669" s="1369"/>
      <c r="EJ669" s="1369"/>
      <c r="EK669" s="1369"/>
      <c r="EL669" s="1369"/>
      <c r="EM669" s="1369" t="e" vm="1">
        <f t="shared" si="5"/>
        <v>#VALUE!</v>
      </c>
      <c r="EN669" s="1369"/>
      <c r="EO669" s="1369"/>
      <c r="EP669" s="1369"/>
      <c r="EQ669" s="1369"/>
      <c r="ER669" s="1369" t="e" vm="1">
        <f t="shared" si="6"/>
        <v>#VALUE!</v>
      </c>
      <c r="ES669" s="1369"/>
      <c r="ET669" s="1369"/>
      <c r="EU669" s="1369"/>
      <c r="EV669" s="1369"/>
      <c r="EW669" s="1369" t="e" vm="1">
        <f t="shared" si="7"/>
        <v>#VALUE!</v>
      </c>
      <c r="EX669" s="1369"/>
      <c r="EY669" s="1369"/>
      <c r="EZ669" s="1369"/>
      <c r="FA669" s="1369"/>
    </row>
    <row r="670" spans="1:157" ht="13.2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1712.5</v>
      </c>
      <c r="DY670" s="1369"/>
      <c r="DZ670" s="1369"/>
      <c r="EA670" s="1369"/>
      <c r="EB670" s="1369"/>
      <c r="EC670" s="1369">
        <f>SUMIF(EC635:EG669,"&gt;0")</f>
        <v>1806.0689655172414</v>
      </c>
      <c r="ED670" s="1369"/>
      <c r="EE670" s="1369"/>
      <c r="EF670" s="1369"/>
      <c r="EG670" s="1369"/>
      <c r="EH670" s="1369">
        <f>SUMIF(EH635:EL669,"&gt;0")</f>
        <v>1664.3333333333333</v>
      </c>
      <c r="EI670" s="1369"/>
      <c r="EJ670" s="1369"/>
      <c r="EK670" s="1369"/>
      <c r="EL670" s="1369"/>
      <c r="EM670" s="1369">
        <f>SUMIF(EM635:EQ669,"&gt;0")</f>
        <v>2601.2222222222222</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2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22"/>
      <c r="B673" t="s">
        <v>20</v>
      </c>
      <c r="N673" s="1415" t="s">
        <v>670</v>
      </c>
      <c r="O673" s="1415"/>
      <c r="T673" s="22"/>
      <c r="U673" t="s">
        <v>20</v>
      </c>
      <c r="AG673" s="1415" t="s">
        <v>670</v>
      </c>
      <c r="AH673" s="1415"/>
      <c r="AZ673" s="3"/>
    </row>
    <row r="674" spans="1:52" ht="13.25" customHeight="1">
      <c r="A674" s="22"/>
      <c r="T674" s="22"/>
      <c r="AZ674" s="3"/>
    </row>
    <row r="675" spans="1:52" ht="13.2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3.2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2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2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2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3.2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25" customHeight="1">
      <c r="A681" s="22"/>
      <c r="B681" t="s">
        <v>20</v>
      </c>
      <c r="N681" s="1415" t="s">
        <v>670</v>
      </c>
      <c r="O681" s="1415"/>
      <c r="T681" s="22"/>
      <c r="U681" t="s">
        <v>20</v>
      </c>
      <c r="AG681" s="1415" t="s">
        <v>670</v>
      </c>
      <c r="AH681" s="1415"/>
      <c r="AZ681" s="3"/>
    </row>
    <row r="682" spans="1:52" ht="13.25" customHeight="1">
      <c r="A682" s="22"/>
      <c r="T682" s="22"/>
      <c r="AZ682" s="3"/>
    </row>
    <row r="683" spans="1:52" ht="13.2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3.2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2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2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2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3.2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25" customHeight="1">
      <c r="B689" t="s">
        <v>20</v>
      </c>
      <c r="N689" s="1415" t="s">
        <v>670</v>
      </c>
      <c r="O689" s="1415"/>
      <c r="U689" t="s">
        <v>20</v>
      </c>
      <c r="AG689" s="1415" t="s">
        <v>670</v>
      </c>
      <c r="AH689" s="1415"/>
      <c r="AZ689" s="3"/>
    </row>
    <row r="690" spans="1:67" ht="13.25" customHeight="1">
      <c r="AZ690" s="3"/>
    </row>
    <row r="691" spans="1:67" ht="13.25" customHeight="1">
      <c r="A691" s="2" t="s">
        <v>577</v>
      </c>
      <c r="C691" s="2" t="s">
        <v>327</v>
      </c>
      <c r="E691" s="130"/>
      <c r="F691" s="130"/>
      <c r="G691" s="130"/>
      <c r="H691" s="130"/>
      <c r="AZ691" s="3"/>
    </row>
    <row r="692" spans="1:67" ht="13.25" customHeight="1">
      <c r="B692" s="135"/>
      <c r="C692" s="135"/>
      <c r="D692" s="136" t="s">
        <v>434</v>
      </c>
      <c r="E692" s="135"/>
      <c r="F692" s="135"/>
      <c r="G692" s="135"/>
      <c r="H692" s="135"/>
      <c r="AZ692" s="3"/>
    </row>
    <row r="693" spans="1:67" ht="13.25" customHeight="1">
      <c r="B693" s="135"/>
      <c r="C693" s="135"/>
      <c r="E693" s="136" t="s">
        <v>435</v>
      </c>
      <c r="F693" s="135"/>
      <c r="G693" s="135"/>
      <c r="H693" s="135"/>
      <c r="AE693" s="1415" t="s">
        <v>670</v>
      </c>
      <c r="AF693" s="1415"/>
      <c r="AZ693" s="3"/>
    </row>
    <row r="694" spans="1:67" ht="13.25" customHeight="1">
      <c r="B694" s="135"/>
      <c r="C694" s="135"/>
      <c r="D694" s="136" t="s">
        <v>438</v>
      </c>
      <c r="E694" s="135"/>
      <c r="F694" s="135"/>
      <c r="G694" s="135"/>
      <c r="H694" s="135"/>
      <c r="AE694" s="1415" t="s">
        <v>670</v>
      </c>
      <c r="AF694" s="1415"/>
      <c r="AZ694" s="3"/>
    </row>
    <row r="695" spans="1:67" ht="13.25" customHeight="1">
      <c r="B695" s="135"/>
      <c r="C695" s="135"/>
      <c r="D695" s="136" t="s">
        <v>921</v>
      </c>
      <c r="E695" s="135"/>
      <c r="F695" s="135"/>
      <c r="G695" s="135"/>
      <c r="H695" s="135"/>
      <c r="AE695" s="1506"/>
      <c r="AF695" s="1506"/>
      <c r="AG695" s="1506"/>
      <c r="AH695" s="1506"/>
      <c r="AI695" s="1506"/>
    </row>
    <row r="696" spans="1:67" ht="13.25" customHeight="1">
      <c r="B696" s="135"/>
      <c r="C696" s="135"/>
      <c r="D696" s="317" t="s">
        <v>984</v>
      </c>
      <c r="E696" s="135"/>
      <c r="F696" s="135"/>
      <c r="G696" s="135"/>
      <c r="H696" s="135"/>
      <c r="AE696" s="1664"/>
      <c r="AF696" s="1664"/>
      <c r="AG696" s="1664"/>
      <c r="AH696" s="1664"/>
      <c r="AI696" s="1664"/>
    </row>
    <row r="697" spans="1:67" ht="13.25" customHeight="1">
      <c r="B697" s="135"/>
      <c r="C697" s="135"/>
    </row>
    <row r="698" spans="1:67" ht="13.25" customHeight="1">
      <c r="B698" s="135"/>
      <c r="C698" s="135"/>
      <c r="D698" s="136" t="s">
        <v>817</v>
      </c>
      <c r="E698" s="135"/>
      <c r="F698" s="135"/>
      <c r="G698" s="135"/>
      <c r="H698" s="135"/>
      <c r="AE698" s="1506"/>
      <c r="AF698" s="1506"/>
      <c r="AG698" s="1506"/>
      <c r="AH698" s="1506"/>
      <c r="AI698" s="1506"/>
    </row>
    <row r="699" spans="1:67" ht="13.25" customHeight="1">
      <c r="B699" s="135"/>
      <c r="C699" s="135"/>
      <c r="D699" s="136" t="s">
        <v>436</v>
      </c>
      <c r="E699" s="135"/>
      <c r="F699" s="135"/>
      <c r="G699" s="135"/>
      <c r="H699" s="135"/>
      <c r="AE699" s="1685"/>
      <c r="AF699" s="1685"/>
      <c r="AG699" s="1685"/>
      <c r="AH699" s="1685"/>
      <c r="AI699" s="1685"/>
    </row>
    <row r="700" spans="1:67" ht="13.25"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3.25" customHeight="1">
      <c r="B701" s="135"/>
      <c r="C701" s="135"/>
      <c r="D701" s="136"/>
      <c r="E701" s="135"/>
      <c r="F701" s="135"/>
      <c r="G701" s="135"/>
      <c r="H701" s="135"/>
    </row>
    <row r="702" spans="1:67" ht="13.25" customHeight="1">
      <c r="B702" s="135"/>
      <c r="C702" s="135"/>
      <c r="D702" s="136" t="s">
        <v>439</v>
      </c>
      <c r="E702" s="135"/>
      <c r="F702" s="135"/>
      <c r="G702" s="135"/>
      <c r="H702" s="135"/>
      <c r="AE702" s="1415" t="s">
        <v>670</v>
      </c>
      <c r="AF702" s="1415"/>
      <c r="AZ702" s="4" t="s">
        <v>324</v>
      </c>
    </row>
    <row r="703" spans="1:67" ht="13.2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3.2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2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5" t="s">
        <v>634</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3.25" customHeight="1">
      <c r="A718" s="4"/>
      <c r="B718" s="1355" t="s">
        <v>324</v>
      </c>
      <c r="C718" s="1356"/>
      <c r="D718" s="1356"/>
      <c r="E718" s="1356"/>
      <c r="F718" s="1357"/>
      <c r="G718" s="1364">
        <v>2</v>
      </c>
      <c r="H718" s="1365"/>
      <c r="I718" s="1365"/>
      <c r="J718" s="1366"/>
      <c r="K718" s="1603">
        <v>450</v>
      </c>
      <c r="L718" s="1604"/>
      <c r="M718" s="1604"/>
      <c r="N718" s="1605"/>
      <c r="O718" s="1468">
        <v>796</v>
      </c>
      <c r="P718" s="1469"/>
      <c r="Q718" s="1469"/>
      <c r="R718" s="1469"/>
      <c r="S718" s="1470"/>
      <c r="T718" s="1468">
        <v>72</v>
      </c>
      <c r="U718" s="1469"/>
      <c r="V718" s="1469"/>
      <c r="W718" s="1470"/>
      <c r="X718" s="1358">
        <f t="shared" ref="X718:X741" si="8">O718+T718</f>
        <v>868</v>
      </c>
      <c r="Y718" s="1359"/>
      <c r="Z718" s="1359"/>
      <c r="AA718" s="1359"/>
      <c r="AB718" s="1360"/>
      <c r="AC718" s="1612">
        <v>0.3</v>
      </c>
      <c r="AD718" s="1613"/>
      <c r="AE718" s="1613"/>
      <c r="AF718" s="1613"/>
      <c r="AG718" s="1614"/>
      <c r="AH718" s="1361">
        <f>IF($AC718&gt;0,($X718/$AZ718), "")</f>
        <v>0.29993089149965446</v>
      </c>
      <c r="AI718" s="1362"/>
      <c r="AJ718" s="1363"/>
      <c r="AK718" s="1355" t="s">
        <v>592</v>
      </c>
      <c r="AL718" s="1356"/>
      <c r="AM718" s="1356"/>
      <c r="AN718" s="1356"/>
      <c r="AO718" s="1357"/>
      <c r="AP718" s="3"/>
      <c r="AQ718" s="3"/>
      <c r="AR718" s="3"/>
      <c r="AS718" s="3"/>
      <c r="AZ718" s="118">
        <f t="shared" ref="AZ718:AZ752" si="9">IF($G718=0,"N/A",VLOOKUP($T$189,TC_Rent,(MATCH($B718,bedrooms,FALSE)),FALSE))</f>
        <v>2894</v>
      </c>
      <c r="BA718" s="3"/>
      <c r="BB718" s="3"/>
      <c r="BC718" s="3"/>
      <c r="BD718" s="3"/>
      <c r="BE718" s="204"/>
      <c r="BF718" s="293">
        <f t="shared" ref="BF718:BF752" si="10">G718</f>
        <v>2</v>
      </c>
      <c r="BG718" s="297">
        <f t="shared" ref="BG718:BG752" si="11">IF($BF$753=0,0,BF718/$BF$753)</f>
        <v>2.5974025974025976E-2</v>
      </c>
      <c r="BH718" s="298">
        <f t="shared" ref="BH718:BH752" si="12">IF(BG718=0,"",BG718*AC718)</f>
        <v>7.7922077922077922E-3</v>
      </c>
      <c r="BI718" s="3"/>
      <c r="BJ718" s="3"/>
      <c r="BK718" s="3"/>
      <c r="BL718" s="3"/>
      <c r="BM718" s="3"/>
      <c r="BN718" s="3"/>
      <c r="BS718" s="293">
        <f t="shared" ref="BS718:BS752" si="13">G718</f>
        <v>2</v>
      </c>
      <c r="BT718" s="297">
        <f t="shared" ref="BT718:BT752" si="14">IF($BS$753=0,0,BS718/$BS$753)</f>
        <v>2.5974025974025976E-2</v>
      </c>
      <c r="BU718" s="298">
        <f t="shared" ref="BU718:BU752" si="15">IF(BT718=0,"",BT718*AH718)</f>
        <v>7.790412766224792E-3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2</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2</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796</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25" customHeight="1">
      <c r="A719" s="4"/>
      <c r="B719" s="1355" t="s">
        <v>324</v>
      </c>
      <c r="C719" s="1356"/>
      <c r="D719" s="1356"/>
      <c r="E719" s="1356"/>
      <c r="F719" s="1357"/>
      <c r="G719" s="1364">
        <v>4</v>
      </c>
      <c r="H719" s="1365">
        <f>12-H718-H720-H721</f>
        <v>3</v>
      </c>
      <c r="I719" s="1365">
        <f>12-I718-I720-I721</f>
        <v>3</v>
      </c>
      <c r="J719" s="1366">
        <f>12-J718-J720-J721</f>
        <v>3</v>
      </c>
      <c r="K719" s="1603">
        <v>450</v>
      </c>
      <c r="L719" s="1604"/>
      <c r="M719" s="1604"/>
      <c r="N719" s="1605"/>
      <c r="O719" s="1468">
        <v>1375</v>
      </c>
      <c r="P719" s="1469"/>
      <c r="Q719" s="1469"/>
      <c r="R719" s="1469"/>
      <c r="S719" s="1470"/>
      <c r="T719" s="1468">
        <v>72</v>
      </c>
      <c r="U719" s="1469"/>
      <c r="V719" s="1469"/>
      <c r="W719" s="1470"/>
      <c r="X719" s="1358">
        <f t="shared" si="8"/>
        <v>1447</v>
      </c>
      <c r="Y719" s="1359"/>
      <c r="Z719" s="1359"/>
      <c r="AA719" s="1359"/>
      <c r="AB719" s="1360"/>
      <c r="AC719" s="1612">
        <v>0.5</v>
      </c>
      <c r="AD719" s="1613"/>
      <c r="AE719" s="1613"/>
      <c r="AF719" s="1613"/>
      <c r="AG719" s="1614"/>
      <c r="AH719" s="1361">
        <f t="shared" ref="AH719:AH752" si="36">IF($AC719&gt;0,($X719/$AZ719), "")</f>
        <v>0.5</v>
      </c>
      <c r="AI719" s="1362"/>
      <c r="AJ719" s="1363"/>
      <c r="AK719" s="1355" t="s">
        <v>592</v>
      </c>
      <c r="AL719" s="1356"/>
      <c r="AM719" s="1356"/>
      <c r="AN719" s="1356"/>
      <c r="AO719" s="1357"/>
      <c r="AP719" s="3"/>
      <c r="AQ719" s="3"/>
      <c r="AR719" s="3"/>
      <c r="AS719" s="3"/>
      <c r="AZ719" s="118">
        <f t="shared" si="9"/>
        <v>2894</v>
      </c>
      <c r="BA719" s="3"/>
      <c r="BB719" s="3"/>
      <c r="BC719" s="3"/>
      <c r="BD719" s="3"/>
      <c r="BE719" s="204"/>
      <c r="BF719" s="294">
        <f t="shared" si="10"/>
        <v>4</v>
      </c>
      <c r="BG719" s="297">
        <f t="shared" si="11"/>
        <v>5.1948051948051951E-2</v>
      </c>
      <c r="BH719" s="298">
        <f t="shared" si="12"/>
        <v>2.5974025974025976E-2</v>
      </c>
      <c r="BI719" s="3"/>
      <c r="BJ719" s="3"/>
      <c r="BK719" s="3"/>
      <c r="BL719" s="3"/>
      <c r="BM719" s="3"/>
      <c r="BN719" s="3"/>
      <c r="BS719" s="294">
        <f t="shared" si="13"/>
        <v>4</v>
      </c>
      <c r="BT719" s="297">
        <f t="shared" si="14"/>
        <v>5.1948051948051951E-2</v>
      </c>
      <c r="BU719" s="298">
        <f t="shared" si="15"/>
        <v>2.5974025974025976E-2</v>
      </c>
      <c r="CC719" s="3"/>
      <c r="CD719" s="3"/>
      <c r="CE719" s="3"/>
      <c r="CF719" s="3"/>
      <c r="CG719" s="1351">
        <f t="shared" ref="CG719:CG752" si="37">IF(AND(AC719&lt;=0.5,AC719&gt;=0.36),1,0)</f>
        <v>1</v>
      </c>
      <c r="CH719" s="1353"/>
      <c r="CI719" s="1335">
        <f t="shared" ref="CI719:CI752" si="38">IF(CG719=1,G719,0)</f>
        <v>4</v>
      </c>
      <c r="CJ719" s="1337"/>
      <c r="CK719" s="1351">
        <f t="shared" si="16"/>
        <v>0</v>
      </c>
      <c r="CL719" s="1353"/>
      <c r="CM719" s="1335">
        <f t="shared" si="17"/>
        <v>0</v>
      </c>
      <c r="CN719" s="1337"/>
      <c r="CO719" s="3"/>
      <c r="CP719" s="1332">
        <f t="shared" si="18"/>
        <v>4</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1375</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25" customHeight="1">
      <c r="A720" s="4"/>
      <c r="B720" s="1355" t="s">
        <v>324</v>
      </c>
      <c r="C720" s="1356"/>
      <c r="D720" s="1356"/>
      <c r="E720" s="1356"/>
      <c r="F720" s="1357"/>
      <c r="G720" s="1364">
        <v>6</v>
      </c>
      <c r="H720" s="1365">
        <v>6</v>
      </c>
      <c r="I720" s="1365">
        <v>6</v>
      </c>
      <c r="J720" s="1366">
        <v>6</v>
      </c>
      <c r="K720" s="1603">
        <v>450</v>
      </c>
      <c r="L720" s="1604"/>
      <c r="M720" s="1604"/>
      <c r="N720" s="1605"/>
      <c r="O720" s="1468">
        <v>2243</v>
      </c>
      <c r="P720" s="1469"/>
      <c r="Q720" s="1469"/>
      <c r="R720" s="1469"/>
      <c r="S720" s="1470"/>
      <c r="T720" s="1468">
        <v>72</v>
      </c>
      <c r="U720" s="1469"/>
      <c r="V720" s="1469"/>
      <c r="W720" s="1470"/>
      <c r="X720" s="1358">
        <f t="shared" si="8"/>
        <v>2315</v>
      </c>
      <c r="Y720" s="1359"/>
      <c r="Z720" s="1359"/>
      <c r="AA720" s="1359"/>
      <c r="AB720" s="1360"/>
      <c r="AC720" s="1612">
        <v>0.8</v>
      </c>
      <c r="AD720" s="1613"/>
      <c r="AE720" s="1613"/>
      <c r="AF720" s="1613"/>
      <c r="AG720" s="1614"/>
      <c r="AH720" s="1361">
        <f t="shared" si="36"/>
        <v>0.79993089149965446</v>
      </c>
      <c r="AI720" s="1362"/>
      <c r="AJ720" s="1363"/>
      <c r="AK720" s="1355" t="s">
        <v>592</v>
      </c>
      <c r="AL720" s="1356"/>
      <c r="AM720" s="1356"/>
      <c r="AN720" s="1356"/>
      <c r="AO720" s="1357"/>
      <c r="AP720" s="3"/>
      <c r="AQ720" s="3"/>
      <c r="AR720" s="3"/>
      <c r="AS720" s="3"/>
      <c r="AZ720" s="118">
        <f t="shared" si="9"/>
        <v>2894</v>
      </c>
      <c r="BA720" s="3"/>
      <c r="BB720" s="3"/>
      <c r="BC720" s="3"/>
      <c r="BD720" s="3"/>
      <c r="BE720" s="204"/>
      <c r="BF720" s="294">
        <f t="shared" si="10"/>
        <v>6</v>
      </c>
      <c r="BG720" s="297">
        <f t="shared" si="11"/>
        <v>7.792207792207792E-2</v>
      </c>
      <c r="BH720" s="298">
        <f t="shared" si="12"/>
        <v>6.2337662337662338E-2</v>
      </c>
      <c r="BI720" s="3"/>
      <c r="BJ720" s="3"/>
      <c r="BK720" s="3"/>
      <c r="BL720" s="3"/>
      <c r="BM720" s="3"/>
      <c r="BN720" s="3"/>
      <c r="BS720" s="294">
        <f t="shared" si="13"/>
        <v>6</v>
      </c>
      <c r="BT720" s="297">
        <f t="shared" si="14"/>
        <v>7.792207792207792E-2</v>
      </c>
      <c r="BU720" s="298">
        <f t="shared" si="15"/>
        <v>6.2332277259713333E-2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6</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2243</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25" customHeight="1">
      <c r="B721" s="1355" t="s">
        <v>325</v>
      </c>
      <c r="C721" s="1356"/>
      <c r="D721" s="1356"/>
      <c r="E721" s="1356"/>
      <c r="F721" s="1357"/>
      <c r="G721" s="1364">
        <v>3</v>
      </c>
      <c r="H721" s="1365">
        <v>3</v>
      </c>
      <c r="I721" s="1365">
        <v>3</v>
      </c>
      <c r="J721" s="1366">
        <v>3</v>
      </c>
      <c r="K721" s="1603">
        <v>600</v>
      </c>
      <c r="L721" s="1604"/>
      <c r="M721" s="1604"/>
      <c r="N721" s="1605"/>
      <c r="O721" s="1468">
        <v>844</v>
      </c>
      <c r="P721" s="1469"/>
      <c r="Q721" s="1469"/>
      <c r="R721" s="1469"/>
      <c r="S721" s="1470"/>
      <c r="T721" s="1468">
        <v>86</v>
      </c>
      <c r="U721" s="1469"/>
      <c r="V721" s="1469"/>
      <c r="W721" s="1470"/>
      <c r="X721" s="1358">
        <f t="shared" si="8"/>
        <v>930</v>
      </c>
      <c r="Y721" s="1359"/>
      <c r="Z721" s="1359"/>
      <c r="AA721" s="1359"/>
      <c r="AB721" s="1360"/>
      <c r="AC721" s="1612">
        <v>0.3</v>
      </c>
      <c r="AD721" s="1613"/>
      <c r="AE721" s="1613"/>
      <c r="AF721" s="1613"/>
      <c r="AG721" s="1614"/>
      <c r="AH721" s="1361">
        <f t="shared" si="36"/>
        <v>0.3</v>
      </c>
      <c r="AI721" s="1362"/>
      <c r="AJ721" s="1363"/>
      <c r="AK721" s="1355" t="s">
        <v>592</v>
      </c>
      <c r="AL721" s="1356"/>
      <c r="AM721" s="1356"/>
      <c r="AN721" s="1356"/>
      <c r="AO721" s="1357"/>
      <c r="AP721" s="3"/>
      <c r="AQ721" s="3"/>
      <c r="AR721" s="3"/>
      <c r="AS721" s="3"/>
      <c r="AY721" s="116"/>
      <c r="AZ721" s="118">
        <f t="shared" si="9"/>
        <v>3100</v>
      </c>
      <c r="BA721" s="3"/>
      <c r="BB721" s="3"/>
      <c r="BC721" s="3"/>
      <c r="BD721" s="3"/>
      <c r="BE721" s="204"/>
      <c r="BF721" s="294">
        <f t="shared" si="10"/>
        <v>3</v>
      </c>
      <c r="BG721" s="297">
        <f t="shared" si="11"/>
        <v>3.896103896103896E-2</v>
      </c>
      <c r="BH721" s="298">
        <f t="shared" si="12"/>
        <v>1.1688311688311687E-2</v>
      </c>
      <c r="BI721" s="3"/>
      <c r="BJ721" s="3"/>
      <c r="BK721" s="3"/>
      <c r="BL721" s="3"/>
      <c r="BM721" s="3"/>
      <c r="BN721" s="3"/>
      <c r="BS721" s="294">
        <f t="shared" si="13"/>
        <v>3</v>
      </c>
      <c r="BT721" s="297">
        <f t="shared" si="14"/>
        <v>3.896103896103896E-2</v>
      </c>
      <c r="BU721" s="298">
        <f t="shared" si="15"/>
        <v>1.1688311688311687E-2</v>
      </c>
      <c r="CC721" s="3"/>
      <c r="CD721" s="3"/>
      <c r="CE721" s="3"/>
      <c r="CF721" s="3"/>
      <c r="CG721" s="1351">
        <f t="shared" si="37"/>
        <v>0</v>
      </c>
      <c r="CH721" s="1353"/>
      <c r="CI721" s="1335">
        <f t="shared" si="38"/>
        <v>0</v>
      </c>
      <c r="CJ721" s="1337"/>
      <c r="CK721" s="1351">
        <f t="shared" si="16"/>
        <v>1</v>
      </c>
      <c r="CL721" s="1353"/>
      <c r="CM721" s="1335">
        <f t="shared" si="17"/>
        <v>3</v>
      </c>
      <c r="CN721" s="1337"/>
      <c r="CO721" s="3"/>
      <c r="CP721" s="1332">
        <f t="shared" si="18"/>
        <v>0</v>
      </c>
      <c r="CQ721" s="1333"/>
      <c r="CR721" s="1333"/>
      <c r="CS721" s="1333"/>
      <c r="CT721" s="1334"/>
      <c r="CU721" s="1354">
        <f t="shared" si="19"/>
        <v>3</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3</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844</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25" customHeight="1">
      <c r="B722" s="1355" t="s">
        <v>325</v>
      </c>
      <c r="C722" s="1356"/>
      <c r="D722" s="1356"/>
      <c r="E722" s="1356"/>
      <c r="F722" s="1357"/>
      <c r="G722" s="1364">
        <v>12</v>
      </c>
      <c r="H722" s="1365">
        <f>30-H721-H723-H724-H733</f>
        <v>13</v>
      </c>
      <c r="I722" s="1365">
        <f>30-I721-I723-I724-I733</f>
        <v>13</v>
      </c>
      <c r="J722" s="1366">
        <f>30-J721-J723-J724-J733</f>
        <v>13</v>
      </c>
      <c r="K722" s="1603">
        <v>600</v>
      </c>
      <c r="L722" s="1604"/>
      <c r="M722" s="1604"/>
      <c r="N722" s="1605"/>
      <c r="O722" s="1468">
        <v>1464</v>
      </c>
      <c r="P722" s="1469"/>
      <c r="Q722" s="1469"/>
      <c r="R722" s="1469"/>
      <c r="S722" s="1470"/>
      <c r="T722" s="1468">
        <v>86</v>
      </c>
      <c r="U722" s="1469"/>
      <c r="V722" s="1469"/>
      <c r="W722" s="1470"/>
      <c r="X722" s="1358">
        <f t="shared" si="8"/>
        <v>1550</v>
      </c>
      <c r="Y722" s="1359"/>
      <c r="Z722" s="1359"/>
      <c r="AA722" s="1359"/>
      <c r="AB722" s="1360"/>
      <c r="AC722" s="1612">
        <v>0.5</v>
      </c>
      <c r="AD722" s="1613"/>
      <c r="AE722" s="1613"/>
      <c r="AF722" s="1613"/>
      <c r="AG722" s="1614"/>
      <c r="AH722" s="1361">
        <f t="shared" si="36"/>
        <v>0.5</v>
      </c>
      <c r="AI722" s="1362"/>
      <c r="AJ722" s="1363"/>
      <c r="AK722" s="1355" t="s">
        <v>592</v>
      </c>
      <c r="AL722" s="1356"/>
      <c r="AM722" s="1356"/>
      <c r="AN722" s="1356"/>
      <c r="AO722" s="1357"/>
      <c r="AP722" s="3"/>
      <c r="AQ722" s="3"/>
      <c r="AR722" s="3"/>
      <c r="AS722" s="3"/>
      <c r="AY722" s="116"/>
      <c r="AZ722" s="118">
        <f t="shared" si="9"/>
        <v>3100</v>
      </c>
      <c r="BA722" s="3"/>
      <c r="BB722" s="3"/>
      <c r="BC722" s="3"/>
      <c r="BD722" s="3"/>
      <c r="BE722" s="204"/>
      <c r="BF722" s="294">
        <f t="shared" si="10"/>
        <v>12</v>
      </c>
      <c r="BG722" s="297">
        <f t="shared" si="11"/>
        <v>0.15584415584415584</v>
      </c>
      <c r="BH722" s="298">
        <f t="shared" si="12"/>
        <v>7.792207792207792E-2</v>
      </c>
      <c r="BI722" s="3"/>
      <c r="BJ722" s="3"/>
      <c r="BK722" s="3"/>
      <c r="BL722" s="3"/>
      <c r="BM722" s="3"/>
      <c r="BN722" s="3"/>
      <c r="BS722" s="294">
        <f t="shared" si="13"/>
        <v>12</v>
      </c>
      <c r="BT722" s="297">
        <f t="shared" si="14"/>
        <v>0.15584415584415584</v>
      </c>
      <c r="BU722" s="298">
        <f t="shared" si="15"/>
        <v>7.792207792207792E-2</v>
      </c>
      <c r="CC722" s="3"/>
      <c r="CD722" s="3"/>
      <c r="CE722" s="3"/>
      <c r="CF722" s="3"/>
      <c r="CG722" s="1351">
        <f t="shared" si="37"/>
        <v>1</v>
      </c>
      <c r="CH722" s="1353"/>
      <c r="CI722" s="1335">
        <f t="shared" si="38"/>
        <v>12</v>
      </c>
      <c r="CJ722" s="1337"/>
      <c r="CK722" s="1351">
        <f t="shared" si="16"/>
        <v>0</v>
      </c>
      <c r="CL722" s="1353"/>
      <c r="CM722" s="1335">
        <f t="shared" si="17"/>
        <v>0</v>
      </c>
      <c r="CN722" s="1337"/>
      <c r="CO722" s="3"/>
      <c r="CP722" s="1332">
        <f t="shared" si="18"/>
        <v>0</v>
      </c>
      <c r="CQ722" s="1333"/>
      <c r="CR722" s="1333"/>
      <c r="CS722" s="1333"/>
      <c r="CT722" s="1334"/>
      <c r="CU722" s="1354">
        <f t="shared" si="19"/>
        <v>12</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1464</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25" customHeight="1">
      <c r="B723" s="1355" t="s">
        <v>325</v>
      </c>
      <c r="C723" s="1356"/>
      <c r="D723" s="1356"/>
      <c r="E723" s="1356"/>
      <c r="F723" s="1357"/>
      <c r="G723" s="1364">
        <v>2</v>
      </c>
      <c r="H723" s="1365">
        <v>2</v>
      </c>
      <c r="I723" s="1365">
        <v>2</v>
      </c>
      <c r="J723" s="1366">
        <v>2</v>
      </c>
      <c r="K723" s="1603">
        <v>600</v>
      </c>
      <c r="L723" s="1604"/>
      <c r="M723" s="1604"/>
      <c r="N723" s="1605"/>
      <c r="O723" s="1468">
        <v>1774</v>
      </c>
      <c r="P723" s="1469"/>
      <c r="Q723" s="1469"/>
      <c r="R723" s="1469"/>
      <c r="S723" s="1470"/>
      <c r="T723" s="1468">
        <v>86</v>
      </c>
      <c r="U723" s="1469"/>
      <c r="V723" s="1469"/>
      <c r="W723" s="1470"/>
      <c r="X723" s="1358">
        <f t="shared" si="8"/>
        <v>1860</v>
      </c>
      <c r="Y723" s="1359"/>
      <c r="Z723" s="1359"/>
      <c r="AA723" s="1359"/>
      <c r="AB723" s="1360"/>
      <c r="AC723" s="1612">
        <v>0.6</v>
      </c>
      <c r="AD723" s="1613"/>
      <c r="AE723" s="1613"/>
      <c r="AF723" s="1613"/>
      <c r="AG723" s="1614"/>
      <c r="AH723" s="1361">
        <f t="shared" si="36"/>
        <v>0.6</v>
      </c>
      <c r="AI723" s="1362"/>
      <c r="AJ723" s="1363"/>
      <c r="AK723" s="1355" t="s">
        <v>592</v>
      </c>
      <c r="AL723" s="1356"/>
      <c r="AM723" s="1356"/>
      <c r="AN723" s="1356"/>
      <c r="AO723" s="1357"/>
      <c r="AP723" s="3"/>
      <c r="AQ723" s="3"/>
      <c r="AR723" s="3"/>
      <c r="AS723" s="3"/>
      <c r="AY723" s="116"/>
      <c r="AZ723" s="118">
        <f t="shared" si="9"/>
        <v>3100</v>
      </c>
      <c r="BA723" s="3"/>
      <c r="BB723" s="3"/>
      <c r="BC723" s="3"/>
      <c r="BD723" s="3"/>
      <c r="BE723" s="204"/>
      <c r="BF723" s="294">
        <f t="shared" si="10"/>
        <v>2</v>
      </c>
      <c r="BG723" s="297">
        <f t="shared" si="11"/>
        <v>2.5974025974025976E-2</v>
      </c>
      <c r="BH723" s="298">
        <f t="shared" si="12"/>
        <v>1.5584415584415584E-2</v>
      </c>
      <c r="BI723" s="3"/>
      <c r="BJ723" s="3"/>
      <c r="BK723" s="3"/>
      <c r="BL723" s="3"/>
      <c r="BM723" s="3"/>
      <c r="BN723" s="3"/>
      <c r="BS723" s="294">
        <f t="shared" si="13"/>
        <v>2</v>
      </c>
      <c r="BT723" s="297">
        <f t="shared" si="14"/>
        <v>2.5974025974025976E-2</v>
      </c>
      <c r="BU723" s="298">
        <f t="shared" si="15"/>
        <v>1.5584415584415584E-2</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2</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1774</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25" customHeight="1">
      <c r="B724" s="1355" t="s">
        <v>325</v>
      </c>
      <c r="C724" s="1356"/>
      <c r="D724" s="1356"/>
      <c r="E724" s="1356"/>
      <c r="F724" s="1357"/>
      <c r="G724" s="1364">
        <v>12</v>
      </c>
      <c r="H724" s="1365">
        <v>12</v>
      </c>
      <c r="I724" s="1365">
        <v>12</v>
      </c>
      <c r="J724" s="1366">
        <v>12</v>
      </c>
      <c r="K724" s="1603">
        <v>600</v>
      </c>
      <c r="L724" s="1604"/>
      <c r="M724" s="1604"/>
      <c r="N724" s="1605"/>
      <c r="O724" s="1468">
        <v>2394</v>
      </c>
      <c r="P724" s="1469"/>
      <c r="Q724" s="1469"/>
      <c r="R724" s="1469"/>
      <c r="S724" s="1470"/>
      <c r="T724" s="1468">
        <v>86</v>
      </c>
      <c r="U724" s="1469"/>
      <c r="V724" s="1469"/>
      <c r="W724" s="1470"/>
      <c r="X724" s="1358">
        <f t="shared" si="8"/>
        <v>2480</v>
      </c>
      <c r="Y724" s="1359"/>
      <c r="Z724" s="1359"/>
      <c r="AA724" s="1359"/>
      <c r="AB724" s="1360"/>
      <c r="AC724" s="1612">
        <v>0.8</v>
      </c>
      <c r="AD724" s="1613"/>
      <c r="AE724" s="1613"/>
      <c r="AF724" s="1613"/>
      <c r="AG724" s="1614"/>
      <c r="AH724" s="1361">
        <f t="shared" si="36"/>
        <v>0.8</v>
      </c>
      <c r="AI724" s="1362"/>
      <c r="AJ724" s="1363"/>
      <c r="AK724" s="1355" t="s">
        <v>592</v>
      </c>
      <c r="AL724" s="1356"/>
      <c r="AM724" s="1356"/>
      <c r="AN724" s="1356"/>
      <c r="AO724" s="1357"/>
      <c r="AP724" s="3"/>
      <c r="AQ724" s="3"/>
      <c r="AR724" s="3"/>
      <c r="AS724" s="3"/>
      <c r="AY724" s="116"/>
      <c r="AZ724" s="118">
        <f t="shared" si="9"/>
        <v>3100</v>
      </c>
      <c r="BA724" s="3"/>
      <c r="BB724" s="3"/>
      <c r="BC724" s="3"/>
      <c r="BD724" s="3"/>
      <c r="BE724" s="204"/>
      <c r="BF724" s="294">
        <f t="shared" si="10"/>
        <v>12</v>
      </c>
      <c r="BG724" s="297">
        <f t="shared" si="11"/>
        <v>0.15584415584415584</v>
      </c>
      <c r="BH724" s="298">
        <f t="shared" si="12"/>
        <v>0.12467532467532468</v>
      </c>
      <c r="BI724" s="3"/>
      <c r="BJ724" s="3"/>
      <c r="BK724" s="3"/>
      <c r="BL724" s="3"/>
      <c r="BM724" s="3"/>
      <c r="BN724" s="3"/>
      <c r="BS724" s="294">
        <f t="shared" si="13"/>
        <v>12</v>
      </c>
      <c r="BT724" s="297">
        <f t="shared" si="14"/>
        <v>0.15584415584415584</v>
      </c>
      <c r="BU724" s="298">
        <f t="shared" si="15"/>
        <v>0.12467532467532468</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12</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f t="shared" si="31"/>
        <v>2394</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25" customHeight="1">
      <c r="B725" s="1355" t="s">
        <v>163</v>
      </c>
      <c r="C725" s="1356"/>
      <c r="D725" s="1356"/>
      <c r="E725" s="1356"/>
      <c r="F725" s="1357"/>
      <c r="G725" s="1364">
        <v>2</v>
      </c>
      <c r="H725" s="1365">
        <v>2</v>
      </c>
      <c r="I725" s="1365">
        <v>2</v>
      </c>
      <c r="J725" s="1366">
        <v>2</v>
      </c>
      <c r="K725" s="1603">
        <v>825</v>
      </c>
      <c r="L725" s="1604"/>
      <c r="M725" s="1604"/>
      <c r="N725" s="1605"/>
      <c r="O725" s="1468">
        <v>1003</v>
      </c>
      <c r="P725" s="1469"/>
      <c r="Q725" s="1469"/>
      <c r="R725" s="1469"/>
      <c r="S725" s="1470"/>
      <c r="T725" s="1468">
        <v>114</v>
      </c>
      <c r="U725" s="1469"/>
      <c r="V725" s="1469"/>
      <c r="W725" s="1470"/>
      <c r="X725" s="1358">
        <f t="shared" si="8"/>
        <v>1117</v>
      </c>
      <c r="Y725" s="1359"/>
      <c r="Z725" s="1359"/>
      <c r="AA725" s="1359"/>
      <c r="AB725" s="1360"/>
      <c r="AC725" s="1612">
        <v>0.3</v>
      </c>
      <c r="AD725" s="1613"/>
      <c r="AE725" s="1613"/>
      <c r="AF725" s="1613"/>
      <c r="AG725" s="1614"/>
      <c r="AH725" s="1361">
        <f t="shared" si="36"/>
        <v>0.30010746910263297</v>
      </c>
      <c r="AI725" s="1362"/>
      <c r="AJ725" s="1363"/>
      <c r="AK725" s="1355" t="s">
        <v>592</v>
      </c>
      <c r="AL725" s="1356"/>
      <c r="AM725" s="1356"/>
      <c r="AN725" s="1356"/>
      <c r="AO725" s="1357"/>
      <c r="AP725" s="3"/>
      <c r="AQ725" s="3"/>
      <c r="AR725" s="3"/>
      <c r="AS725" s="3"/>
      <c r="AY725" s="1085"/>
      <c r="AZ725" s="118">
        <f t="shared" si="9"/>
        <v>3722</v>
      </c>
      <c r="BA725" s="3"/>
      <c r="BB725" s="3"/>
      <c r="BC725" s="3"/>
      <c r="BD725" s="3"/>
      <c r="BE725" s="204"/>
      <c r="BF725" s="294">
        <f t="shared" si="10"/>
        <v>2</v>
      </c>
      <c r="BG725" s="297">
        <f t="shared" si="11"/>
        <v>2.5974025974025976E-2</v>
      </c>
      <c r="BH725" s="298">
        <f t="shared" si="12"/>
        <v>7.7922077922077922E-3</v>
      </c>
      <c r="BI725" s="3"/>
      <c r="BJ725" s="3"/>
      <c r="BK725" s="3"/>
      <c r="BL725" s="3"/>
      <c r="BM725" s="3"/>
      <c r="BN725" s="3"/>
      <c r="BS725" s="294">
        <f t="shared" si="13"/>
        <v>2</v>
      </c>
      <c r="BT725" s="297">
        <f t="shared" si="14"/>
        <v>2.5974025974025976E-2</v>
      </c>
      <c r="BU725" s="298">
        <f t="shared" si="15"/>
        <v>7.794999197470987E-3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2</v>
      </c>
      <c r="CN725" s="1337"/>
      <c r="CO725" s="3"/>
      <c r="CP725" s="1332">
        <f t="shared" si="18"/>
        <v>0</v>
      </c>
      <c r="CQ725" s="1333"/>
      <c r="CR725" s="1333"/>
      <c r="CS725" s="1333"/>
      <c r="CT725" s="1334"/>
      <c r="CU725" s="1354">
        <f t="shared" si="19"/>
        <v>0</v>
      </c>
      <c r="CV725" s="1354"/>
      <c r="CW725" s="1354"/>
      <c r="CX725" s="1354"/>
      <c r="CY725" s="1354"/>
      <c r="CZ725" s="1354">
        <f t="shared" si="20"/>
        <v>2</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2</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1003</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25" customHeight="1">
      <c r="B726" s="1355" t="s">
        <v>163</v>
      </c>
      <c r="C726" s="1356"/>
      <c r="D726" s="1356"/>
      <c r="E726" s="1356"/>
      <c r="F726" s="1357"/>
      <c r="G726" s="1364">
        <v>16</v>
      </c>
      <c r="H726" s="1365">
        <f>18-H725-H727-H728</f>
        <v>11</v>
      </c>
      <c r="I726" s="1365">
        <f>18-I725-I727-I728</f>
        <v>11</v>
      </c>
      <c r="J726" s="1366">
        <f>18-J725-J727-J728</f>
        <v>11</v>
      </c>
      <c r="K726" s="1603">
        <v>825</v>
      </c>
      <c r="L726" s="1604"/>
      <c r="M726" s="1604"/>
      <c r="N726" s="1605"/>
      <c r="O726" s="1468">
        <v>1747</v>
      </c>
      <c r="P726" s="1469"/>
      <c r="Q726" s="1469"/>
      <c r="R726" s="1469"/>
      <c r="S726" s="1470"/>
      <c r="T726" s="1468">
        <v>114</v>
      </c>
      <c r="U726" s="1469"/>
      <c r="V726" s="1469"/>
      <c r="W726" s="1470"/>
      <c r="X726" s="1358">
        <f t="shared" si="8"/>
        <v>1861</v>
      </c>
      <c r="Y726" s="1359"/>
      <c r="Z726" s="1359"/>
      <c r="AA726" s="1359"/>
      <c r="AB726" s="1360"/>
      <c r="AC726" s="1612">
        <v>0.5</v>
      </c>
      <c r="AD726" s="1613"/>
      <c r="AE726" s="1613"/>
      <c r="AF726" s="1613"/>
      <c r="AG726" s="1614"/>
      <c r="AH726" s="1361">
        <f t="shared" si="36"/>
        <v>0.5</v>
      </c>
      <c r="AI726" s="1362"/>
      <c r="AJ726" s="1363"/>
      <c r="AK726" s="1355" t="s">
        <v>592</v>
      </c>
      <c r="AL726" s="1356"/>
      <c r="AM726" s="1356"/>
      <c r="AN726" s="1356"/>
      <c r="AO726" s="1357"/>
      <c r="AP726" s="3"/>
      <c r="AQ726" s="3"/>
      <c r="AR726" s="3"/>
      <c r="AS726" s="3"/>
      <c r="AY726" s="1085"/>
      <c r="AZ726" s="118">
        <f t="shared" si="9"/>
        <v>3722</v>
      </c>
      <c r="BA726" s="3"/>
      <c r="BB726" s="3"/>
      <c r="BC726" s="3"/>
      <c r="BD726" s="3"/>
      <c r="BE726" s="204"/>
      <c r="BF726" s="294">
        <f t="shared" si="10"/>
        <v>16</v>
      </c>
      <c r="BG726" s="297">
        <f t="shared" si="11"/>
        <v>0.20779220779220781</v>
      </c>
      <c r="BH726" s="298">
        <f t="shared" si="12"/>
        <v>0.1038961038961039</v>
      </c>
      <c r="BI726" s="3"/>
      <c r="BJ726" s="3"/>
      <c r="BK726" s="3"/>
      <c r="BL726" s="3"/>
      <c r="BM726" s="3"/>
      <c r="BN726" s="3"/>
      <c r="BS726" s="294">
        <f t="shared" si="13"/>
        <v>16</v>
      </c>
      <c r="BT726" s="297">
        <f t="shared" si="14"/>
        <v>0.20779220779220781</v>
      </c>
      <c r="BU726" s="298">
        <f t="shared" si="15"/>
        <v>0.1038961038961039</v>
      </c>
      <c r="BV726" s="3"/>
      <c r="BW726" s="3"/>
      <c r="BX726" s="3"/>
      <c r="BY726" s="3"/>
      <c r="BZ726" s="3"/>
      <c r="CA726" s="3"/>
      <c r="CB726" s="3"/>
      <c r="CC726" s="3"/>
      <c r="CE726" s="3"/>
      <c r="CF726" s="3"/>
      <c r="CG726" s="1351">
        <f t="shared" si="37"/>
        <v>1</v>
      </c>
      <c r="CH726" s="1353"/>
      <c r="CI726" s="1335">
        <f t="shared" si="38"/>
        <v>16</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16</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1747</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25" customHeight="1">
      <c r="A727" s="4"/>
      <c r="B727" s="1355" t="s">
        <v>164</v>
      </c>
      <c r="C727" s="1356"/>
      <c r="D727" s="1356"/>
      <c r="E727" s="1356"/>
      <c r="F727" s="1357"/>
      <c r="G727" s="1364">
        <v>2</v>
      </c>
      <c r="H727" s="1365">
        <v>2</v>
      </c>
      <c r="I727" s="1365">
        <v>2</v>
      </c>
      <c r="J727" s="1366">
        <v>2</v>
      </c>
      <c r="K727" s="1603">
        <v>1000</v>
      </c>
      <c r="L727" s="1604"/>
      <c r="M727" s="1604"/>
      <c r="N727" s="1605"/>
      <c r="O727" s="1468">
        <v>1144</v>
      </c>
      <c r="P727" s="1469"/>
      <c r="Q727" s="1469"/>
      <c r="R727" s="1469"/>
      <c r="S727" s="1470"/>
      <c r="T727" s="1468">
        <v>146</v>
      </c>
      <c r="U727" s="1469"/>
      <c r="V727" s="1469"/>
      <c r="W727" s="1470"/>
      <c r="X727" s="1358">
        <f t="shared" si="8"/>
        <v>1290</v>
      </c>
      <c r="Y727" s="1359"/>
      <c r="Z727" s="1359"/>
      <c r="AA727" s="1359"/>
      <c r="AB727" s="1360"/>
      <c r="AC727" s="1612">
        <v>0.3</v>
      </c>
      <c r="AD727" s="1613"/>
      <c r="AE727" s="1613"/>
      <c r="AF727" s="1613"/>
      <c r="AG727" s="1614"/>
      <c r="AH727" s="1361">
        <f t="shared" si="36"/>
        <v>0.3</v>
      </c>
      <c r="AI727" s="1362"/>
      <c r="AJ727" s="1363"/>
      <c r="AK727" s="1355" t="s">
        <v>592</v>
      </c>
      <c r="AL727" s="1356"/>
      <c r="AM727" s="1356"/>
      <c r="AN727" s="1356"/>
      <c r="AO727" s="1357"/>
      <c r="AP727" s="3"/>
      <c r="AQ727" s="3"/>
      <c r="AR727" s="3"/>
      <c r="AS727" s="3"/>
      <c r="AY727" s="1085"/>
      <c r="AZ727" s="118">
        <f t="shared" si="9"/>
        <v>4300</v>
      </c>
      <c r="BA727" s="3"/>
      <c r="BB727" s="3"/>
      <c r="BC727" s="3"/>
      <c r="BD727" s="3"/>
      <c r="BE727" s="204"/>
      <c r="BF727" s="294">
        <f t="shared" si="10"/>
        <v>2</v>
      </c>
      <c r="BG727" s="297">
        <f t="shared" si="11"/>
        <v>2.5974025974025976E-2</v>
      </c>
      <c r="BH727" s="298">
        <f t="shared" si="12"/>
        <v>7.7922077922077922E-3</v>
      </c>
      <c r="BI727" s="3"/>
      <c r="BJ727" s="3"/>
      <c r="BK727" s="3"/>
      <c r="BL727" s="3"/>
      <c r="BM727" s="3"/>
      <c r="BN727" s="3"/>
      <c r="BS727" s="294">
        <f t="shared" si="13"/>
        <v>2</v>
      </c>
      <c r="BT727" s="297">
        <f t="shared" si="14"/>
        <v>2.5974025974025976E-2</v>
      </c>
      <c r="BU727" s="298">
        <f t="shared" si="15"/>
        <v>7.7922077922077922E-3</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2</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2</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1144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25" customHeight="1">
      <c r="A728" s="4"/>
      <c r="B728" s="1355" t="s">
        <v>164</v>
      </c>
      <c r="C728" s="1356"/>
      <c r="D728" s="1356"/>
      <c r="E728" s="1356"/>
      <c r="F728" s="1357"/>
      <c r="G728" s="1364">
        <f>18-G727-G729-G730</f>
        <v>3</v>
      </c>
      <c r="H728" s="1365">
        <f>18-H727-H729-H730</f>
        <v>3</v>
      </c>
      <c r="I728" s="1365">
        <f>18-I727-I729-I730</f>
        <v>3</v>
      </c>
      <c r="J728" s="1366">
        <f>18-J727-J729-J730</f>
        <v>3</v>
      </c>
      <c r="K728" s="1603">
        <v>1000</v>
      </c>
      <c r="L728" s="1604"/>
      <c r="M728" s="1604"/>
      <c r="N728" s="1605"/>
      <c r="O728" s="1468">
        <v>2004</v>
      </c>
      <c r="P728" s="1469"/>
      <c r="Q728" s="1469"/>
      <c r="R728" s="1469"/>
      <c r="S728" s="1470"/>
      <c r="T728" s="1468">
        <v>146</v>
      </c>
      <c r="U728" s="1469"/>
      <c r="V728" s="1469"/>
      <c r="W728" s="1470"/>
      <c r="X728" s="1358">
        <f t="shared" si="8"/>
        <v>2150</v>
      </c>
      <c r="Y728" s="1359"/>
      <c r="Z728" s="1359"/>
      <c r="AA728" s="1359"/>
      <c r="AB728" s="1360"/>
      <c r="AC728" s="1612">
        <v>0.5</v>
      </c>
      <c r="AD728" s="1613"/>
      <c r="AE728" s="1613"/>
      <c r="AF728" s="1613"/>
      <c r="AG728" s="1614"/>
      <c r="AH728" s="1361">
        <f t="shared" si="36"/>
        <v>0.5</v>
      </c>
      <c r="AI728" s="1362"/>
      <c r="AJ728" s="1363"/>
      <c r="AK728" s="1355" t="s">
        <v>592</v>
      </c>
      <c r="AL728" s="1356"/>
      <c r="AM728" s="1356"/>
      <c r="AN728" s="1356"/>
      <c r="AO728" s="1357"/>
      <c r="AP728" s="3"/>
      <c r="AQ728" s="3"/>
      <c r="AR728" s="3"/>
      <c r="AS728" s="3"/>
      <c r="AY728" s="1085"/>
      <c r="AZ728" s="118">
        <f t="shared" si="9"/>
        <v>4300</v>
      </c>
      <c r="BA728" s="3"/>
      <c r="BB728" s="3"/>
      <c r="BC728" s="3"/>
      <c r="BD728" s="3"/>
      <c r="BE728" s="204"/>
      <c r="BF728" s="294">
        <f t="shared" si="10"/>
        <v>3</v>
      </c>
      <c r="BG728" s="297">
        <f t="shared" si="11"/>
        <v>3.896103896103896E-2</v>
      </c>
      <c r="BH728" s="298">
        <f t="shared" si="12"/>
        <v>1.948051948051948E-2</v>
      </c>
      <c r="BI728" s="3"/>
      <c r="BJ728" s="3"/>
      <c r="BK728" s="3"/>
      <c r="BL728" s="3"/>
      <c r="BM728" s="3"/>
      <c r="BN728" s="3"/>
      <c r="BS728" s="294">
        <f t="shared" si="13"/>
        <v>3</v>
      </c>
      <c r="BT728" s="297">
        <f t="shared" si="14"/>
        <v>3.896103896103896E-2</v>
      </c>
      <c r="BU728" s="298">
        <f t="shared" si="15"/>
        <v>1.948051948051948E-2</v>
      </c>
      <c r="BV728" s="3"/>
      <c r="BW728" s="3"/>
      <c r="BX728" s="3"/>
      <c r="BY728" s="3"/>
      <c r="BZ728" s="3"/>
      <c r="CA728" s="3"/>
      <c r="CB728" s="3"/>
      <c r="CC728" s="3"/>
      <c r="CE728" s="3"/>
      <c r="CF728" s="3"/>
      <c r="CG728" s="1351">
        <f t="shared" si="37"/>
        <v>1</v>
      </c>
      <c r="CH728" s="1353"/>
      <c r="CI728" s="1335">
        <f t="shared" si="38"/>
        <v>3</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3</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2004</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25" customHeight="1">
      <c r="A729" s="4"/>
      <c r="B729" s="1355" t="s">
        <v>164</v>
      </c>
      <c r="C729" s="1356"/>
      <c r="D729" s="1356"/>
      <c r="E729" s="1356"/>
      <c r="F729" s="1357"/>
      <c r="G729" s="1364">
        <v>5</v>
      </c>
      <c r="H729" s="1365">
        <v>5</v>
      </c>
      <c r="I729" s="1365">
        <v>5</v>
      </c>
      <c r="J729" s="1366">
        <v>5</v>
      </c>
      <c r="K729" s="1603">
        <v>1000</v>
      </c>
      <c r="L729" s="1604"/>
      <c r="M729" s="1604"/>
      <c r="N729" s="1605"/>
      <c r="O729" s="1468">
        <v>2434</v>
      </c>
      <c r="P729" s="1469"/>
      <c r="Q729" s="1469"/>
      <c r="R729" s="1469"/>
      <c r="S729" s="1470"/>
      <c r="T729" s="1468">
        <v>146</v>
      </c>
      <c r="U729" s="1469"/>
      <c r="V729" s="1469"/>
      <c r="W729" s="1470"/>
      <c r="X729" s="1358">
        <f t="shared" si="8"/>
        <v>2580</v>
      </c>
      <c r="Y729" s="1359"/>
      <c r="Z729" s="1359"/>
      <c r="AA729" s="1359"/>
      <c r="AB729" s="1360"/>
      <c r="AC729" s="1612">
        <v>0.6</v>
      </c>
      <c r="AD729" s="1613"/>
      <c r="AE729" s="1613"/>
      <c r="AF729" s="1613"/>
      <c r="AG729" s="1614"/>
      <c r="AH729" s="1361">
        <f t="shared" si="36"/>
        <v>0.6</v>
      </c>
      <c r="AI729" s="1362"/>
      <c r="AJ729" s="1363"/>
      <c r="AK729" s="1355" t="s">
        <v>592</v>
      </c>
      <c r="AL729" s="1356"/>
      <c r="AM729" s="1356"/>
      <c r="AN729" s="1356"/>
      <c r="AO729" s="1357"/>
      <c r="AP729" s="3"/>
      <c r="AQ729" s="3"/>
      <c r="AR729" s="3"/>
      <c r="AS729" s="3"/>
      <c r="AY729" s="1085"/>
      <c r="AZ729" s="118">
        <f t="shared" si="9"/>
        <v>4300</v>
      </c>
      <c r="BA729" s="3"/>
      <c r="BB729" s="3"/>
      <c r="BC729" s="3"/>
      <c r="BD729" s="3"/>
      <c r="BE729" s="204"/>
      <c r="BF729" s="294">
        <f t="shared" si="10"/>
        <v>5</v>
      </c>
      <c r="BG729" s="297">
        <f t="shared" si="11"/>
        <v>6.4935064935064929E-2</v>
      </c>
      <c r="BH729" s="298">
        <f t="shared" si="12"/>
        <v>3.8961038961038953E-2</v>
      </c>
      <c r="BI729" s="3"/>
      <c r="BJ729" s="3"/>
      <c r="BK729" s="3"/>
      <c r="BL729" s="3"/>
      <c r="BM729" s="3"/>
      <c r="BN729" s="3"/>
      <c r="BS729" s="294">
        <f t="shared" si="13"/>
        <v>5</v>
      </c>
      <c r="BT729" s="297">
        <f t="shared" si="14"/>
        <v>6.4935064935064929E-2</v>
      </c>
      <c r="BU729" s="298">
        <f t="shared" si="15"/>
        <v>3.8961038961038953E-2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5</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2434</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25" customHeight="1">
      <c r="B730" s="1355" t="s">
        <v>164</v>
      </c>
      <c r="C730" s="1356"/>
      <c r="D730" s="1356"/>
      <c r="E730" s="1356"/>
      <c r="F730" s="1357"/>
      <c r="G730" s="1364">
        <v>8</v>
      </c>
      <c r="H730" s="1365">
        <v>8</v>
      </c>
      <c r="I730" s="1365">
        <v>8</v>
      </c>
      <c r="J730" s="1366">
        <v>8</v>
      </c>
      <c r="K730" s="1603">
        <v>1000</v>
      </c>
      <c r="L730" s="1604"/>
      <c r="M730" s="1604"/>
      <c r="N730" s="1605"/>
      <c r="O730" s="1468">
        <v>3294</v>
      </c>
      <c r="P730" s="1469"/>
      <c r="Q730" s="1469"/>
      <c r="R730" s="1469"/>
      <c r="S730" s="1470"/>
      <c r="T730" s="1468">
        <v>146</v>
      </c>
      <c r="U730" s="1469"/>
      <c r="V730" s="1469"/>
      <c r="W730" s="1470"/>
      <c r="X730" s="1358">
        <f t="shared" si="8"/>
        <v>3440</v>
      </c>
      <c r="Y730" s="1359"/>
      <c r="Z730" s="1359"/>
      <c r="AA730" s="1359"/>
      <c r="AB730" s="1360"/>
      <c r="AC730" s="1612">
        <v>0.8</v>
      </c>
      <c r="AD730" s="1613"/>
      <c r="AE730" s="1613"/>
      <c r="AF730" s="1613"/>
      <c r="AG730" s="1614"/>
      <c r="AH730" s="1361">
        <f t="shared" si="36"/>
        <v>0.8</v>
      </c>
      <c r="AI730" s="1362"/>
      <c r="AJ730" s="1363"/>
      <c r="AK730" s="1355" t="s">
        <v>592</v>
      </c>
      <c r="AL730" s="1356"/>
      <c r="AM730" s="1356"/>
      <c r="AN730" s="1356"/>
      <c r="AO730" s="1357"/>
      <c r="AP730" s="3"/>
      <c r="AQ730" s="3"/>
      <c r="AR730" s="3"/>
      <c r="AS730" s="3"/>
      <c r="AY730" s="1085"/>
      <c r="AZ730" s="118">
        <f t="shared" si="9"/>
        <v>4300</v>
      </c>
      <c r="BA730" s="3"/>
      <c r="BB730" s="3"/>
      <c r="BC730" s="3"/>
      <c r="BD730" s="3"/>
      <c r="BE730" s="204"/>
      <c r="BF730" s="294">
        <f t="shared" si="10"/>
        <v>8</v>
      </c>
      <c r="BG730" s="297">
        <f t="shared" si="11"/>
        <v>0.1038961038961039</v>
      </c>
      <c r="BH730" s="298">
        <f t="shared" si="12"/>
        <v>8.3116883116883131E-2</v>
      </c>
      <c r="BI730" s="3"/>
      <c r="BJ730" s="3"/>
      <c r="BK730" s="3"/>
      <c r="BL730" s="3"/>
      <c r="BM730" s="3"/>
      <c r="BN730" s="3"/>
      <c r="BS730" s="294">
        <f t="shared" si="13"/>
        <v>8</v>
      </c>
      <c r="BT730" s="297">
        <f t="shared" si="14"/>
        <v>0.1038961038961039</v>
      </c>
      <c r="BU730" s="298">
        <f t="shared" si="15"/>
        <v>8.3116883116883131E-2</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8</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3294</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25" customHeight="1">
      <c r="B731" s="1355"/>
      <c r="C731" s="1356"/>
      <c r="D731" s="1356"/>
      <c r="E731" s="1356"/>
      <c r="F731" s="1357"/>
      <c r="G731" s="1364"/>
      <c r="H731" s="1365"/>
      <c r="I731" s="1365"/>
      <c r="J731" s="1366"/>
      <c r="K731" s="1603"/>
      <c r="L731" s="1604"/>
      <c r="M731" s="1604"/>
      <c r="N731" s="1605"/>
      <c r="O731" s="1468"/>
      <c r="P731" s="1469"/>
      <c r="Q731" s="1469"/>
      <c r="R731" s="1469"/>
      <c r="S731" s="1470"/>
      <c r="T731" s="1468"/>
      <c r="U731" s="1469"/>
      <c r="V731" s="1469"/>
      <c r="W731" s="1470"/>
      <c r="X731" s="1358">
        <f t="shared" si="8"/>
        <v>0</v>
      </c>
      <c r="Y731" s="1359"/>
      <c r="Z731" s="1359"/>
      <c r="AA731" s="1359"/>
      <c r="AB731" s="1360"/>
      <c r="AC731" s="1612"/>
      <c r="AD731" s="1613"/>
      <c r="AE731" s="1613"/>
      <c r="AF731" s="1613"/>
      <c r="AG731" s="1614"/>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25" customHeight="1">
      <c r="B732" s="1355"/>
      <c r="C732" s="1356"/>
      <c r="D732" s="1356"/>
      <c r="E732" s="1356"/>
      <c r="F732" s="1357"/>
      <c r="G732" s="1364"/>
      <c r="H732" s="1365"/>
      <c r="I732" s="1365"/>
      <c r="J732" s="1366"/>
      <c r="K732" s="1603"/>
      <c r="L732" s="1604"/>
      <c r="M732" s="1604"/>
      <c r="N732" s="1605"/>
      <c r="O732" s="1468"/>
      <c r="P732" s="1469"/>
      <c r="Q732" s="1469"/>
      <c r="R732" s="1469"/>
      <c r="S732" s="1470"/>
      <c r="T732" s="1468"/>
      <c r="U732" s="1469"/>
      <c r="V732" s="1469"/>
      <c r="W732" s="1470"/>
      <c r="X732" s="1358">
        <f t="shared" si="8"/>
        <v>0</v>
      </c>
      <c r="Y732" s="1359"/>
      <c r="Z732" s="1359"/>
      <c r="AA732" s="1359"/>
      <c r="AB732" s="1360"/>
      <c r="AC732" s="1612"/>
      <c r="AD732" s="1613"/>
      <c r="AE732" s="1613"/>
      <c r="AF732" s="1613"/>
      <c r="AG732" s="1614"/>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25" customHeight="1">
      <c r="B733" s="1355"/>
      <c r="C733" s="1356"/>
      <c r="D733" s="1356"/>
      <c r="E733" s="1356"/>
      <c r="F733" s="1357"/>
      <c r="G733" s="1364"/>
      <c r="H733" s="1365"/>
      <c r="I733" s="1365"/>
      <c r="J733" s="1366"/>
      <c r="K733" s="1603"/>
      <c r="L733" s="1604"/>
      <c r="M733" s="1604"/>
      <c r="N733" s="1605"/>
      <c r="O733" s="1468"/>
      <c r="P733" s="1469"/>
      <c r="Q733" s="1469"/>
      <c r="R733" s="1469"/>
      <c r="S733" s="1470"/>
      <c r="T733" s="1468"/>
      <c r="U733" s="1469"/>
      <c r="V733" s="1469"/>
      <c r="W733" s="1470"/>
      <c r="X733" s="1358">
        <f t="shared" si="8"/>
        <v>0</v>
      </c>
      <c r="Y733" s="1359"/>
      <c r="Z733" s="1359"/>
      <c r="AA733" s="1359"/>
      <c r="AB733" s="1360"/>
      <c r="AC733" s="1612"/>
      <c r="AD733" s="1613"/>
      <c r="AE733" s="1613"/>
      <c r="AF733" s="1613"/>
      <c r="AG733" s="1614"/>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25" customHeight="1">
      <c r="B734" s="1355"/>
      <c r="C734" s="1356"/>
      <c r="D734" s="1356"/>
      <c r="E734" s="1356"/>
      <c r="F734" s="1357"/>
      <c r="G734" s="1364"/>
      <c r="H734" s="1365"/>
      <c r="I734" s="1365"/>
      <c r="J734" s="1366"/>
      <c r="K734" s="1603"/>
      <c r="L734" s="1604"/>
      <c r="M734" s="1604"/>
      <c r="N734" s="1605"/>
      <c r="O734" s="1468"/>
      <c r="P734" s="1469"/>
      <c r="Q734" s="1469"/>
      <c r="R734" s="1469"/>
      <c r="S734" s="1470"/>
      <c r="T734" s="1468"/>
      <c r="U734" s="1469"/>
      <c r="V734" s="1469"/>
      <c r="W734" s="1470"/>
      <c r="X734" s="1358">
        <f t="shared" si="8"/>
        <v>0</v>
      </c>
      <c r="Y734" s="1359"/>
      <c r="Z734" s="1359"/>
      <c r="AA734" s="1359"/>
      <c r="AB734" s="1360"/>
      <c r="AC734" s="1612"/>
      <c r="AD734" s="1613"/>
      <c r="AE734" s="1613"/>
      <c r="AF734" s="1613"/>
      <c r="AG734" s="1614"/>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25" customHeight="1">
      <c r="B735" s="1355"/>
      <c r="C735" s="1356"/>
      <c r="D735" s="1356"/>
      <c r="E735" s="1356"/>
      <c r="F735" s="1357"/>
      <c r="G735" s="1364"/>
      <c r="H735" s="1365"/>
      <c r="I735" s="1365"/>
      <c r="J735" s="1366"/>
      <c r="K735" s="1603"/>
      <c r="L735" s="1604"/>
      <c r="M735" s="1604"/>
      <c r="N735" s="1605"/>
      <c r="O735" s="1468"/>
      <c r="P735" s="1469"/>
      <c r="Q735" s="1469"/>
      <c r="R735" s="1469"/>
      <c r="S735" s="1470"/>
      <c r="T735" s="1468"/>
      <c r="U735" s="1469"/>
      <c r="V735" s="1469"/>
      <c r="W735" s="1470"/>
      <c r="X735" s="1358">
        <f t="shared" si="8"/>
        <v>0</v>
      </c>
      <c r="Y735" s="1359"/>
      <c r="Z735" s="1359"/>
      <c r="AA735" s="1359"/>
      <c r="AB735" s="1360"/>
      <c r="AC735" s="1612"/>
      <c r="AD735" s="1613"/>
      <c r="AE735" s="1613"/>
      <c r="AF735" s="1613"/>
      <c r="AG735" s="1614"/>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25" customHeight="1">
      <c r="B736" s="1355"/>
      <c r="C736" s="1356"/>
      <c r="D736" s="1356"/>
      <c r="E736" s="1356"/>
      <c r="F736" s="1357"/>
      <c r="G736" s="1364"/>
      <c r="H736" s="1365"/>
      <c r="I736" s="1365"/>
      <c r="J736" s="1366"/>
      <c r="K736" s="1603"/>
      <c r="L736" s="1604"/>
      <c r="M736" s="1604"/>
      <c r="N736" s="1605"/>
      <c r="O736" s="1468"/>
      <c r="P736" s="1469"/>
      <c r="Q736" s="1469"/>
      <c r="R736" s="1469"/>
      <c r="S736" s="1470"/>
      <c r="T736" s="1468"/>
      <c r="U736" s="1469"/>
      <c r="V736" s="1469"/>
      <c r="W736" s="1470"/>
      <c r="X736" s="1358">
        <f t="shared" si="8"/>
        <v>0</v>
      </c>
      <c r="Y736" s="1359"/>
      <c r="Z736" s="1359"/>
      <c r="AA736" s="1359"/>
      <c r="AB736" s="1360"/>
      <c r="AC736" s="1612"/>
      <c r="AD736" s="1613"/>
      <c r="AE736" s="1613"/>
      <c r="AF736" s="1613"/>
      <c r="AG736" s="1614"/>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25" customHeight="1">
      <c r="B737" s="1355"/>
      <c r="C737" s="1356"/>
      <c r="D737" s="1356"/>
      <c r="E737" s="1356"/>
      <c r="F737" s="1357"/>
      <c r="G737" s="1364"/>
      <c r="H737" s="1365"/>
      <c r="I737" s="1365"/>
      <c r="J737" s="1366"/>
      <c r="K737" s="1603"/>
      <c r="L737" s="1604"/>
      <c r="M737" s="1604"/>
      <c r="N737" s="1605"/>
      <c r="O737" s="1468"/>
      <c r="P737" s="1469"/>
      <c r="Q737" s="1469"/>
      <c r="R737" s="1469"/>
      <c r="S737" s="1470"/>
      <c r="T737" s="1468"/>
      <c r="U737" s="1469"/>
      <c r="V737" s="1469"/>
      <c r="W737" s="1470"/>
      <c r="X737" s="1358">
        <f t="shared" si="8"/>
        <v>0</v>
      </c>
      <c r="Y737" s="1359"/>
      <c r="Z737" s="1359"/>
      <c r="AA737" s="1359"/>
      <c r="AB737" s="1360"/>
      <c r="AC737" s="1612"/>
      <c r="AD737" s="1613"/>
      <c r="AE737" s="1613"/>
      <c r="AF737" s="1613"/>
      <c r="AG737" s="1614"/>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25" customHeight="1">
      <c r="B738" s="1355"/>
      <c r="C738" s="1356"/>
      <c r="D738" s="1356"/>
      <c r="E738" s="1356"/>
      <c r="F738" s="1357"/>
      <c r="G738" s="1364"/>
      <c r="H738" s="1365"/>
      <c r="I738" s="1365"/>
      <c r="J738" s="1366"/>
      <c r="K738" s="1603"/>
      <c r="L738" s="1604"/>
      <c r="M738" s="1604"/>
      <c r="N738" s="1605"/>
      <c r="O738" s="1468"/>
      <c r="P738" s="1469"/>
      <c r="Q738" s="1469"/>
      <c r="R738" s="1469"/>
      <c r="S738" s="1470"/>
      <c r="T738" s="1468"/>
      <c r="U738" s="1469"/>
      <c r="V738" s="1469"/>
      <c r="W738" s="1470"/>
      <c r="X738" s="1358">
        <f t="shared" si="8"/>
        <v>0</v>
      </c>
      <c r="Y738" s="1359"/>
      <c r="Z738" s="1359"/>
      <c r="AA738" s="1359"/>
      <c r="AB738" s="1360"/>
      <c r="AC738" s="1612"/>
      <c r="AD738" s="1613"/>
      <c r="AE738" s="1613"/>
      <c r="AF738" s="1613"/>
      <c r="AG738" s="1614"/>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25" customHeight="1">
      <c r="B739" s="1355"/>
      <c r="C739" s="1356"/>
      <c r="D739" s="1356"/>
      <c r="E739" s="1356"/>
      <c r="F739" s="1357"/>
      <c r="G739" s="1364"/>
      <c r="H739" s="1365"/>
      <c r="I739" s="1365"/>
      <c r="J739" s="1366"/>
      <c r="K739" s="1603"/>
      <c r="L739" s="1604"/>
      <c r="M739" s="1604"/>
      <c r="N739" s="1605"/>
      <c r="O739" s="1468"/>
      <c r="P739" s="1469"/>
      <c r="Q739" s="1469"/>
      <c r="R739" s="1469"/>
      <c r="S739" s="1470"/>
      <c r="T739" s="1468"/>
      <c r="U739" s="1469"/>
      <c r="V739" s="1469"/>
      <c r="W739" s="1470"/>
      <c r="X739" s="1358">
        <f t="shared" si="8"/>
        <v>0</v>
      </c>
      <c r="Y739" s="1359"/>
      <c r="Z739" s="1359"/>
      <c r="AA739" s="1359"/>
      <c r="AB739" s="1360"/>
      <c r="AC739" s="1612"/>
      <c r="AD739" s="1613"/>
      <c r="AE739" s="1613"/>
      <c r="AF739" s="1613"/>
      <c r="AG739" s="1614"/>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25" customHeight="1">
      <c r="B740" s="1355"/>
      <c r="C740" s="1356"/>
      <c r="D740" s="1356"/>
      <c r="E740" s="1356"/>
      <c r="F740" s="1357"/>
      <c r="G740" s="1364"/>
      <c r="H740" s="1365"/>
      <c r="I740" s="1365"/>
      <c r="J740" s="1366"/>
      <c r="K740" s="1603"/>
      <c r="L740" s="1604"/>
      <c r="M740" s="1604"/>
      <c r="N740" s="1605"/>
      <c r="O740" s="1468"/>
      <c r="P740" s="1469"/>
      <c r="Q740" s="1469"/>
      <c r="R740" s="1469"/>
      <c r="S740" s="1470"/>
      <c r="T740" s="1468"/>
      <c r="U740" s="1469"/>
      <c r="V740" s="1469"/>
      <c r="W740" s="1470"/>
      <c r="X740" s="1358">
        <f t="shared" si="8"/>
        <v>0</v>
      </c>
      <c r="Y740" s="1359"/>
      <c r="Z740" s="1359"/>
      <c r="AA740" s="1359"/>
      <c r="AB740" s="1360"/>
      <c r="AC740" s="1612"/>
      <c r="AD740" s="1613"/>
      <c r="AE740" s="1613"/>
      <c r="AF740" s="1613"/>
      <c r="AG740" s="1614"/>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25" customHeight="1">
      <c r="B741" s="1355"/>
      <c r="C741" s="1356"/>
      <c r="D741" s="1356"/>
      <c r="E741" s="1356"/>
      <c r="F741" s="1357"/>
      <c r="G741" s="1364"/>
      <c r="H741" s="1365"/>
      <c r="I741" s="1365"/>
      <c r="J741" s="1366"/>
      <c r="K741" s="1603"/>
      <c r="L741" s="1604"/>
      <c r="M741" s="1604"/>
      <c r="N741" s="1605"/>
      <c r="O741" s="1468"/>
      <c r="P741" s="1469"/>
      <c r="Q741" s="1469"/>
      <c r="R741" s="1469"/>
      <c r="S741" s="1470"/>
      <c r="T741" s="1468"/>
      <c r="U741" s="1469"/>
      <c r="V741" s="1469"/>
      <c r="W741" s="1470"/>
      <c r="X741" s="1358">
        <f t="shared" si="8"/>
        <v>0</v>
      </c>
      <c r="Y741" s="1359"/>
      <c r="Z741" s="1359"/>
      <c r="AA741" s="1359"/>
      <c r="AB741" s="1360"/>
      <c r="AC741" s="1612"/>
      <c r="AD741" s="1613"/>
      <c r="AE741" s="1613"/>
      <c r="AF741" s="1613"/>
      <c r="AG741" s="1614"/>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25" customHeight="1">
      <c r="B742" s="1355"/>
      <c r="C742" s="1356"/>
      <c r="D742" s="1356"/>
      <c r="E742" s="1356"/>
      <c r="F742" s="1357"/>
      <c r="G742" s="1364"/>
      <c r="H742" s="1365"/>
      <c r="I742" s="1365"/>
      <c r="J742" s="1366"/>
      <c r="K742" s="1603"/>
      <c r="L742" s="1604"/>
      <c r="M742" s="1604"/>
      <c r="N742" s="1605"/>
      <c r="O742" s="1468"/>
      <c r="P742" s="1469"/>
      <c r="Q742" s="1469"/>
      <c r="R742" s="1469"/>
      <c r="S742" s="1470"/>
      <c r="T742" s="1468"/>
      <c r="U742" s="1469"/>
      <c r="V742" s="1469"/>
      <c r="W742" s="1470"/>
      <c r="X742" s="1358">
        <f t="shared" ref="X742:X751" si="39">O742+T742</f>
        <v>0</v>
      </c>
      <c r="Y742" s="1359"/>
      <c r="Z742" s="1359"/>
      <c r="AA742" s="1359"/>
      <c r="AB742" s="1360"/>
      <c r="AC742" s="1612"/>
      <c r="AD742" s="1613"/>
      <c r="AE742" s="1613"/>
      <c r="AF742" s="1613"/>
      <c r="AG742" s="1614"/>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25" customHeight="1">
      <c r="A743"/>
      <c r="B743" s="1355"/>
      <c r="C743" s="1356"/>
      <c r="D743" s="1356"/>
      <c r="E743" s="1356"/>
      <c r="F743" s="1357"/>
      <c r="G743" s="1364"/>
      <c r="H743" s="1365"/>
      <c r="I743" s="1365"/>
      <c r="J743" s="1366"/>
      <c r="K743" s="1603"/>
      <c r="L743" s="1604"/>
      <c r="M743" s="1604"/>
      <c r="N743" s="1605"/>
      <c r="O743" s="1468"/>
      <c r="P743" s="1469"/>
      <c r="Q743" s="1469"/>
      <c r="R743" s="1469"/>
      <c r="S743" s="1470"/>
      <c r="T743" s="1468"/>
      <c r="U743" s="1469"/>
      <c r="V743" s="1469"/>
      <c r="W743" s="1470"/>
      <c r="X743" s="1358">
        <f t="shared" si="39"/>
        <v>0</v>
      </c>
      <c r="Y743" s="1359"/>
      <c r="Z743" s="1359"/>
      <c r="AA743" s="1359"/>
      <c r="AB743" s="1360"/>
      <c r="AC743" s="1612"/>
      <c r="AD743" s="1613"/>
      <c r="AE743" s="1613"/>
      <c r="AF743" s="1613"/>
      <c r="AG743" s="1614"/>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25" customHeight="1">
      <c r="B744" s="1355"/>
      <c r="C744" s="1356"/>
      <c r="D744" s="1356"/>
      <c r="E744" s="1356"/>
      <c r="F744" s="1357"/>
      <c r="G744" s="1364"/>
      <c r="H744" s="1365"/>
      <c r="I744" s="1365"/>
      <c r="J744" s="1366"/>
      <c r="K744" s="1603"/>
      <c r="L744" s="1604"/>
      <c r="M744" s="1604"/>
      <c r="N744" s="1605"/>
      <c r="O744" s="1468"/>
      <c r="P744" s="1469"/>
      <c r="Q744" s="1469"/>
      <c r="R744" s="1469"/>
      <c r="S744" s="1470"/>
      <c r="T744" s="1468"/>
      <c r="U744" s="1469"/>
      <c r="V744" s="1469"/>
      <c r="W744" s="1470"/>
      <c r="X744" s="1358">
        <f t="shared" si="39"/>
        <v>0</v>
      </c>
      <c r="Y744" s="1359"/>
      <c r="Z744" s="1359"/>
      <c r="AA744" s="1359"/>
      <c r="AB744" s="1360"/>
      <c r="AC744" s="1612"/>
      <c r="AD744" s="1613"/>
      <c r="AE744" s="1613"/>
      <c r="AF744" s="1613"/>
      <c r="AG744" s="1614"/>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25" customHeight="1">
      <c r="B745" s="1355"/>
      <c r="C745" s="1356"/>
      <c r="D745" s="1356"/>
      <c r="E745" s="1356"/>
      <c r="F745" s="1357"/>
      <c r="G745" s="1364"/>
      <c r="H745" s="1365"/>
      <c r="I745" s="1365"/>
      <c r="J745" s="1366"/>
      <c r="K745" s="1603"/>
      <c r="L745" s="1604"/>
      <c r="M745" s="1604"/>
      <c r="N745" s="1605"/>
      <c r="O745" s="1468"/>
      <c r="P745" s="1469"/>
      <c r="Q745" s="1469"/>
      <c r="R745" s="1469"/>
      <c r="S745" s="1470"/>
      <c r="T745" s="1468"/>
      <c r="U745" s="1469"/>
      <c r="V745" s="1469"/>
      <c r="W745" s="1470"/>
      <c r="X745" s="1358">
        <f t="shared" si="39"/>
        <v>0</v>
      </c>
      <c r="Y745" s="1359"/>
      <c r="Z745" s="1359"/>
      <c r="AA745" s="1359"/>
      <c r="AB745" s="1360"/>
      <c r="AC745" s="1612"/>
      <c r="AD745" s="1613"/>
      <c r="AE745" s="1613"/>
      <c r="AF745" s="1613"/>
      <c r="AG745" s="1614"/>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25" customHeight="1">
      <c r="B746" s="1355"/>
      <c r="C746" s="1356"/>
      <c r="D746" s="1356"/>
      <c r="E746" s="1356"/>
      <c r="F746" s="1357"/>
      <c r="G746" s="1364"/>
      <c r="H746" s="1365"/>
      <c r="I746" s="1365"/>
      <c r="J746" s="1366"/>
      <c r="K746" s="1603"/>
      <c r="L746" s="1604"/>
      <c r="M746" s="1604"/>
      <c r="N746" s="1605"/>
      <c r="O746" s="1468"/>
      <c r="P746" s="1469"/>
      <c r="Q746" s="1469"/>
      <c r="R746" s="1469"/>
      <c r="S746" s="1470"/>
      <c r="T746" s="1468"/>
      <c r="U746" s="1469"/>
      <c r="V746" s="1469"/>
      <c r="W746" s="1470"/>
      <c r="X746" s="1358">
        <f t="shared" si="39"/>
        <v>0</v>
      </c>
      <c r="Y746" s="1359"/>
      <c r="Z746" s="1359"/>
      <c r="AA746" s="1359"/>
      <c r="AB746" s="1360"/>
      <c r="AC746" s="1612"/>
      <c r="AD746" s="1613"/>
      <c r="AE746" s="1613"/>
      <c r="AF746" s="1613"/>
      <c r="AG746" s="1614"/>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25" customHeight="1">
      <c r="B747" s="1355"/>
      <c r="C747" s="1356"/>
      <c r="D747" s="1356"/>
      <c r="E747" s="1356"/>
      <c r="F747" s="1357"/>
      <c r="G747" s="1364"/>
      <c r="H747" s="1365"/>
      <c r="I747" s="1365"/>
      <c r="J747" s="1366"/>
      <c r="K747" s="1603"/>
      <c r="L747" s="1604"/>
      <c r="M747" s="1604"/>
      <c r="N747" s="1605"/>
      <c r="O747" s="1468"/>
      <c r="P747" s="1469"/>
      <c r="Q747" s="1469"/>
      <c r="R747" s="1469"/>
      <c r="S747" s="1470"/>
      <c r="T747" s="1468"/>
      <c r="U747" s="1469"/>
      <c r="V747" s="1469"/>
      <c r="W747" s="1470"/>
      <c r="X747" s="1358">
        <f t="shared" si="39"/>
        <v>0</v>
      </c>
      <c r="Y747" s="1359"/>
      <c r="Z747" s="1359"/>
      <c r="AA747" s="1359"/>
      <c r="AB747" s="1360"/>
      <c r="AC747" s="1612"/>
      <c r="AD747" s="1613"/>
      <c r="AE747" s="1613"/>
      <c r="AF747" s="1613"/>
      <c r="AG747" s="1614"/>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25" customHeight="1">
      <c r="A748"/>
      <c r="B748" s="1355"/>
      <c r="C748" s="1356"/>
      <c r="D748" s="1356"/>
      <c r="E748" s="1356"/>
      <c r="F748" s="1357"/>
      <c r="G748" s="1364"/>
      <c r="H748" s="1365"/>
      <c r="I748" s="1365"/>
      <c r="J748" s="1366"/>
      <c r="K748" s="1603"/>
      <c r="L748" s="1604"/>
      <c r="M748" s="1604"/>
      <c r="N748" s="1605"/>
      <c r="O748" s="1468"/>
      <c r="P748" s="1469"/>
      <c r="Q748" s="1469"/>
      <c r="R748" s="1469"/>
      <c r="S748" s="1470"/>
      <c r="T748" s="1468"/>
      <c r="U748" s="1469"/>
      <c r="V748" s="1469"/>
      <c r="W748" s="1470"/>
      <c r="X748" s="1358">
        <f t="shared" si="39"/>
        <v>0</v>
      </c>
      <c r="Y748" s="1359"/>
      <c r="Z748" s="1359"/>
      <c r="AA748" s="1359"/>
      <c r="AB748" s="1360"/>
      <c r="AC748" s="1612"/>
      <c r="AD748" s="1613"/>
      <c r="AE748" s="1613"/>
      <c r="AF748" s="1613"/>
      <c r="AG748" s="1614"/>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25" customHeight="1">
      <c r="A749"/>
      <c r="B749" s="1355"/>
      <c r="C749" s="1356"/>
      <c r="D749" s="1356"/>
      <c r="E749" s="1356"/>
      <c r="F749" s="1357"/>
      <c r="G749" s="1364"/>
      <c r="H749" s="1365"/>
      <c r="I749" s="1365"/>
      <c r="J749" s="1366"/>
      <c r="K749" s="1603"/>
      <c r="L749" s="1604"/>
      <c r="M749" s="1604"/>
      <c r="N749" s="1605"/>
      <c r="O749" s="1468"/>
      <c r="P749" s="1469"/>
      <c r="Q749" s="1469"/>
      <c r="R749" s="1469"/>
      <c r="S749" s="1470"/>
      <c r="T749" s="1468"/>
      <c r="U749" s="1469"/>
      <c r="V749" s="1469"/>
      <c r="W749" s="1470"/>
      <c r="X749" s="1358">
        <f t="shared" si="39"/>
        <v>0</v>
      </c>
      <c r="Y749" s="1359"/>
      <c r="Z749" s="1359"/>
      <c r="AA749" s="1359"/>
      <c r="AB749" s="1360"/>
      <c r="AC749" s="1612"/>
      <c r="AD749" s="1613"/>
      <c r="AE749" s="1613"/>
      <c r="AF749" s="1613"/>
      <c r="AG749" s="1614"/>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25" customHeight="1">
      <c r="A750"/>
      <c r="B750" s="1355"/>
      <c r="C750" s="1356"/>
      <c r="D750" s="1356"/>
      <c r="E750" s="1356"/>
      <c r="F750" s="1357"/>
      <c r="G750" s="1364"/>
      <c r="H750" s="1365"/>
      <c r="I750" s="1365"/>
      <c r="J750" s="1366"/>
      <c r="K750" s="1603"/>
      <c r="L750" s="1604"/>
      <c r="M750" s="1604"/>
      <c r="N750" s="1605"/>
      <c r="O750" s="1468"/>
      <c r="P750" s="1469"/>
      <c r="Q750" s="1469"/>
      <c r="R750" s="1469"/>
      <c r="S750" s="1470"/>
      <c r="T750" s="1468"/>
      <c r="U750" s="1469"/>
      <c r="V750" s="1469"/>
      <c r="W750" s="1470"/>
      <c r="X750" s="1358">
        <f t="shared" si="39"/>
        <v>0</v>
      </c>
      <c r="Y750" s="1359"/>
      <c r="Z750" s="1359"/>
      <c r="AA750" s="1359"/>
      <c r="AB750" s="1360"/>
      <c r="AC750" s="1612"/>
      <c r="AD750" s="1613"/>
      <c r="AE750" s="1613"/>
      <c r="AF750" s="1613"/>
      <c r="AG750" s="1614"/>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25" customHeight="1">
      <c r="A751"/>
      <c r="B751" s="1355"/>
      <c r="C751" s="1356"/>
      <c r="D751" s="1356"/>
      <c r="E751" s="1356"/>
      <c r="F751" s="1357"/>
      <c r="G751" s="1364"/>
      <c r="H751" s="1365"/>
      <c r="I751" s="1365"/>
      <c r="J751" s="1366"/>
      <c r="K751" s="1603"/>
      <c r="L751" s="1604"/>
      <c r="M751" s="1604"/>
      <c r="N751" s="1605"/>
      <c r="O751" s="1468"/>
      <c r="P751" s="1469"/>
      <c r="Q751" s="1469"/>
      <c r="R751" s="1469"/>
      <c r="S751" s="1470"/>
      <c r="T751" s="1468"/>
      <c r="U751" s="1469"/>
      <c r="V751" s="1469"/>
      <c r="W751" s="1470"/>
      <c r="X751" s="1358">
        <f t="shared" si="39"/>
        <v>0</v>
      </c>
      <c r="Y751" s="1359"/>
      <c r="Z751" s="1359"/>
      <c r="AA751" s="1359"/>
      <c r="AB751" s="1360"/>
      <c r="AC751" s="1612"/>
      <c r="AD751" s="1613"/>
      <c r="AE751" s="1613"/>
      <c r="AF751" s="1613"/>
      <c r="AG751" s="1614"/>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25" customHeight="1">
      <c r="A752"/>
      <c r="B752" s="1355"/>
      <c r="C752" s="1356"/>
      <c r="D752" s="1356"/>
      <c r="E752" s="1356"/>
      <c r="F752" s="1357"/>
      <c r="G752" s="1364"/>
      <c r="H752" s="1365"/>
      <c r="I752" s="1365"/>
      <c r="J752" s="1366"/>
      <c r="K752" s="1603"/>
      <c r="L752" s="1604"/>
      <c r="M752" s="1604"/>
      <c r="N752" s="1605"/>
      <c r="O752" s="1468"/>
      <c r="P752" s="1469"/>
      <c r="Q752" s="1469"/>
      <c r="R752" s="1469"/>
      <c r="S752" s="1470"/>
      <c r="T752" s="1468"/>
      <c r="U752" s="1469"/>
      <c r="V752" s="1469"/>
      <c r="W752" s="1470"/>
      <c r="X752" s="1358">
        <f>O752+T752</f>
        <v>0</v>
      </c>
      <c r="Y752" s="1359"/>
      <c r="Z752" s="1359"/>
      <c r="AA752" s="1359"/>
      <c r="AB752" s="1360"/>
      <c r="AC752" s="1612"/>
      <c r="AD752" s="1613"/>
      <c r="AE752" s="1613"/>
      <c r="AF752" s="1613"/>
      <c r="AG752" s="1614"/>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25" customHeight="1">
      <c r="A753"/>
      <c r="B753" s="1408" t="s">
        <v>125</v>
      </c>
      <c r="C753" s="1409"/>
      <c r="D753" s="1409"/>
      <c r="E753" s="1409"/>
      <c r="F753" s="1411"/>
      <c r="G753" s="1718">
        <f>SUM(G718:G752)</f>
        <v>77</v>
      </c>
      <c r="H753" s="1719"/>
      <c r="I753" s="1719"/>
      <c r="J753" s="1720"/>
      <c r="K753" s="902" t="s">
        <v>124</v>
      </c>
      <c r="L753" s="5"/>
      <c r="M753" s="5"/>
      <c r="N753" s="46"/>
      <c r="O753" s="1358">
        <f>SUMPRODUCT(G718:G752,O718:O752)</f>
        <v>149706</v>
      </c>
      <c r="P753" s="1359"/>
      <c r="Q753" s="1359"/>
      <c r="R753" s="1359"/>
      <c r="S753" s="1360"/>
      <c r="T753"/>
      <c r="U753"/>
      <c r="V753"/>
      <c r="W753"/>
      <c r="X753" s="904" t="s">
        <v>901</v>
      </c>
      <c r="Y753" s="903"/>
      <c r="Z753" s="903"/>
      <c r="AA753" s="903"/>
      <c r="AB753" s="905"/>
      <c r="AC753" s="1616">
        <f>BH753</f>
        <v>0.58701298701298699</v>
      </c>
      <c r="AD753" s="1617"/>
      <c r="AE753" s="1617"/>
      <c r="AF753" s="1617"/>
      <c r="AG753" s="1618"/>
      <c r="AH753" s="1616">
        <f>IFERROR(BU753,"")</f>
        <v>0.58700859831431829</v>
      </c>
      <c r="AI753" s="1617"/>
      <c r="AJ753" s="1618"/>
      <c r="AK753"/>
      <c r="AL753"/>
      <c r="AM753"/>
      <c r="AN753"/>
      <c r="AO753"/>
      <c r="AP753" s="205"/>
      <c r="AQ753" s="205"/>
      <c r="AR753" s="205"/>
      <c r="AS753" s="205"/>
      <c r="AT753"/>
      <c r="AU753"/>
      <c r="AV753"/>
      <c r="AW753"/>
      <c r="AX753"/>
      <c r="AY753"/>
      <c r="AZ753" s="34"/>
      <c r="BA753" s="34"/>
      <c r="BB753" s="34"/>
      <c r="BC753" s="34"/>
      <c r="BE753" s="290" t="s">
        <v>900</v>
      </c>
      <c r="BF753" s="299">
        <f>SUM(BF718:BF752)</f>
        <v>77</v>
      </c>
      <c r="BG753" s="300">
        <f>SUM(BG718:BG752)</f>
        <v>1.0000000000000002</v>
      </c>
      <c r="BH753" s="300">
        <f>SUM(BH718:BH752)</f>
        <v>0.58701298701298699</v>
      </c>
      <c r="BI753"/>
      <c r="BJ753"/>
      <c r="BK753"/>
      <c r="BL753"/>
      <c r="BO753"/>
      <c r="BP753"/>
      <c r="BQ753"/>
      <c r="BR753"/>
      <c r="BS753" s="859">
        <f>SUM(BS718:BS752)</f>
        <v>77</v>
      </c>
      <c r="BT753" s="300">
        <f>SUM(BT718:BT752)</f>
        <v>1.0000000000000002</v>
      </c>
      <c r="BU753" s="300">
        <f>SUM(BU718:BU752)</f>
        <v>0.58700859831431829</v>
      </c>
      <c r="CI753" s="1351">
        <f>SUM(CI718:CJ752)</f>
        <v>35</v>
      </c>
      <c r="CJ753" s="1353"/>
      <c r="CM753" s="1351">
        <f>SUM(CM718:CN752)</f>
        <v>9</v>
      </c>
      <c r="CN753" s="1353"/>
      <c r="CP753" s="1351">
        <f>SUM(CP718:CT752)</f>
        <v>12</v>
      </c>
      <c r="CQ753" s="1352"/>
      <c r="CR753" s="1352"/>
      <c r="CS753" s="1352"/>
      <c r="CT753" s="1353"/>
      <c r="CU753" s="1367">
        <f>SUM(CU718:CY752)</f>
        <v>29</v>
      </c>
      <c r="CV753" s="1367"/>
      <c r="CW753" s="1367"/>
      <c r="CX753" s="1367"/>
      <c r="CY753" s="1367"/>
      <c r="CZ753" s="1367">
        <f>SUM(CZ718:DD752)</f>
        <v>18</v>
      </c>
      <c r="DA753" s="1367"/>
      <c r="DB753" s="1367"/>
      <c r="DC753" s="1367"/>
      <c r="DD753" s="1367"/>
      <c r="DE753" s="1367">
        <f>SUM(DE718:DI752)</f>
        <v>18</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v>
      </c>
      <c r="DV753" s="1367"/>
      <c r="DW753" s="1367"/>
      <c r="DX753" s="1367"/>
      <c r="DY753" s="1367"/>
      <c r="DZ753" s="1367">
        <f>SUM(DZ718:ED752)</f>
        <v>3</v>
      </c>
      <c r="EA753" s="1367"/>
      <c r="EB753" s="1367"/>
      <c r="EC753" s="1367"/>
      <c r="ED753" s="1367"/>
      <c r="EE753" s="1367">
        <f>SUM(EE718:EI752)</f>
        <v>2</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4414</v>
      </c>
      <c r="FA753" s="1367"/>
      <c r="FB753" s="1367"/>
      <c r="FC753" s="1367"/>
      <c r="FD753" s="1367"/>
      <c r="FE753" s="1367">
        <f>SUM(FE718:FI752)</f>
        <v>6476</v>
      </c>
      <c r="FF753" s="1367"/>
      <c r="FG753" s="1367"/>
      <c r="FH753" s="1367"/>
      <c r="FI753" s="1367"/>
      <c r="FJ753" s="1367">
        <f>SUM(FJ718:FN752)</f>
        <v>2750</v>
      </c>
      <c r="FK753" s="1367"/>
      <c r="FL753" s="1367"/>
      <c r="FM753" s="1367"/>
      <c r="FN753" s="1367"/>
      <c r="FO753" s="1367">
        <f>SUM(FO718:FS752)</f>
        <v>8876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25" customHeight="1">
      <c r="A754"/>
      <c r="B754" s="1722" t="s">
        <v>1894</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1861</v>
      </c>
      <c r="DO754" s="1351">
        <f>CP753+CU753+CZ753+DE753+DJ753+DO753</f>
        <v>77</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12</v>
      </c>
      <c r="CU755" s="3"/>
      <c r="CV755" s="3"/>
      <c r="CW755" s="3"/>
      <c r="CX755" s="3"/>
      <c r="CY755" s="861">
        <f>CU753*1</f>
        <v>29</v>
      </c>
      <c r="CZ755" s="3"/>
      <c r="DA755" s="3"/>
      <c r="DB755" s="3"/>
      <c r="DC755" s="3"/>
      <c r="DD755" s="861">
        <f>CZ753*2</f>
        <v>36</v>
      </c>
      <c r="DE755" s="3"/>
      <c r="DF755" s="3"/>
      <c r="DG755" s="3"/>
      <c r="DH755" s="3"/>
      <c r="DI755" s="861">
        <f>DE753*3</f>
        <v>54</v>
      </c>
      <c r="DJ755" s="3"/>
      <c r="DK755" s="3"/>
      <c r="DL755" s="3"/>
      <c r="DM755" s="3"/>
      <c r="DN755" s="861">
        <f>DJ753*4</f>
        <v>0</v>
      </c>
      <c r="DO755" s="3"/>
      <c r="DP755" s="3"/>
      <c r="DQ755" s="3"/>
      <c r="DR755" s="3"/>
      <c r="DS755" s="861">
        <f>DO753*5</f>
        <v>0</v>
      </c>
      <c r="DU755" s="861">
        <f>CT755+CY755+DD755+DI755+DN755+DS755</f>
        <v>131</v>
      </c>
      <c r="DV755" s="57" t="s">
        <v>1863</v>
      </c>
      <c r="DW755" s="3"/>
      <c r="DX755" s="3"/>
      <c r="DY755" s="3"/>
      <c r="DZ755" s="3"/>
      <c r="EA755" s="3"/>
      <c r="EB755" s="3"/>
      <c r="EC755" s="3"/>
      <c r="ED755" s="3"/>
      <c r="EE755" s="3"/>
      <c r="EF755" s="3"/>
      <c r="EG755" s="3"/>
      <c r="EH755" s="3"/>
    </row>
    <row r="756" spans="1:185" ht="13.25" customHeight="1">
      <c r="A756" s="3"/>
      <c r="B756" s="3"/>
      <c r="C756" s="118" t="s">
        <v>1892</v>
      </c>
      <c r="D756" s="1032"/>
      <c r="E756" s="1032"/>
      <c r="F756" s="1032"/>
      <c r="G756" s="1033"/>
      <c r="H756" s="1033"/>
      <c r="I756" s="1033"/>
      <c r="J756" s="1033"/>
      <c r="K756" s="1032"/>
      <c r="L756" s="1032"/>
      <c r="M756" s="1032"/>
      <c r="N756" s="1032"/>
      <c r="O756" s="1367">
        <f>DU755</f>
        <v>131</v>
      </c>
      <c r="P756" s="1367"/>
      <c r="Q756" s="1367"/>
      <c r="R756" s="1367"/>
      <c r="S756" s="969"/>
      <c r="T756" s="969"/>
      <c r="U756" s="118" t="s">
        <v>1893</v>
      </c>
      <c r="V756" s="1032"/>
      <c r="W756" s="1032"/>
      <c r="X756" s="1032"/>
      <c r="Y756" s="1033"/>
      <c r="Z756" s="1033"/>
      <c r="AA756" s="1033"/>
      <c r="AB756" s="1033"/>
      <c r="AC756" s="1032"/>
      <c r="AD756" s="1032"/>
      <c r="AE756" s="1032"/>
      <c r="AF756" s="1032"/>
      <c r="AG756" s="1714"/>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2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2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494" t="s">
        <v>389</v>
      </c>
      <c r="K769" s="1495"/>
      <c r="L769" s="1495"/>
      <c r="M769" s="1495"/>
      <c r="N769" s="1496"/>
      <c r="O769" s="1601" t="s">
        <v>285</v>
      </c>
      <c r="P769" s="1601"/>
      <c r="Q769" s="1601"/>
      <c r="R769" s="1601"/>
      <c r="S769" s="1601"/>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497"/>
      <c r="K770" s="1498"/>
      <c r="L770" s="1498"/>
      <c r="M770" s="1498"/>
      <c r="N770" s="1499"/>
      <c r="O770" s="1601"/>
      <c r="P770" s="1601"/>
      <c r="Q770" s="1601"/>
      <c r="R770" s="1601"/>
      <c r="S770" s="1601"/>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497"/>
      <c r="K771" s="1498"/>
      <c r="L771" s="1498"/>
      <c r="M771" s="1498"/>
      <c r="N771" s="1499"/>
      <c r="O771" s="1601"/>
      <c r="P771" s="1601"/>
      <c r="Q771" s="1601"/>
      <c r="R771" s="1601"/>
      <c r="S771" s="1601"/>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500"/>
      <c r="K772" s="1501"/>
      <c r="L772" s="1501"/>
      <c r="M772" s="1501"/>
      <c r="N772" s="1502"/>
      <c r="O772" s="1601"/>
      <c r="P772" s="1601"/>
      <c r="Q772" s="1601"/>
      <c r="R772" s="1601"/>
      <c r="S772" s="1601"/>
      <c r="T772" s="1609"/>
      <c r="U772" s="1610"/>
      <c r="V772" s="1610"/>
      <c r="W772" s="1611"/>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25" customHeight="1">
      <c r="J773" s="1355" t="s">
        <v>325</v>
      </c>
      <c r="K773" s="1356"/>
      <c r="L773" s="1356"/>
      <c r="M773" s="1356"/>
      <c r="N773" s="1357"/>
      <c r="O773" s="1464">
        <v>1</v>
      </c>
      <c r="P773" s="1464"/>
      <c r="Q773" s="1464"/>
      <c r="R773" s="1464"/>
      <c r="S773" s="1464"/>
      <c r="T773" s="1603">
        <v>600</v>
      </c>
      <c r="U773" s="1604"/>
      <c r="V773" s="1604"/>
      <c r="W773" s="1605"/>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25" customHeight="1">
      <c r="J774" s="1355"/>
      <c r="K774" s="1356"/>
      <c r="L774" s="1356"/>
      <c r="M774" s="1356"/>
      <c r="N774" s="1357"/>
      <c r="O774" s="1464"/>
      <c r="P774" s="1464"/>
      <c r="Q774" s="1464"/>
      <c r="R774" s="1464"/>
      <c r="S774" s="1464"/>
      <c r="T774" s="1603"/>
      <c r="U774" s="1604"/>
      <c r="V774" s="1604"/>
      <c r="W774" s="1605"/>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25" customHeight="1">
      <c r="J775" s="1355"/>
      <c r="K775" s="1356"/>
      <c r="L775" s="1356"/>
      <c r="M775" s="1356"/>
      <c r="N775" s="1357"/>
      <c r="O775" s="1464"/>
      <c r="P775" s="1464"/>
      <c r="Q775" s="1464"/>
      <c r="R775" s="1464"/>
      <c r="S775" s="1464"/>
      <c r="T775" s="1603"/>
      <c r="U775" s="1604"/>
      <c r="V775" s="1604"/>
      <c r="W775" s="1605"/>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25" customHeight="1">
      <c r="J776" s="1355"/>
      <c r="K776" s="1356"/>
      <c r="L776" s="1356"/>
      <c r="M776" s="1356"/>
      <c r="N776" s="1357"/>
      <c r="O776" s="1464"/>
      <c r="P776" s="1464"/>
      <c r="Q776" s="1464"/>
      <c r="R776" s="1464"/>
      <c r="S776" s="1464"/>
      <c r="T776" s="1603"/>
      <c r="U776" s="1604"/>
      <c r="V776" s="1604"/>
      <c r="W776" s="1605"/>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25"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3.2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1862</v>
      </c>
    </row>
    <row r="779" spans="1:126" ht="13.2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494" t="s">
        <v>389</v>
      </c>
      <c r="K783" s="1495"/>
      <c r="L783" s="1495"/>
      <c r="M783" s="1495"/>
      <c r="N783" s="1496"/>
      <c r="O783" s="1601" t="s">
        <v>285</v>
      </c>
      <c r="P783" s="1601"/>
      <c r="Q783" s="1601"/>
      <c r="R783" s="1601"/>
      <c r="S783" s="1601"/>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497"/>
      <c r="K784" s="1498"/>
      <c r="L784" s="1498"/>
      <c r="M784" s="1498"/>
      <c r="N784" s="1499"/>
      <c r="O784" s="1601"/>
      <c r="P784" s="1601"/>
      <c r="Q784" s="1601"/>
      <c r="R784" s="1601"/>
      <c r="S784" s="1601"/>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497"/>
      <c r="K785" s="1498"/>
      <c r="L785" s="1498"/>
      <c r="M785" s="1498"/>
      <c r="N785" s="1499"/>
      <c r="O785" s="1601"/>
      <c r="P785" s="1601"/>
      <c r="Q785" s="1601"/>
      <c r="R785" s="1601"/>
      <c r="S785" s="1601"/>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500"/>
      <c r="K786" s="1501"/>
      <c r="L786" s="1501"/>
      <c r="M786" s="1501"/>
      <c r="N786" s="1502"/>
      <c r="O786" s="1601"/>
      <c r="P786" s="1601"/>
      <c r="Q786" s="1601"/>
      <c r="R786" s="1601"/>
      <c r="S786" s="1601"/>
      <c r="T786" s="1609"/>
      <c r="U786" s="1610"/>
      <c r="V786" s="1610"/>
      <c r="W786" s="1611"/>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25" customHeight="1">
      <c r="J787" s="1355"/>
      <c r="K787" s="1356"/>
      <c r="L787" s="1356"/>
      <c r="M787" s="1356"/>
      <c r="N787" s="1357"/>
      <c r="O787" s="1464"/>
      <c r="P787" s="1464"/>
      <c r="Q787" s="1464"/>
      <c r="R787" s="1464"/>
      <c r="S787" s="1464"/>
      <c r="T787" s="1603"/>
      <c r="U787" s="1604"/>
      <c r="V787" s="1604"/>
      <c r="W787" s="1605"/>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25" customHeight="1">
      <c r="A788"/>
      <c r="B788"/>
      <c r="C788"/>
      <c r="D788"/>
      <c r="E788"/>
      <c r="F788"/>
      <c r="G788"/>
      <c r="H788"/>
      <c r="I788"/>
      <c r="J788" s="1355"/>
      <c r="K788" s="1356"/>
      <c r="L788" s="1356"/>
      <c r="M788" s="1356"/>
      <c r="N788" s="1357"/>
      <c r="O788" s="1464"/>
      <c r="P788" s="1464"/>
      <c r="Q788" s="1464"/>
      <c r="R788" s="1464"/>
      <c r="S788" s="1464"/>
      <c r="T788" s="1603"/>
      <c r="U788" s="1604"/>
      <c r="V788" s="1604"/>
      <c r="W788" s="1605"/>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25" customHeight="1">
      <c r="A789"/>
      <c r="B789"/>
      <c r="C789"/>
      <c r="D789"/>
      <c r="E789"/>
      <c r="F789"/>
      <c r="G789"/>
      <c r="H789"/>
      <c r="I789"/>
      <c r="J789" s="1355"/>
      <c r="K789" s="1356"/>
      <c r="L789" s="1356"/>
      <c r="M789" s="1356"/>
      <c r="N789" s="1357"/>
      <c r="O789" s="1464"/>
      <c r="P789" s="1464"/>
      <c r="Q789" s="1464"/>
      <c r="R789" s="1464"/>
      <c r="S789" s="1464"/>
      <c r="T789" s="1603"/>
      <c r="U789" s="1604"/>
      <c r="V789" s="1604"/>
      <c r="W789" s="1605"/>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25" customHeight="1">
      <c r="A790"/>
      <c r="B790"/>
      <c r="C790"/>
      <c r="D790"/>
      <c r="E790"/>
      <c r="F790"/>
      <c r="G790"/>
      <c r="H790"/>
      <c r="I790"/>
      <c r="J790" s="1355"/>
      <c r="K790" s="1356"/>
      <c r="L790" s="1356"/>
      <c r="M790" s="1356"/>
      <c r="N790" s="1357"/>
      <c r="O790" s="1464"/>
      <c r="P790" s="1464"/>
      <c r="Q790" s="1464"/>
      <c r="R790" s="1464"/>
      <c r="S790" s="1464"/>
      <c r="T790" s="1603"/>
      <c r="U790" s="1604"/>
      <c r="V790" s="1604"/>
      <c r="W790" s="1605"/>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25" customHeight="1">
      <c r="A791"/>
      <c r="B791"/>
      <c r="C791"/>
      <c r="D791"/>
      <c r="E791"/>
      <c r="F791"/>
      <c r="G791"/>
      <c r="H791"/>
      <c r="I791"/>
      <c r="J791" s="1355"/>
      <c r="K791" s="1356"/>
      <c r="L791" s="1356"/>
      <c r="M791" s="1356"/>
      <c r="N791" s="1357"/>
      <c r="O791" s="1464"/>
      <c r="P791" s="1464"/>
      <c r="Q791" s="1464"/>
      <c r="R791" s="1464"/>
      <c r="S791" s="1464"/>
      <c r="T791" s="1603"/>
      <c r="U791" s="1604"/>
      <c r="V791" s="1604"/>
      <c r="W791" s="1605"/>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25" customHeight="1">
      <c r="A792"/>
      <c r="B792"/>
      <c r="C792"/>
      <c r="D792"/>
      <c r="E792"/>
      <c r="F792"/>
      <c r="G792"/>
      <c r="H792"/>
      <c r="I792"/>
      <c r="J792" s="1355"/>
      <c r="K792" s="1356"/>
      <c r="L792" s="1356"/>
      <c r="M792" s="1356"/>
      <c r="N792" s="1357"/>
      <c r="O792" s="1464"/>
      <c r="P792" s="1464"/>
      <c r="Q792" s="1464"/>
      <c r="R792" s="1464"/>
      <c r="S792" s="1464"/>
      <c r="T792" s="1603"/>
      <c r="U792" s="1604"/>
      <c r="V792" s="1604"/>
      <c r="W792" s="1605"/>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25" customHeight="1">
      <c r="A793"/>
      <c r="B793"/>
      <c r="C793"/>
      <c r="D793"/>
      <c r="E793"/>
      <c r="F793"/>
      <c r="G793"/>
      <c r="H793"/>
      <c r="I793"/>
      <c r="J793" s="1355"/>
      <c r="K793" s="1356"/>
      <c r="L793" s="1356"/>
      <c r="M793" s="1356"/>
      <c r="N793" s="1357"/>
      <c r="O793" s="1464"/>
      <c r="P793" s="1464"/>
      <c r="Q793" s="1464"/>
      <c r="R793" s="1464"/>
      <c r="S793" s="1464"/>
      <c r="T793" s="1603"/>
      <c r="U793" s="1604"/>
      <c r="V793" s="1604"/>
      <c r="W793" s="1605"/>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25" customHeight="1">
      <c r="A794"/>
      <c r="B794"/>
      <c r="C794"/>
      <c r="D794"/>
      <c r="E794"/>
      <c r="F794"/>
      <c r="G794"/>
      <c r="H794"/>
      <c r="I794"/>
      <c r="J794" s="1355"/>
      <c r="K794" s="1356"/>
      <c r="L794" s="1356"/>
      <c r="M794" s="1356"/>
      <c r="N794" s="1357"/>
      <c r="O794" s="1464"/>
      <c r="P794" s="1464"/>
      <c r="Q794" s="1464"/>
      <c r="R794" s="1464"/>
      <c r="S794" s="1464"/>
      <c r="T794" s="1603"/>
      <c r="U794" s="1604"/>
      <c r="V794" s="1604"/>
      <c r="W794" s="1605"/>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25" customHeight="1">
      <c r="A795"/>
      <c r="B795"/>
      <c r="C795"/>
      <c r="D795"/>
      <c r="E795"/>
      <c r="F795"/>
      <c r="G795"/>
      <c r="H795"/>
      <c r="I795"/>
      <c r="J795" s="1355"/>
      <c r="K795" s="1356"/>
      <c r="L795" s="1356"/>
      <c r="M795" s="1356"/>
      <c r="N795" s="1357"/>
      <c r="O795" s="1464"/>
      <c r="P795" s="1464"/>
      <c r="Q795" s="1464"/>
      <c r="R795" s="1464"/>
      <c r="S795" s="1464"/>
      <c r="T795" s="1603"/>
      <c r="U795" s="1604"/>
      <c r="V795" s="1604"/>
      <c r="W795" s="1605"/>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25" customHeight="1">
      <c r="A796"/>
      <c r="B796"/>
      <c r="C796"/>
      <c r="D796"/>
      <c r="E796"/>
      <c r="F796"/>
      <c r="G796"/>
      <c r="H796"/>
      <c r="I796"/>
      <c r="J796" s="1355"/>
      <c r="K796" s="1356"/>
      <c r="L796" s="1356"/>
      <c r="M796" s="1356"/>
      <c r="N796" s="1357"/>
      <c r="O796" s="1464"/>
      <c r="P796" s="1464"/>
      <c r="Q796" s="1464"/>
      <c r="R796" s="1464"/>
      <c r="S796" s="1464"/>
      <c r="T796" s="1603"/>
      <c r="U796" s="1604"/>
      <c r="V796" s="1604"/>
      <c r="W796" s="1605"/>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25" customHeight="1">
      <c r="A797"/>
      <c r="B797"/>
      <c r="C797"/>
      <c r="D797"/>
      <c r="E797"/>
      <c r="F797"/>
      <c r="G797"/>
      <c r="H797"/>
      <c r="I797"/>
      <c r="J797" s="1408" t="s">
        <v>125</v>
      </c>
      <c r="K797" s="1409"/>
      <c r="L797" s="1409"/>
      <c r="M797" s="1409"/>
      <c r="N797" s="1411"/>
      <c r="O797" s="1623">
        <f>SUM(O787:S796)</f>
        <v>0</v>
      </c>
      <c r="P797" s="1623"/>
      <c r="Q797" s="1623"/>
      <c r="R797" s="1623"/>
      <c r="S797" s="1623"/>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2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25"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149706</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1796472</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12</v>
      </c>
      <c r="CQ802" s="1349"/>
      <c r="CR802" s="1349"/>
      <c r="CS802" s="1349"/>
      <c r="CT802" s="1350"/>
      <c r="CU802" s="1348">
        <f>CU753+CU777+CU797</f>
        <v>30</v>
      </c>
      <c r="CV802" s="1349"/>
      <c r="CW802" s="1349"/>
      <c r="CX802" s="1349"/>
      <c r="CY802" s="1350"/>
      <c r="CZ802" s="1348">
        <f>CZ753+CZ777+CZ797</f>
        <v>18</v>
      </c>
      <c r="DA802" s="1349"/>
      <c r="DB802" s="1349"/>
      <c r="DC802" s="1349"/>
      <c r="DD802" s="1350"/>
      <c r="DE802" s="1348">
        <f>DE753+DE777+DE797</f>
        <v>18</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131</v>
      </c>
      <c r="DV802" s="57" t="s">
        <v>1864</v>
      </c>
    </row>
    <row r="803" spans="1:126" s="4" customFormat="1" ht="13.2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2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2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2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6"/>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2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521"/>
      <c r="AB808" s="1521"/>
      <c r="AC808" s="1521"/>
      <c r="AD808" s="15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2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2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2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2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2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11154</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2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2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25" customHeight="1">
      <c r="A816"/>
      <c r="B816"/>
      <c r="C816"/>
      <c r="D816"/>
      <c r="E816"/>
      <c r="F816"/>
      <c r="G816"/>
      <c r="H816" s="45" t="s">
        <v>39</v>
      </c>
      <c r="I816" s="5"/>
      <c r="J816" s="5"/>
      <c r="K816" s="5"/>
      <c r="L816" s="5"/>
      <c r="M816" s="5"/>
      <c r="N816" s="5"/>
      <c r="O816" s="5"/>
      <c r="P816" s="1641" t="s">
        <v>2731</v>
      </c>
      <c r="Q816" s="1642"/>
      <c r="R816" s="1642"/>
      <c r="S816" s="1642"/>
      <c r="T816" s="1642"/>
      <c r="U816" s="1642"/>
      <c r="V816" s="1642"/>
      <c r="W816" s="1642"/>
      <c r="X816" s="1642"/>
      <c r="Y816" s="1643"/>
      <c r="Z816" s="1475">
        <f>2340+1950</f>
        <v>4290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2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15444</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2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1811916</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2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2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2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2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25" customHeight="1">
      <c r="A823"/>
      <c r="B823"/>
      <c r="C823" s="41"/>
      <c r="D823" s="42"/>
      <c r="E823" s="42"/>
      <c r="F823" s="42"/>
      <c r="G823" s="42"/>
      <c r="H823" s="42"/>
      <c r="I823" s="42"/>
      <c r="J823" s="42"/>
      <c r="K823" s="42"/>
      <c r="L823" s="58"/>
      <c r="M823" s="1686" t="s">
        <v>126</v>
      </c>
      <c r="N823" s="1686"/>
      <c r="O823" s="1686"/>
      <c r="P823" s="1687"/>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3.25" customHeight="1">
      <c r="A824"/>
      <c r="B824"/>
      <c r="C824" s="47"/>
      <c r="D824" s="48"/>
      <c r="E824" s="48"/>
      <c r="F824" s="48"/>
      <c r="G824" s="48"/>
      <c r="H824" s="48"/>
      <c r="I824" s="48"/>
      <c r="J824" s="48"/>
      <c r="K824" s="48"/>
      <c r="L824" s="49"/>
      <c r="M824" s="1688"/>
      <c r="N824" s="1688"/>
      <c r="O824" s="1688"/>
      <c r="P824" s="1689"/>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3.25" customHeight="1">
      <c r="A825"/>
      <c r="B825"/>
      <c r="C825" s="1602" t="s">
        <v>40</v>
      </c>
      <c r="D825" s="1483"/>
      <c r="E825" s="1483"/>
      <c r="F825" s="1483"/>
      <c r="G825" s="1483"/>
      <c r="H825" s="1483"/>
      <c r="I825" s="48"/>
      <c r="J825" s="48"/>
      <c r="K825" s="48"/>
      <c r="L825" s="49"/>
      <c r="M825" s="1599">
        <v>23</v>
      </c>
      <c r="N825" s="1599"/>
      <c r="O825" s="1599"/>
      <c r="P825" s="1599"/>
      <c r="Q825" s="1599">
        <v>28</v>
      </c>
      <c r="R825" s="1599"/>
      <c r="S825" s="1599"/>
      <c r="T825" s="1599"/>
      <c r="U825" s="1599">
        <v>32</v>
      </c>
      <c r="V825" s="1599"/>
      <c r="W825" s="1599"/>
      <c r="X825" s="1599"/>
      <c r="Y825" s="1599">
        <v>36</v>
      </c>
      <c r="Z825" s="1599"/>
      <c r="AA825" s="1599"/>
      <c r="AB825" s="1599"/>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25" customHeight="1">
      <c r="A826"/>
      <c r="B826"/>
      <c r="C826" s="1504" t="s">
        <v>41</v>
      </c>
      <c r="D826" s="1441"/>
      <c r="E826" s="1441"/>
      <c r="F826" s="1441"/>
      <c r="G826" s="1441"/>
      <c r="H826" s="1441"/>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25" customHeight="1">
      <c r="A827"/>
      <c r="B827"/>
      <c r="C827" s="1504" t="s">
        <v>42</v>
      </c>
      <c r="D827" s="1441"/>
      <c r="E827" s="1441"/>
      <c r="F827" s="1441"/>
      <c r="G827" s="1441"/>
      <c r="H827" s="1441"/>
      <c r="I827" s="60"/>
      <c r="J827" s="60"/>
      <c r="K827" s="60"/>
      <c r="L827" s="61"/>
      <c r="M827" s="1599">
        <v>10</v>
      </c>
      <c r="N827" s="1599"/>
      <c r="O827" s="1599"/>
      <c r="P827" s="1599"/>
      <c r="Q827" s="1599">
        <v>12</v>
      </c>
      <c r="R827" s="1599"/>
      <c r="S827" s="1599"/>
      <c r="T827" s="1599"/>
      <c r="U827" s="1599">
        <v>18</v>
      </c>
      <c r="V827" s="1599"/>
      <c r="W827" s="1599"/>
      <c r="X827" s="1599"/>
      <c r="Y827" s="1599">
        <v>28</v>
      </c>
      <c r="Z827" s="1599"/>
      <c r="AA827" s="1599"/>
      <c r="AB827" s="1599"/>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25" customHeight="1">
      <c r="A828"/>
      <c r="B828"/>
      <c r="C828" s="1504" t="s">
        <v>763</v>
      </c>
      <c r="D828" s="1441"/>
      <c r="E828" s="1441"/>
      <c r="F828" s="1441"/>
      <c r="G828" s="1441"/>
      <c r="H828" s="1441"/>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25" customHeight="1">
      <c r="A829"/>
      <c r="B829"/>
      <c r="C829" s="1504" t="s">
        <v>460</v>
      </c>
      <c r="D829" s="1441"/>
      <c r="E829" s="1441"/>
      <c r="F829" s="1441"/>
      <c r="G829" s="1441"/>
      <c r="H829" s="1441"/>
      <c r="I829" s="60"/>
      <c r="J829" s="60"/>
      <c r="K829" s="60"/>
      <c r="L829" s="61"/>
      <c r="M829" s="1599">
        <v>39</v>
      </c>
      <c r="N829" s="1599"/>
      <c r="O829" s="1599"/>
      <c r="P829" s="1599"/>
      <c r="Q829" s="1599">
        <v>46</v>
      </c>
      <c r="R829" s="1599"/>
      <c r="S829" s="1599"/>
      <c r="T829" s="1599"/>
      <c r="U829" s="1599">
        <v>64</v>
      </c>
      <c r="V829" s="1599"/>
      <c r="W829" s="1599"/>
      <c r="X829" s="1599"/>
      <c r="Y829" s="1599">
        <v>82</v>
      </c>
      <c r="Z829" s="1599"/>
      <c r="AA829" s="1599"/>
      <c r="AB829" s="1599"/>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25" customHeight="1">
      <c r="A830"/>
      <c r="B830"/>
      <c r="C830" s="1701" t="s">
        <v>784</v>
      </c>
      <c r="D830" s="1441"/>
      <c r="E830" s="1441"/>
      <c r="F830" s="1441"/>
      <c r="G830" s="1441"/>
      <c r="H830" s="1441"/>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25" customHeight="1">
      <c r="A831"/>
      <c r="B831"/>
      <c r="C831" s="59" t="s">
        <v>293</v>
      </c>
      <c r="D831" s="60"/>
      <c r="E831" s="60"/>
      <c r="F831" s="1641" t="s">
        <v>334</v>
      </c>
      <c r="G831" s="1642"/>
      <c r="H831" s="1642"/>
      <c r="I831" s="1642"/>
      <c r="J831" s="1642"/>
      <c r="K831" s="1642"/>
      <c r="L831" s="1642"/>
      <c r="M831" s="1599"/>
      <c r="N831" s="1599"/>
      <c r="O831" s="1599"/>
      <c r="P831" s="1599"/>
      <c r="Q831" s="1599"/>
      <c r="R831" s="1599"/>
      <c r="S831" s="1599"/>
      <c r="T831" s="1599"/>
      <c r="U831" s="1599"/>
      <c r="V831" s="1599"/>
      <c r="W831" s="1599"/>
      <c r="X831" s="1599"/>
      <c r="Y831" s="1599"/>
      <c r="Z831" s="1599"/>
      <c r="AA831" s="1599"/>
      <c r="AB831" s="1599"/>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25" customHeight="1">
      <c r="A832"/>
      <c r="B832"/>
      <c r="C832" s="1408" t="s">
        <v>124</v>
      </c>
      <c r="D832" s="1409"/>
      <c r="E832" s="1409"/>
      <c r="F832" s="1409"/>
      <c r="G832" s="1409"/>
      <c r="H832" s="1409"/>
      <c r="I832" s="1409"/>
      <c r="J832" s="1409"/>
      <c r="K832" s="1409"/>
      <c r="L832" s="1411"/>
      <c r="M832" s="1648">
        <f>SUM(M825:P831)</f>
        <v>72</v>
      </c>
      <c r="N832" s="1648"/>
      <c r="O832" s="1648"/>
      <c r="P832" s="1648"/>
      <c r="Q832" s="1648">
        <f>SUM(Q825:T831)</f>
        <v>86</v>
      </c>
      <c r="R832" s="1648"/>
      <c r="S832" s="1648"/>
      <c r="T832" s="1648"/>
      <c r="U832" s="1648">
        <f>SUM(U825:X831)</f>
        <v>114</v>
      </c>
      <c r="V832" s="1648"/>
      <c r="W832" s="1648"/>
      <c r="X832" s="1648"/>
      <c r="Y832" s="1648">
        <f>SUM(Y825:AB831)</f>
        <v>146</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3.2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2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2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2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25" customHeight="1">
      <c r="A837"/>
      <c r="B837"/>
      <c r="C837" s="1654" t="s">
        <v>2614</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3.2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2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3.25" customHeight="1">
      <c r="A842"/>
      <c r="B842"/>
      <c r="C842" s="2" t="s">
        <v>343</v>
      </c>
      <c r="D842"/>
      <c r="E842"/>
      <c r="F842"/>
      <c r="G842"/>
      <c r="H842"/>
      <c r="I842"/>
      <c r="J842" s="45" t="s">
        <v>356</v>
      </c>
      <c r="K842" s="5"/>
      <c r="L842" s="5"/>
      <c r="M842" s="5"/>
      <c r="N842" s="5"/>
      <c r="O842" s="5"/>
      <c r="P842" s="5"/>
      <c r="Q842" s="5"/>
      <c r="R842" s="5"/>
      <c r="S842" s="5"/>
      <c r="T842" s="5"/>
      <c r="U842" s="5"/>
      <c r="V842" s="46"/>
      <c r="W842" s="1637">
        <v>1950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3.25" customHeight="1">
      <c r="A843"/>
      <c r="B843"/>
      <c r="C843"/>
      <c r="D843"/>
      <c r="E843"/>
      <c r="F843"/>
      <c r="G843"/>
      <c r="H843"/>
      <c r="I843"/>
      <c r="J843" s="45" t="s">
        <v>355</v>
      </c>
      <c r="K843" s="5"/>
      <c r="L843" s="5"/>
      <c r="M843" s="5"/>
      <c r="N843" s="5"/>
      <c r="O843" s="5"/>
      <c r="P843" s="5"/>
      <c r="Q843" s="5"/>
      <c r="R843" s="5"/>
      <c r="S843" s="5"/>
      <c r="T843" s="5"/>
      <c r="U843" s="5"/>
      <c r="V843" s="46"/>
      <c r="W843" s="1637"/>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3.25" customHeight="1">
      <c r="J844" s="45" t="s">
        <v>354</v>
      </c>
      <c r="K844" s="5"/>
      <c r="L844" s="5"/>
      <c r="M844" s="5"/>
      <c r="N844" s="5"/>
      <c r="O844" s="5"/>
      <c r="P844" s="5"/>
      <c r="Q844" s="5"/>
      <c r="R844" s="5"/>
      <c r="S844" s="5"/>
      <c r="T844" s="5"/>
      <c r="U844" s="5"/>
      <c r="V844" s="46"/>
      <c r="W844" s="1637">
        <v>12000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3.25" customHeight="1">
      <c r="J845" s="45" t="s">
        <v>353</v>
      </c>
      <c r="K845" s="5"/>
      <c r="L845" s="5"/>
      <c r="M845" s="5"/>
      <c r="N845" s="5"/>
      <c r="O845" s="5"/>
      <c r="P845" s="5"/>
      <c r="Q845" s="5"/>
      <c r="R845" s="5"/>
      <c r="S845" s="5"/>
      <c r="T845" s="5"/>
      <c r="U845" s="5"/>
      <c r="V845" s="46"/>
      <c r="W845" s="1637"/>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3.25" customHeight="1">
      <c r="J846" s="45" t="s">
        <v>170</v>
      </c>
      <c r="K846" s="5"/>
      <c r="L846" s="5"/>
      <c r="M846" s="1641" t="s">
        <v>2701</v>
      </c>
      <c r="N846" s="1642"/>
      <c r="O846" s="1642"/>
      <c r="P846" s="1642"/>
      <c r="Q846" s="1642"/>
      <c r="R846" s="1642"/>
      <c r="S846" s="1642"/>
      <c r="T846" s="1642"/>
      <c r="U846" s="1642"/>
      <c r="V846" s="1643"/>
      <c r="W846" s="1637">
        <v>31200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3.25" customHeight="1">
      <c r="J847" s="45"/>
      <c r="K847" s="5"/>
      <c r="L847" s="5"/>
      <c r="M847" s="5"/>
      <c r="N847" s="5"/>
      <c r="O847" s="5"/>
      <c r="P847" s="5"/>
      <c r="Q847" s="5"/>
      <c r="R847" s="5"/>
      <c r="S847" s="5"/>
      <c r="T847" s="5"/>
      <c r="U847" s="5"/>
      <c r="V847" s="54" t="s">
        <v>342</v>
      </c>
      <c r="W847" s="1472">
        <f>SUM(W842:W846)</f>
        <v>45150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25" customHeight="1">
      <c r="AZ848" s="30"/>
      <c r="BA848" s="30"/>
      <c r="BB848" s="14"/>
      <c r="BC848" s="14"/>
      <c r="BD848" s="14"/>
      <c r="BE848" s="14"/>
      <c r="BF848" s="14"/>
      <c r="BG848" s="1633"/>
      <c r="BH848" s="1633"/>
      <c r="BI848" s="1633"/>
      <c r="BJ848" s="1633"/>
      <c r="BK848" s="1633"/>
      <c r="BL848" s="1633"/>
    </row>
    <row r="849" spans="3:55" ht="13.25" customHeight="1">
      <c r="C849" s="2" t="s">
        <v>344</v>
      </c>
      <c r="J849" s="1408" t="s">
        <v>345</v>
      </c>
      <c r="K849" s="1409"/>
      <c r="L849" s="1409"/>
      <c r="M849" s="1409"/>
      <c r="N849" s="1409"/>
      <c r="O849" s="1409"/>
      <c r="P849" s="1409"/>
      <c r="Q849" s="1409"/>
      <c r="R849" s="1409"/>
      <c r="S849" s="1409"/>
      <c r="T849" s="1409"/>
      <c r="U849" s="1409"/>
      <c r="V849" s="1411"/>
      <c r="W849" s="1475">
        <v>72093</v>
      </c>
      <c r="X849" s="1338"/>
      <c r="Y849" s="1338"/>
      <c r="Z849" s="1338"/>
      <c r="AA849" s="1338"/>
      <c r="AB849" s="1338"/>
      <c r="AC849" s="1339"/>
      <c r="AD849" s="533"/>
      <c r="AZ849" s="30"/>
      <c r="BA849" s="30"/>
      <c r="BB849" s="14"/>
      <c r="BC849" s="14"/>
    </row>
    <row r="850" spans="3:55" ht="13.25" customHeight="1">
      <c r="AD850" s="533"/>
      <c r="AZ850" s="30"/>
      <c r="BA850" s="30"/>
      <c r="BB850" s="14"/>
      <c r="BC850" s="14"/>
    </row>
    <row r="851" spans="3:55" ht="13.2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3.2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3.25" customHeight="1">
      <c r="J853" s="45" t="s">
        <v>460</v>
      </c>
      <c r="K853" s="5"/>
      <c r="L853" s="5"/>
      <c r="M853" s="5"/>
      <c r="N853" s="5"/>
      <c r="O853" s="5"/>
      <c r="P853" s="5"/>
      <c r="Q853" s="5"/>
      <c r="R853" s="5"/>
      <c r="S853" s="5"/>
      <c r="T853" s="5"/>
      <c r="U853" s="5"/>
      <c r="V853" s="46"/>
      <c r="W853" s="1652">
        <v>39000</v>
      </c>
      <c r="X853" s="1652"/>
      <c r="Y853" s="1652"/>
      <c r="Z853" s="1652"/>
      <c r="AA853" s="1652"/>
      <c r="AB853" s="1652"/>
      <c r="AC853" s="1652"/>
      <c r="AZ853" s="30"/>
      <c r="BA853" s="30"/>
      <c r="BB853" s="14"/>
      <c r="BC853" s="14"/>
    </row>
    <row r="854" spans="3:55" ht="13.25" customHeight="1">
      <c r="J854" s="62" t="s">
        <v>621</v>
      </c>
      <c r="K854" s="5"/>
      <c r="L854" s="5"/>
      <c r="M854" s="5"/>
      <c r="N854" s="5"/>
      <c r="O854" s="5"/>
      <c r="P854" s="5"/>
      <c r="Q854" s="5"/>
      <c r="R854" s="5"/>
      <c r="S854" s="5"/>
      <c r="T854" s="5"/>
      <c r="U854" s="5"/>
      <c r="V854" s="46"/>
      <c r="W854" s="1652">
        <v>37440</v>
      </c>
      <c r="X854" s="1652"/>
      <c r="Y854" s="1652"/>
      <c r="Z854" s="1652"/>
      <c r="AA854" s="1652"/>
      <c r="AB854" s="1652"/>
      <c r="AC854" s="1652"/>
      <c r="AZ854" s="34"/>
      <c r="BA854" s="34"/>
      <c r="BB854" s="34"/>
      <c r="BC854" s="34"/>
    </row>
    <row r="855" spans="3:55" ht="13.25" customHeight="1">
      <c r="J855" s="63"/>
      <c r="K855" s="48"/>
      <c r="L855" s="48"/>
      <c r="M855" s="48"/>
      <c r="N855" s="48"/>
      <c r="O855" s="48"/>
      <c r="P855" s="48"/>
      <c r="Q855" s="48"/>
      <c r="R855" s="48"/>
      <c r="S855" s="48"/>
      <c r="T855" s="48"/>
      <c r="U855" s="48"/>
      <c r="V855" s="54" t="s">
        <v>272</v>
      </c>
      <c r="W855" s="1653">
        <f>SUM(W851:W854)</f>
        <v>76440</v>
      </c>
      <c r="X855" s="1653"/>
      <c r="Y855" s="1653"/>
      <c r="Z855" s="1653"/>
      <c r="AA855" s="1653"/>
      <c r="AB855" s="1653"/>
      <c r="AC855" s="1653"/>
      <c r="AZ855" s="34"/>
      <c r="BA855" s="34"/>
      <c r="BB855" s="34"/>
      <c r="BC855" s="34"/>
    </row>
    <row r="856" spans="3:55" ht="13.25" customHeight="1">
      <c r="AZ856" s="34"/>
      <c r="BA856" s="34"/>
      <c r="BB856" s="34"/>
      <c r="BC856" s="34"/>
    </row>
    <row r="857" spans="3:55" ht="13.25" customHeight="1">
      <c r="C857" s="2" t="s">
        <v>346</v>
      </c>
      <c r="J857" s="45" t="s">
        <v>620</v>
      </c>
      <c r="K857" s="5"/>
      <c r="L857" s="5"/>
      <c r="M857" s="5"/>
      <c r="N857" s="5"/>
      <c r="O857" s="5"/>
      <c r="P857" s="5"/>
      <c r="Q857" s="5"/>
      <c r="R857" s="5"/>
      <c r="S857" s="5"/>
      <c r="T857" s="5"/>
      <c r="U857" s="5"/>
      <c r="V857" s="46"/>
      <c r="W857" s="1649">
        <v>56160</v>
      </c>
      <c r="X857" s="1650"/>
      <c r="Y857" s="1650"/>
      <c r="Z857" s="1650"/>
      <c r="AA857" s="1650"/>
      <c r="AB857" s="1650"/>
      <c r="AC857" s="1651"/>
      <c r="AD857" s="528"/>
      <c r="AZ857" s="34"/>
      <c r="BA857" s="34"/>
      <c r="BB857" s="34"/>
      <c r="BC857" s="34"/>
    </row>
    <row r="858" spans="3:55" ht="13.25" customHeight="1">
      <c r="C858" s="2" t="s">
        <v>347</v>
      </c>
      <c r="J858" s="121" t="s">
        <v>1656</v>
      </c>
      <c r="K858" s="5"/>
      <c r="L858" s="5"/>
      <c r="M858" s="5"/>
      <c r="N858" s="5"/>
      <c r="O858" s="5"/>
      <c r="P858" s="5"/>
      <c r="Q858" s="5"/>
      <c r="R858" s="5"/>
      <c r="S858" s="5"/>
      <c r="T858" s="1635">
        <v>2</v>
      </c>
      <c r="U858" s="1598"/>
      <c r="V858" s="1636"/>
      <c r="W858" s="874"/>
      <c r="X858" s="875"/>
      <c r="Y858" s="875"/>
      <c r="Z858" s="875"/>
      <c r="AA858" s="875"/>
      <c r="AB858" s="875"/>
      <c r="AC858" s="876"/>
      <c r="AD858" s="528"/>
      <c r="AZ858" s="34"/>
      <c r="BA858" s="34"/>
      <c r="BB858" s="34"/>
      <c r="BC858" s="34"/>
    </row>
    <row r="859" spans="3:55" ht="13.25" customHeight="1">
      <c r="C859" s="2"/>
      <c r="J859" s="45" t="s">
        <v>619</v>
      </c>
      <c r="K859" s="5"/>
      <c r="L859" s="5"/>
      <c r="M859" s="5"/>
      <c r="N859" s="5"/>
      <c r="O859" s="5"/>
      <c r="P859" s="5"/>
      <c r="Q859" s="5"/>
      <c r="R859" s="5"/>
      <c r="S859" s="5"/>
      <c r="T859" s="5"/>
      <c r="U859" s="5"/>
      <c r="V859" s="46"/>
      <c r="W859" s="1649">
        <v>52000</v>
      </c>
      <c r="X859" s="1650"/>
      <c r="Y859" s="1650"/>
      <c r="Z859" s="1650"/>
      <c r="AA859" s="1650"/>
      <c r="AB859" s="1650"/>
      <c r="AC859" s="1651"/>
      <c r="AD859" s="533"/>
      <c r="AZ859" s="34"/>
      <c r="BA859" s="34"/>
      <c r="BB859" s="34"/>
      <c r="BC859" s="34"/>
    </row>
    <row r="860" spans="3:55" ht="13.25" customHeight="1">
      <c r="C860" s="2"/>
      <c r="J860" s="121" t="s">
        <v>1657</v>
      </c>
      <c r="K860" s="5"/>
      <c r="L860" s="5"/>
      <c r="M860" s="5"/>
      <c r="N860" s="5"/>
      <c r="O860" s="5"/>
      <c r="P860" s="5"/>
      <c r="Q860" s="5"/>
      <c r="R860" s="5"/>
      <c r="S860" s="5"/>
      <c r="T860" s="1635">
        <v>1</v>
      </c>
      <c r="U860" s="1598"/>
      <c r="V860" s="1636"/>
      <c r="W860" s="874"/>
      <c r="X860" s="875"/>
      <c r="Y860" s="875"/>
      <c r="Z860" s="875"/>
      <c r="AA860" s="875"/>
      <c r="AB860" s="875"/>
      <c r="AC860" s="876"/>
      <c r="AD860" s="533"/>
      <c r="AZ860" s="34"/>
      <c r="BA860" s="34"/>
      <c r="BB860" s="34"/>
      <c r="BC860" s="34"/>
    </row>
    <row r="861" spans="3:55" ht="13.25" customHeight="1">
      <c r="J861" s="45" t="s">
        <v>170</v>
      </c>
      <c r="K861" s="5"/>
      <c r="L861" s="5"/>
      <c r="M861" s="1641" t="s">
        <v>2702</v>
      </c>
      <c r="N861" s="1642"/>
      <c r="O861" s="1642"/>
      <c r="P861" s="1642"/>
      <c r="Q861" s="1642"/>
      <c r="R861" s="1642"/>
      <c r="S861" s="1642"/>
      <c r="T861" s="1642"/>
      <c r="U861" s="1642"/>
      <c r="V861" s="1643"/>
      <c r="W861" s="1649">
        <v>39869</v>
      </c>
      <c r="X861" s="1650"/>
      <c r="Y861" s="1650"/>
      <c r="Z861" s="1650"/>
      <c r="AA861" s="1650"/>
      <c r="AB861" s="1650"/>
      <c r="AC861" s="1651"/>
      <c r="AD861" s="528"/>
      <c r="AU861" s="14"/>
      <c r="AZ861" s="34"/>
      <c r="BA861" s="34"/>
      <c r="BB861" s="34"/>
      <c r="BC861" s="34"/>
    </row>
    <row r="862" spans="3:55" ht="13.25" customHeight="1">
      <c r="J862" s="45"/>
      <c r="K862" s="5"/>
      <c r="L862" s="5"/>
      <c r="M862" s="5"/>
      <c r="N862" s="5"/>
      <c r="O862" s="5"/>
      <c r="P862" s="5"/>
      <c r="Q862" s="5"/>
      <c r="R862" s="5"/>
      <c r="S862" s="5"/>
      <c r="T862" s="5"/>
      <c r="U862" s="5"/>
      <c r="V862" s="54" t="s">
        <v>273</v>
      </c>
      <c r="W862" s="1638">
        <f>SUM(W857:W861)</f>
        <v>148029</v>
      </c>
      <c r="X862" s="1639"/>
      <c r="Y862" s="1639"/>
      <c r="Z862" s="1639"/>
      <c r="AA862" s="1639"/>
      <c r="AB862" s="1639"/>
      <c r="AC862" s="1640"/>
      <c r="AD862" s="533"/>
      <c r="AU862" s="14"/>
      <c r="AZ862" s="34"/>
      <c r="BA862" s="34"/>
      <c r="BB862" s="34"/>
      <c r="BC862" s="34"/>
    </row>
    <row r="863" spans="3:55" ht="13.25" customHeight="1">
      <c r="J863" s="45"/>
      <c r="K863" s="5"/>
      <c r="L863" s="5"/>
      <c r="M863" s="5"/>
      <c r="N863" s="5"/>
      <c r="O863" s="5"/>
      <c r="P863" s="5"/>
      <c r="Q863" s="5"/>
      <c r="R863" s="5"/>
      <c r="S863" s="5"/>
      <c r="T863" s="5"/>
      <c r="U863" s="5"/>
      <c r="V863" s="54" t="s">
        <v>274</v>
      </c>
      <c r="W863" s="1649">
        <v>93600</v>
      </c>
      <c r="X863" s="1650"/>
      <c r="Y863" s="1650"/>
      <c r="Z863" s="1650"/>
      <c r="AA863" s="1650"/>
      <c r="AB863" s="1650"/>
      <c r="AC863" s="1651"/>
      <c r="AU863" s="14"/>
      <c r="AZ863" s="34"/>
      <c r="BA863" s="34"/>
      <c r="BB863" s="34"/>
      <c r="BC863" s="34"/>
    </row>
    <row r="864" spans="3:55" ht="13.25" customHeight="1">
      <c r="J864" s="512"/>
      <c r="AU864" s="14"/>
      <c r="AZ864" s="34"/>
      <c r="BA864" s="34"/>
      <c r="BB864" s="34"/>
      <c r="BC864" s="34"/>
    </row>
    <row r="865" spans="3:55" ht="13.25" customHeight="1">
      <c r="C865" s="2" t="s">
        <v>390</v>
      </c>
      <c r="J865" s="45" t="s">
        <v>618</v>
      </c>
      <c r="K865" s="5"/>
      <c r="L865" s="5"/>
      <c r="M865" s="5"/>
      <c r="N865" s="5"/>
      <c r="O865" s="5"/>
      <c r="P865" s="5"/>
      <c r="Q865" s="5"/>
      <c r="R865" s="5"/>
      <c r="S865" s="5"/>
      <c r="T865" s="5"/>
      <c r="U865" s="5"/>
      <c r="V865" s="46"/>
      <c r="W865" s="1637"/>
      <c r="X865" s="1637"/>
      <c r="Y865" s="1637"/>
      <c r="Z865" s="1637"/>
      <c r="AA865" s="1637"/>
      <c r="AB865" s="1637"/>
      <c r="AC865" s="1637"/>
      <c r="AU865" s="14"/>
      <c r="AZ865" s="34"/>
      <c r="BA865" s="34"/>
      <c r="BB865" s="34"/>
      <c r="BC865" s="34"/>
    </row>
    <row r="866" spans="3:55" ht="13.25" customHeight="1">
      <c r="J866" s="45" t="s">
        <v>523</v>
      </c>
      <c r="K866" s="5"/>
      <c r="L866" s="5"/>
      <c r="M866" s="5"/>
      <c r="N866" s="5"/>
      <c r="O866" s="5"/>
      <c r="P866" s="5"/>
      <c r="Q866" s="5"/>
      <c r="R866" s="5"/>
      <c r="S866" s="5"/>
      <c r="T866" s="5"/>
      <c r="U866" s="5"/>
      <c r="V866" s="46"/>
      <c r="W866" s="1637">
        <v>50700</v>
      </c>
      <c r="X866" s="1637"/>
      <c r="Y866" s="1637"/>
      <c r="Z866" s="1637"/>
      <c r="AA866" s="1637"/>
      <c r="AB866" s="1637"/>
      <c r="AC866" s="1637"/>
      <c r="AU866" s="4"/>
      <c r="AZ866" s="34"/>
      <c r="BA866" s="34"/>
      <c r="BB866" s="34"/>
      <c r="BC866" s="34"/>
    </row>
    <row r="867" spans="3:55" ht="13.25" customHeight="1">
      <c r="J867" s="45" t="s">
        <v>522</v>
      </c>
      <c r="K867" s="5"/>
      <c r="L867" s="5"/>
      <c r="M867" s="5"/>
      <c r="N867" s="5"/>
      <c r="O867" s="5"/>
      <c r="P867" s="5"/>
      <c r="Q867" s="5"/>
      <c r="R867" s="5"/>
      <c r="S867" s="5"/>
      <c r="T867" s="5"/>
      <c r="U867" s="5"/>
      <c r="V867" s="46"/>
      <c r="W867" s="1637">
        <v>21450</v>
      </c>
      <c r="X867" s="1637"/>
      <c r="Y867" s="1637"/>
      <c r="Z867" s="1637"/>
      <c r="AA867" s="1637"/>
      <c r="AB867" s="1637"/>
      <c r="AC867" s="1637"/>
      <c r="AU867" s="4"/>
      <c r="AZ867" s="34"/>
      <c r="BA867" s="34"/>
      <c r="BB867" s="34"/>
      <c r="BC867" s="34"/>
    </row>
    <row r="868" spans="3:55" ht="13.25" customHeight="1">
      <c r="J868" s="45" t="s">
        <v>521</v>
      </c>
      <c r="K868" s="5"/>
      <c r="L868" s="5"/>
      <c r="M868" s="5"/>
      <c r="N868" s="5"/>
      <c r="O868" s="5"/>
      <c r="P868" s="5"/>
      <c r="Q868" s="5"/>
      <c r="R868" s="5"/>
      <c r="S868" s="5"/>
      <c r="T868" s="5"/>
      <c r="U868" s="5"/>
      <c r="V868" s="46"/>
      <c r="W868" s="1637"/>
      <c r="X868" s="1637"/>
      <c r="Y868" s="1637"/>
      <c r="Z868" s="1637"/>
      <c r="AA868" s="1637"/>
      <c r="AB868" s="1637"/>
      <c r="AC868" s="1637"/>
      <c r="AU868" s="4"/>
      <c r="AZ868" s="34"/>
      <c r="BA868" s="34"/>
      <c r="BB868" s="34"/>
      <c r="BC868" s="34"/>
    </row>
    <row r="869" spans="3:55" ht="13.25" customHeight="1">
      <c r="J869" s="45" t="s">
        <v>520</v>
      </c>
      <c r="K869" s="5"/>
      <c r="L869" s="5"/>
      <c r="M869" s="5"/>
      <c r="N869" s="5"/>
      <c r="O869" s="5"/>
      <c r="P869" s="5"/>
      <c r="Q869" s="5"/>
      <c r="R869" s="5"/>
      <c r="S869" s="5"/>
      <c r="T869" s="5"/>
      <c r="U869" s="5"/>
      <c r="V869" s="46"/>
      <c r="W869" s="1637"/>
      <c r="X869" s="1637"/>
      <c r="Y869" s="1637"/>
      <c r="Z869" s="1637"/>
      <c r="AA869" s="1637"/>
      <c r="AB869" s="1637"/>
      <c r="AC869" s="1637"/>
      <c r="AU869" s="4"/>
      <c r="AZ869" s="34"/>
      <c r="BA869" s="34"/>
      <c r="BB869" s="34"/>
      <c r="BC869" s="34"/>
    </row>
    <row r="870" spans="3:55" ht="13.25" customHeight="1">
      <c r="J870" s="45" t="s">
        <v>519</v>
      </c>
      <c r="K870" s="5"/>
      <c r="L870" s="5"/>
      <c r="M870" s="5"/>
      <c r="N870" s="5"/>
      <c r="O870" s="5"/>
      <c r="P870" s="5"/>
      <c r="Q870" s="5"/>
      <c r="R870" s="5"/>
      <c r="S870" s="5"/>
      <c r="T870" s="5"/>
      <c r="U870" s="5"/>
      <c r="V870" s="46"/>
      <c r="W870" s="1637"/>
      <c r="X870" s="1637"/>
      <c r="Y870" s="1637"/>
      <c r="Z870" s="1637"/>
      <c r="AA870" s="1637"/>
      <c r="AB870" s="1637"/>
      <c r="AC870" s="1637"/>
      <c r="AU870" s="4"/>
      <c r="AZ870" s="34"/>
      <c r="BA870" s="34"/>
      <c r="BB870" s="34"/>
      <c r="BC870" s="34"/>
    </row>
    <row r="871" spans="3:55" ht="13.25" customHeight="1">
      <c r="J871" s="45" t="s">
        <v>170</v>
      </c>
      <c r="K871" s="5"/>
      <c r="L871" s="5"/>
      <c r="M871" s="1641" t="s">
        <v>334</v>
      </c>
      <c r="N871" s="1642"/>
      <c r="O871" s="1642"/>
      <c r="P871" s="1642"/>
      <c r="Q871" s="1642"/>
      <c r="R871" s="1642"/>
      <c r="S871" s="1642"/>
      <c r="T871" s="1642"/>
      <c r="U871" s="1642"/>
      <c r="V871" s="1643"/>
      <c r="W871" s="1637"/>
      <c r="X871" s="1637"/>
      <c r="Y871" s="1637"/>
      <c r="Z871" s="1637"/>
      <c r="AA871" s="1637"/>
      <c r="AB871" s="1637"/>
      <c r="AC871" s="1637"/>
      <c r="AD871" s="533"/>
      <c r="AU871" s="4"/>
      <c r="AV871" s="14"/>
      <c r="AW871" s="14"/>
      <c r="AX871" s="14"/>
      <c r="AY871" s="14"/>
      <c r="AZ871" s="34"/>
      <c r="BA871" s="34"/>
      <c r="BB871" s="34"/>
      <c r="BC871" s="34"/>
    </row>
    <row r="872" spans="3:55" ht="13.25" customHeight="1">
      <c r="J872" s="45"/>
      <c r="K872" s="5"/>
      <c r="L872" s="5"/>
      <c r="M872" s="5"/>
      <c r="N872" s="5"/>
      <c r="O872" s="5"/>
      <c r="P872" s="5"/>
      <c r="Q872" s="5"/>
      <c r="R872" s="5"/>
      <c r="S872" s="5"/>
      <c r="T872" s="5"/>
      <c r="U872" s="5"/>
      <c r="V872" s="54" t="s">
        <v>275</v>
      </c>
      <c r="W872" s="1600">
        <f>SUM(W865:W871)</f>
        <v>72150</v>
      </c>
      <c r="X872" s="1600"/>
      <c r="Y872" s="1600"/>
      <c r="Z872" s="1600"/>
      <c r="AA872" s="1600"/>
      <c r="AB872" s="1600"/>
      <c r="AC872" s="1600"/>
      <c r="AU872" s="4"/>
      <c r="AV872" s="14"/>
      <c r="AW872" s="14"/>
      <c r="AX872" s="14"/>
      <c r="AY872" s="14"/>
      <c r="AZ872" s="34"/>
      <c r="BA872" s="34"/>
      <c r="BB872" s="34"/>
      <c r="BC872" s="34"/>
    </row>
    <row r="873" spans="3:55" ht="13.25" customHeight="1">
      <c r="AU873" s="4"/>
      <c r="AV873" s="14"/>
      <c r="AW873" s="14"/>
      <c r="AX873" s="14"/>
      <c r="AY873" s="14"/>
      <c r="AZ873" s="34"/>
      <c r="BA873" s="34"/>
      <c r="BB873" s="34"/>
      <c r="BC873" s="34"/>
    </row>
    <row r="874" spans="3:55" ht="13.25" customHeight="1">
      <c r="C874" s="2" t="s">
        <v>1244</v>
      </c>
      <c r="J874" s="45" t="s">
        <v>170</v>
      </c>
      <c r="K874" s="5"/>
      <c r="L874" s="5"/>
      <c r="M874" s="1641" t="s">
        <v>2703</v>
      </c>
      <c r="N874" s="1642"/>
      <c r="O874" s="1642"/>
      <c r="P874" s="1642"/>
      <c r="Q874" s="1642"/>
      <c r="R874" s="1642"/>
      <c r="S874" s="1642"/>
      <c r="T874" s="1642"/>
      <c r="U874" s="1642"/>
      <c r="V874" s="1643"/>
      <c r="W874" s="1475">
        <v>15570</v>
      </c>
      <c r="X874" s="1338"/>
      <c r="Y874" s="1338"/>
      <c r="Z874" s="1338"/>
      <c r="AA874" s="1338"/>
      <c r="AB874" s="1338"/>
      <c r="AC874" s="1339"/>
      <c r="AD874" s="533"/>
      <c r="AV874" s="14"/>
      <c r="AW874" s="14"/>
      <c r="AX874" s="14"/>
      <c r="AY874" s="14"/>
      <c r="AZ874" s="34"/>
      <c r="BA874" s="34"/>
      <c r="BB874" s="34"/>
      <c r="BC874" s="34"/>
    </row>
    <row r="875" spans="3:55" ht="13.25" customHeight="1">
      <c r="C875" s="2" t="s">
        <v>1245</v>
      </c>
      <c r="J875" s="45" t="s">
        <v>170</v>
      </c>
      <c r="K875" s="5"/>
      <c r="L875" s="5"/>
      <c r="M875" s="1641" t="s">
        <v>334</v>
      </c>
      <c r="N875" s="1642"/>
      <c r="O875" s="1642"/>
      <c r="P875" s="1642"/>
      <c r="Q875" s="1642"/>
      <c r="R875" s="1642"/>
      <c r="S875" s="1642"/>
      <c r="T875" s="1642"/>
      <c r="U875" s="1642"/>
      <c r="V875" s="1643"/>
      <c r="W875" s="1475"/>
      <c r="X875" s="1338"/>
      <c r="Y875" s="1338"/>
      <c r="Z875" s="1338"/>
      <c r="AA875" s="1338"/>
      <c r="AB875" s="1338"/>
      <c r="AC875" s="1339"/>
      <c r="AD875" s="533"/>
      <c r="AV875" s="14"/>
      <c r="AW875" s="14"/>
      <c r="AX875" s="14"/>
      <c r="AY875" s="14"/>
      <c r="AZ875" s="34"/>
      <c r="BA875" s="34"/>
      <c r="BB875" s="34"/>
      <c r="BC875" s="34"/>
    </row>
    <row r="876" spans="3:55" ht="13.25" customHeight="1">
      <c r="J876" s="45" t="s">
        <v>170</v>
      </c>
      <c r="K876" s="5"/>
      <c r="L876" s="5"/>
      <c r="M876" s="1641" t="s">
        <v>334</v>
      </c>
      <c r="N876" s="1642"/>
      <c r="O876" s="1642"/>
      <c r="P876" s="1642"/>
      <c r="Q876" s="1642"/>
      <c r="R876" s="1642"/>
      <c r="S876" s="1642"/>
      <c r="T876" s="1642"/>
      <c r="U876" s="1642"/>
      <c r="V876" s="1643"/>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25" customHeight="1">
      <c r="J877" s="45" t="s">
        <v>170</v>
      </c>
      <c r="K877" s="5"/>
      <c r="L877" s="5"/>
      <c r="M877" s="1641" t="s">
        <v>334</v>
      </c>
      <c r="N877" s="1642"/>
      <c r="O877" s="1642"/>
      <c r="P877" s="1642"/>
      <c r="Q877" s="1642"/>
      <c r="R877" s="1642"/>
      <c r="S877" s="1642"/>
      <c r="T877" s="1642"/>
      <c r="U877" s="1642"/>
      <c r="V877" s="1643"/>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25" customHeight="1">
      <c r="J878" s="45" t="s">
        <v>170</v>
      </c>
      <c r="K878" s="5"/>
      <c r="L878" s="5"/>
      <c r="M878" s="1641" t="s">
        <v>334</v>
      </c>
      <c r="N878" s="1642"/>
      <c r="O878" s="1642"/>
      <c r="P878" s="1642"/>
      <c r="Q878" s="1642"/>
      <c r="R878" s="1642"/>
      <c r="S878" s="1642"/>
      <c r="T878" s="1642"/>
      <c r="U878" s="1642"/>
      <c r="V878" s="1643"/>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25" customHeight="1">
      <c r="J879" s="45"/>
      <c r="K879" s="5"/>
      <c r="L879" s="5"/>
      <c r="M879" s="5"/>
      <c r="N879" s="5"/>
      <c r="O879" s="5"/>
      <c r="P879" s="5"/>
      <c r="Q879" s="5"/>
      <c r="R879" s="5"/>
      <c r="S879" s="5"/>
      <c r="T879" s="5"/>
      <c r="U879" s="5"/>
      <c r="V879" s="54" t="s">
        <v>276</v>
      </c>
      <c r="W879" s="1472">
        <f>SUM(W874:W878)</f>
        <v>15570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2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2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2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2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523032</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2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4">
        <f>O797+O777+G753</f>
        <v>78</v>
      </c>
      <c r="AD884" s="1644"/>
      <c r="AE884" s="1644"/>
      <c r="AF884" s="1644"/>
      <c r="AG884" s="1644"/>
      <c r="AH884" s="1645"/>
      <c r="AL884" s="4"/>
      <c r="AM884" s="4"/>
      <c r="AN884" s="4"/>
      <c r="AO884" s="4"/>
      <c r="AP884" s="4"/>
      <c r="AQ884" s="4"/>
      <c r="AR884" s="4"/>
      <c r="AS884" s="4"/>
      <c r="AT884" s="4"/>
      <c r="AZ884" s="34"/>
      <c r="BA884" s="34"/>
      <c r="BB884" s="34"/>
      <c r="BC884" s="34"/>
    </row>
    <row r="885" spans="3:55" ht="13.2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0">
        <f>IF(ISERROR((ROUNDDOWN(AC883/AC884,0))),0,(ROUNDDOWN(AC883/AC884,0)))</f>
        <v>6705</v>
      </c>
      <c r="AD885" s="1600"/>
      <c r="AE885" s="1600"/>
      <c r="AF885" s="1600"/>
      <c r="AG885" s="1600"/>
      <c r="AH885" s="1600"/>
      <c r="AL885" s="4"/>
      <c r="AM885" s="4"/>
      <c r="AN885" s="4"/>
      <c r="AO885" s="4"/>
      <c r="AP885" s="4"/>
      <c r="AQ885" s="4"/>
      <c r="AR885" s="4"/>
      <c r="AS885" s="4"/>
      <c r="AT885" s="4"/>
      <c r="AZ885" s="34"/>
      <c r="BA885" s="34"/>
      <c r="BB885" s="34"/>
      <c r="BC885" s="34"/>
    </row>
    <row r="886" spans="3:55" ht="13.2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6">
        <v>422671</v>
      </c>
      <c r="AD886" s="1647"/>
      <c r="AE886" s="1647"/>
      <c r="AF886" s="1647"/>
      <c r="AG886" s="1647"/>
      <c r="AH886" s="1647"/>
      <c r="AL886" s="4"/>
      <c r="AM886" s="4"/>
      <c r="AN886" s="4"/>
      <c r="AO886" s="4"/>
      <c r="AP886" s="4"/>
      <c r="AQ886" s="4"/>
      <c r="AR886" s="4"/>
      <c r="AS886" s="4"/>
      <c r="AT886" s="4"/>
      <c r="AZ886" s="34"/>
      <c r="BA886" s="34"/>
      <c r="BB886" s="34"/>
      <c r="BC886" s="34"/>
    </row>
    <row r="887" spans="3:55" ht="13.2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7"/>
      <c r="AE887" s="1637"/>
      <c r="AF887" s="1637"/>
      <c r="AG887" s="1637"/>
      <c r="AH887" s="1637"/>
      <c r="AL887" s="4"/>
      <c r="AM887" s="4"/>
      <c r="AN887" s="4"/>
      <c r="AO887" s="4"/>
      <c r="AP887" s="4"/>
      <c r="AQ887" s="4"/>
      <c r="AR887" s="4"/>
      <c r="AS887" s="4"/>
      <c r="AT887" s="4"/>
      <c r="AZ887" s="34"/>
      <c r="BA887" s="34"/>
      <c r="BB887" s="34"/>
      <c r="BC887" s="34"/>
    </row>
    <row r="888" spans="3:55" ht="13.2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12000</v>
      </c>
      <c r="AD888" s="1338"/>
      <c r="AE888" s="1338"/>
      <c r="AF888" s="1338"/>
      <c r="AG888" s="1338"/>
      <c r="AH888" s="1339"/>
      <c r="AL888" s="4"/>
      <c r="AM888" s="4"/>
      <c r="AN888" s="4"/>
      <c r="AO888" s="4"/>
      <c r="AP888" s="4"/>
      <c r="AQ888" s="4"/>
      <c r="AR888" s="4"/>
      <c r="AS888" s="4"/>
      <c r="AT888" s="4"/>
      <c r="AZ888" s="34"/>
      <c r="BA888" s="34"/>
      <c r="BB888" s="34"/>
      <c r="BC888" s="34"/>
    </row>
    <row r="889" spans="3:55" ht="13.2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23400</v>
      </c>
      <c r="AD889" s="1338"/>
      <c r="AE889" s="1338"/>
      <c r="AF889" s="1338"/>
      <c r="AG889" s="1338"/>
      <c r="AH889" s="1339"/>
      <c r="AZ889" s="34"/>
      <c r="BA889" s="34"/>
      <c r="BB889" s="34"/>
      <c r="BC889" s="34"/>
    </row>
    <row r="890" spans="3:55" ht="13.2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v>12480</v>
      </c>
      <c r="AD890" s="1491"/>
      <c r="AE890" s="1491"/>
      <c r="AF890" s="1491"/>
      <c r="AG890" s="1491"/>
      <c r="AH890" s="1492"/>
      <c r="AZ890" s="34"/>
      <c r="BA890" s="34"/>
      <c r="BB890" s="34"/>
      <c r="BC890" s="34"/>
    </row>
    <row r="891" spans="3:55" ht="13.2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2500</v>
      </c>
      <c r="AD891" s="1338"/>
      <c r="AE891" s="1338"/>
      <c r="AF891" s="1338"/>
      <c r="AG891" s="1338"/>
      <c r="AH891" s="1339"/>
      <c r="AZ891" s="34"/>
      <c r="BA891" s="34"/>
      <c r="BB891" s="34"/>
      <c r="BC891" s="34"/>
    </row>
    <row r="892" spans="3:55" ht="13.25"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2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25" customHeight="1">
      <c r="C894" s="1665" t="s">
        <v>957</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c r="AD894" s="1637"/>
      <c r="AE894" s="1637"/>
      <c r="AF894" s="1637"/>
      <c r="AG894" s="1637"/>
      <c r="AH894" s="1637"/>
      <c r="AZ894" s="34"/>
      <c r="BA894" s="34"/>
      <c r="BB894" s="34"/>
      <c r="BC894" s="34"/>
    </row>
    <row r="895" spans="3:55" ht="13.25" customHeight="1">
      <c r="C895" s="1665" t="s">
        <v>957</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3.25" customHeight="1">
      <c r="E896" s="512"/>
      <c r="AB896" s="56"/>
      <c r="AC896" s="123"/>
      <c r="AD896" s="123"/>
      <c r="AE896" s="123"/>
      <c r="AF896" s="123"/>
      <c r="AG896" s="123"/>
      <c r="AH896" s="123"/>
      <c r="AU896" s="95"/>
      <c r="AZ896" s="34"/>
      <c r="BA896" s="34"/>
      <c r="BB896" s="34"/>
      <c r="BC896" s="34"/>
    </row>
    <row r="897" spans="1:58" ht="13.25" customHeight="1">
      <c r="A897" s="2" t="s">
        <v>614</v>
      </c>
      <c r="C897" s="2" t="s">
        <v>237</v>
      </c>
      <c r="X897" s="12"/>
      <c r="Y897" s="12"/>
      <c r="Z897" s="12"/>
      <c r="AA897" s="12"/>
      <c r="AB897" s="12"/>
      <c r="AC897" s="12"/>
      <c r="AD897" s="12"/>
      <c r="AU897" s="95"/>
      <c r="AZ897" s="34"/>
      <c r="BB897" s="30"/>
      <c r="BC897" s="30"/>
    </row>
    <row r="898" spans="1:58" ht="13.25" customHeight="1">
      <c r="X898" s="12"/>
      <c r="Y898" s="12"/>
      <c r="Z898" s="12"/>
      <c r="AA898" s="12"/>
      <c r="AB898" s="12"/>
      <c r="AC898" s="12"/>
      <c r="AD898" s="12"/>
      <c r="AF898" s="533"/>
      <c r="AG898" s="180"/>
      <c r="AH898" s="180"/>
      <c r="AI898" s="180"/>
      <c r="AU898" s="95"/>
      <c r="AZ898" s="34"/>
      <c r="BB898" s="30"/>
      <c r="BC898" s="30"/>
      <c r="BD898" s="14"/>
      <c r="BE898" s="14"/>
      <c r="BF898" s="14"/>
    </row>
    <row r="899" spans="1:58" ht="13.25" customHeight="1">
      <c r="B899" s="2"/>
      <c r="H899" s="121" t="s">
        <v>238</v>
      </c>
      <c r="I899" s="5"/>
      <c r="J899" s="5"/>
      <c r="K899" s="5"/>
      <c r="L899" s="5"/>
      <c r="M899" s="5"/>
      <c r="N899" s="5"/>
      <c r="O899" s="5"/>
      <c r="P899" s="5"/>
      <c r="Q899" s="5"/>
      <c r="R899" s="5"/>
      <c r="S899" s="5"/>
      <c r="T899" s="5"/>
      <c r="U899" s="5"/>
      <c r="V899" s="5"/>
      <c r="W899" s="5"/>
      <c r="X899" s="5"/>
      <c r="Y899" s="46"/>
      <c r="Z899" s="1475">
        <v>90000</v>
      </c>
      <c r="AA899" s="1338"/>
      <c r="AB899" s="1338"/>
      <c r="AC899" s="1338"/>
      <c r="AD899" s="1338"/>
      <c r="AE899" s="1339"/>
      <c r="AF899" s="533"/>
      <c r="AZ899" s="34"/>
      <c r="BB899" s="30"/>
      <c r="BC899" s="816"/>
      <c r="BD899" s="1634"/>
      <c r="BE899" s="1634"/>
      <c r="BF899" s="14"/>
    </row>
    <row r="900" spans="1:58" ht="13.25" customHeight="1">
      <c r="H900" s="121" t="s">
        <v>239</v>
      </c>
      <c r="I900" s="5"/>
      <c r="J900" s="5"/>
      <c r="K900" s="5"/>
      <c r="L900" s="5"/>
      <c r="M900" s="5"/>
      <c r="N900" s="5"/>
      <c r="O900" s="5"/>
      <c r="P900" s="5"/>
      <c r="Q900" s="5"/>
      <c r="R900" s="5"/>
      <c r="S900" s="5"/>
      <c r="T900" s="5"/>
      <c r="U900" s="5"/>
      <c r="V900" s="5"/>
      <c r="W900" s="5"/>
      <c r="X900" s="5"/>
      <c r="Y900" s="5"/>
      <c r="Z900" s="1475">
        <v>9000</v>
      </c>
      <c r="AA900" s="1338"/>
      <c r="AB900" s="1338"/>
      <c r="AC900" s="1338"/>
      <c r="AD900" s="1338"/>
      <c r="AE900" s="1339"/>
      <c r="AZ900" s="34"/>
      <c r="BB900" s="30"/>
      <c r="BC900" s="816"/>
      <c r="BD900" s="1634"/>
      <c r="BE900" s="1634"/>
      <c r="BF900" s="14"/>
    </row>
    <row r="901" spans="1:58" ht="13.2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3"/>
      <c r="BE901" s="1633"/>
      <c r="BF901" s="14"/>
    </row>
    <row r="902" spans="1:58" ht="13.25" customHeight="1">
      <c r="H902" s="45"/>
      <c r="I902" s="5"/>
      <c r="J902" s="5"/>
      <c r="K902" s="5"/>
      <c r="L902" s="5"/>
      <c r="M902" s="5"/>
      <c r="N902" s="5"/>
      <c r="O902" s="5"/>
      <c r="P902" s="5"/>
      <c r="Q902" s="5"/>
      <c r="R902" s="5"/>
      <c r="S902" s="5"/>
      <c r="T902" s="5"/>
      <c r="U902" s="5"/>
      <c r="V902" s="5"/>
      <c r="W902" s="5"/>
      <c r="X902" s="5"/>
      <c r="Y902" s="181" t="s">
        <v>241</v>
      </c>
      <c r="Z902" s="1472">
        <f>Z899-(Z900+Z901)</f>
        <v>81000</v>
      </c>
      <c r="AA902" s="1473"/>
      <c r="AB902" s="1473"/>
      <c r="AC902" s="1473"/>
      <c r="AD902" s="1473"/>
      <c r="AE902" s="1474"/>
      <c r="AZ902" s="34"/>
      <c r="BB902" s="30"/>
      <c r="BC902" s="816"/>
      <c r="BD902" s="1633"/>
      <c r="BE902" s="1633"/>
      <c r="BF902" s="14"/>
    </row>
    <row r="903" spans="1:58" ht="13.2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3"/>
      <c r="BE903" s="1633"/>
      <c r="BF903" s="14"/>
    </row>
    <row r="904" spans="1:58" ht="13.2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4"/>
      <c r="BE904" s="1633"/>
      <c r="BF904" s="14"/>
    </row>
    <row r="905" spans="1:58" ht="13.2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3"/>
      <c r="BE905" s="1663"/>
      <c r="BF905" s="1663"/>
    </row>
    <row r="906" spans="1:58" ht="13.2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3.2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3"/>
      <c r="BE907" s="1633"/>
      <c r="BF907" s="14"/>
    </row>
    <row r="908" spans="1:58" ht="13.2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4"/>
      <c r="BE908" s="1633"/>
      <c r="BF908" s="14"/>
    </row>
    <row r="909" spans="1:58" ht="13.25" customHeight="1">
      <c r="AZ909" s="34"/>
      <c r="BB909" s="30"/>
      <c r="BC909" s="816"/>
    </row>
    <row r="910" spans="1:58" ht="13.2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4"/>
      <c r="BE910" s="1633"/>
      <c r="BF910" s="911"/>
    </row>
    <row r="911" spans="1:58" ht="13.2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2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2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25" customHeight="1">
      <c r="AZ914" s="34"/>
      <c r="BA914" s="34"/>
      <c r="BB914" s="34"/>
      <c r="BC914" s="34"/>
    </row>
    <row r="915" spans="1:58" ht="13.25" customHeight="1">
      <c r="F915" s="1711" t="s">
        <v>793</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3.25" customHeight="1">
      <c r="B916" s="2"/>
      <c r="F916" s="1755" t="s">
        <v>819</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25"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391</v>
      </c>
      <c r="AC917" s="1431"/>
      <c r="AD917" s="1431"/>
      <c r="AE917" s="1431"/>
      <c r="AF917" s="109"/>
      <c r="AZ917" s="34"/>
      <c r="BA917" s="34"/>
      <c r="BB917" s="34"/>
      <c r="BC917" s="34"/>
    </row>
    <row r="918" spans="1:58" ht="13.25" customHeight="1">
      <c r="B918" s="2"/>
      <c r="F918" s="45" t="s">
        <v>759</v>
      </c>
      <c r="G918" s="48"/>
      <c r="H918" s="48"/>
      <c r="I918" s="48"/>
      <c r="J918" s="48"/>
      <c r="K918" s="48"/>
      <c r="L918" s="48"/>
      <c r="M918" s="48"/>
      <c r="N918" s="48"/>
      <c r="O918" s="48"/>
      <c r="P918" s="48"/>
      <c r="Q918" s="48"/>
      <c r="R918" s="48"/>
      <c r="S918" s="48"/>
      <c r="T918" s="49"/>
      <c r="U918" s="1627" t="s">
        <v>546</v>
      </c>
      <c r="V918" s="1427"/>
      <c r="W918" s="1427"/>
      <c r="X918" s="1427"/>
      <c r="Y918" s="1427"/>
      <c r="Z918" s="1428"/>
      <c r="AA918" s="1631">
        <v>12456000</v>
      </c>
      <c r="AB918" s="1525"/>
      <c r="AC918" s="1525"/>
      <c r="AD918" s="1525"/>
      <c r="AE918" s="1525"/>
      <c r="AF918" s="1632"/>
      <c r="AZ918" s="34"/>
      <c r="BA918" s="34"/>
      <c r="BB918" s="34"/>
      <c r="BC918" s="34"/>
    </row>
    <row r="919" spans="1:58" ht="13.25" customHeight="1">
      <c r="B919" s="2"/>
      <c r="F919" s="66" t="s">
        <v>676</v>
      </c>
      <c r="G919" s="48"/>
      <c r="H919" s="48"/>
      <c r="I919" s="48"/>
      <c r="J919" s="48"/>
      <c r="K919" s="48"/>
      <c r="L919" s="48"/>
      <c r="M919" s="48"/>
      <c r="N919" s="48"/>
      <c r="O919" s="48"/>
      <c r="P919" s="48"/>
      <c r="Q919" s="48"/>
      <c r="R919" s="48"/>
      <c r="S919" s="48"/>
      <c r="T919" s="49"/>
      <c r="U919" s="1627" t="s">
        <v>546</v>
      </c>
      <c r="V919" s="1427"/>
      <c r="W919" s="1427"/>
      <c r="X919" s="1427"/>
      <c r="Y919" s="1427"/>
      <c r="Z919" s="1428"/>
      <c r="AA919" s="1631">
        <v>3098606</v>
      </c>
      <c r="AB919" s="1525"/>
      <c r="AC919" s="1525"/>
      <c r="AD919" s="1525"/>
      <c r="AE919" s="1525"/>
      <c r="AF919" s="1632"/>
      <c r="AZ919" s="34"/>
      <c r="BA919" s="34"/>
      <c r="BB919" s="34"/>
      <c r="BC919" s="34"/>
    </row>
    <row r="920" spans="1:58" ht="13.25" customHeight="1">
      <c r="F920" s="45" t="s">
        <v>802</v>
      </c>
      <c r="G920" s="5"/>
      <c r="H920" s="5"/>
      <c r="I920" s="5"/>
      <c r="J920" s="5"/>
      <c r="K920" s="5"/>
      <c r="L920" s="5"/>
      <c r="M920" s="5"/>
      <c r="N920" s="5"/>
      <c r="O920" s="5"/>
      <c r="P920" s="5"/>
      <c r="Q920" s="5"/>
      <c r="R920" s="5"/>
      <c r="S920" s="5"/>
      <c r="T920" s="46"/>
      <c r="U920" s="1627" t="s">
        <v>592</v>
      </c>
      <c r="V920" s="1427"/>
      <c r="W920" s="1427"/>
      <c r="X920" s="1427"/>
      <c r="Y920" s="1427"/>
      <c r="Z920" s="1428"/>
      <c r="AA920" s="1631"/>
      <c r="AB920" s="1525"/>
      <c r="AC920" s="1525"/>
      <c r="AD920" s="1525"/>
      <c r="AE920" s="1525"/>
      <c r="AF920" s="1632"/>
      <c r="AZ920" s="34"/>
      <c r="BA920" s="34"/>
      <c r="BB920" s="34"/>
      <c r="BC920" s="34"/>
    </row>
    <row r="921" spans="1:58" ht="13.25" customHeight="1">
      <c r="F921" s="45" t="s">
        <v>679</v>
      </c>
      <c r="G921" s="5"/>
      <c r="H921" s="5"/>
      <c r="I921" s="5"/>
      <c r="J921" s="5"/>
      <c r="K921" s="5"/>
      <c r="L921" s="5"/>
      <c r="M921" s="5"/>
      <c r="N921" s="5"/>
      <c r="O921" s="5"/>
      <c r="P921" s="5"/>
      <c r="Q921" s="5"/>
      <c r="R921" s="5"/>
      <c r="S921" s="5"/>
      <c r="T921" s="46"/>
      <c r="U921" s="1627" t="s">
        <v>592</v>
      </c>
      <c r="V921" s="1427"/>
      <c r="W921" s="1427"/>
      <c r="X921" s="1427"/>
      <c r="Y921" s="1427"/>
      <c r="Z921" s="1428"/>
      <c r="AA921" s="1631"/>
      <c r="AB921" s="1525"/>
      <c r="AC921" s="1525"/>
      <c r="AD921" s="1525"/>
      <c r="AE921" s="1525"/>
      <c r="AF921" s="1632"/>
      <c r="AZ921" s="34"/>
      <c r="BA921" s="34"/>
      <c r="BB921" s="34"/>
      <c r="BC921" s="34"/>
    </row>
    <row r="922" spans="1:58" ht="13.25" customHeight="1">
      <c r="F922" s="66" t="s">
        <v>787</v>
      </c>
      <c r="G922" s="5"/>
      <c r="H922" s="5"/>
      <c r="I922" s="5"/>
      <c r="J922" s="5"/>
      <c r="K922" s="5"/>
      <c r="L922" s="5"/>
      <c r="M922" s="5"/>
      <c r="N922" s="5"/>
      <c r="O922" s="5"/>
      <c r="P922" s="5"/>
      <c r="Q922" s="5"/>
      <c r="R922" s="5"/>
      <c r="S922" s="5"/>
      <c r="T922" s="46"/>
      <c r="U922" s="1627" t="s">
        <v>592</v>
      </c>
      <c r="V922" s="1427"/>
      <c r="W922" s="1427"/>
      <c r="X922" s="1427"/>
      <c r="Y922" s="1427"/>
      <c r="Z922" s="1428"/>
      <c r="AA922" s="1631"/>
      <c r="AB922" s="1525"/>
      <c r="AC922" s="1525"/>
      <c r="AD922" s="1525"/>
      <c r="AE922" s="1525"/>
      <c r="AF922" s="1632"/>
      <c r="AZ922" s="34"/>
      <c r="BA922" s="34"/>
      <c r="BB922" s="34"/>
      <c r="BC922" s="34"/>
    </row>
    <row r="923" spans="1:58" ht="13.25" customHeight="1">
      <c r="F923" s="66" t="s">
        <v>788</v>
      </c>
      <c r="G923" s="5"/>
      <c r="H923" s="5"/>
      <c r="I923" s="5"/>
      <c r="J923" s="5"/>
      <c r="K923" s="5"/>
      <c r="L923" s="5"/>
      <c r="M923" s="5"/>
      <c r="N923" s="5"/>
      <c r="O923" s="5"/>
      <c r="P923" s="5"/>
      <c r="Q923" s="5"/>
      <c r="R923" s="5"/>
      <c r="S923" s="5"/>
      <c r="T923" s="46"/>
      <c r="U923" s="1627" t="s">
        <v>592</v>
      </c>
      <c r="V923" s="1427"/>
      <c r="W923" s="1427"/>
      <c r="X923" s="1427"/>
      <c r="Y923" s="1427"/>
      <c r="Z923" s="1428"/>
      <c r="AA923" s="1631"/>
      <c r="AB923" s="1525"/>
      <c r="AC923" s="1525"/>
      <c r="AD923" s="1525"/>
      <c r="AE923" s="1525"/>
      <c r="AF923" s="1632"/>
      <c r="AZ923" s="34"/>
      <c r="BA923" s="34"/>
      <c r="BB923" s="34"/>
      <c r="BC923" s="34"/>
    </row>
    <row r="924" spans="1:58" ht="13.25" customHeight="1">
      <c r="F924" s="66" t="s">
        <v>789</v>
      </c>
      <c r="G924" s="5"/>
      <c r="H924" s="5"/>
      <c r="I924" s="5"/>
      <c r="J924" s="5"/>
      <c r="K924" s="5"/>
      <c r="L924" s="5"/>
      <c r="M924" s="5"/>
      <c r="N924" s="5"/>
      <c r="O924" s="5"/>
      <c r="P924" s="5"/>
      <c r="Q924" s="5"/>
      <c r="R924" s="5"/>
      <c r="S924" s="5"/>
      <c r="T924" s="46"/>
      <c r="U924" s="1627" t="s">
        <v>592</v>
      </c>
      <c r="V924" s="1427"/>
      <c r="W924" s="1427"/>
      <c r="X924" s="1427"/>
      <c r="Y924" s="1427"/>
      <c r="Z924" s="1428"/>
      <c r="AA924" s="1631"/>
      <c r="AB924" s="1525"/>
      <c r="AC924" s="1525"/>
      <c r="AD924" s="1525"/>
      <c r="AE924" s="1525"/>
      <c r="AF924" s="1632"/>
      <c r="AZ924" s="34"/>
      <c r="BA924" s="34"/>
      <c r="BB924" s="34"/>
      <c r="BC924" s="34"/>
    </row>
    <row r="925" spans="1:58" ht="13.25" customHeight="1">
      <c r="F925" s="45" t="s">
        <v>678</v>
      </c>
      <c r="G925" s="5"/>
      <c r="H925" s="5"/>
      <c r="I925" s="5"/>
      <c r="J925" s="5"/>
      <c r="K925" s="5"/>
      <c r="L925" s="5"/>
      <c r="M925" s="5"/>
      <c r="N925" s="5"/>
      <c r="O925" s="5"/>
      <c r="P925" s="5"/>
      <c r="Q925" s="5"/>
      <c r="R925" s="5"/>
      <c r="S925" s="5"/>
      <c r="T925" s="46"/>
      <c r="U925" s="1627" t="s">
        <v>592</v>
      </c>
      <c r="V925" s="1427"/>
      <c r="W925" s="1427"/>
      <c r="X925" s="1427"/>
      <c r="Y925" s="1427"/>
      <c r="Z925" s="1428"/>
      <c r="AA925" s="1631"/>
      <c r="AB925" s="1525"/>
      <c r="AC925" s="1525"/>
      <c r="AD925" s="1525"/>
      <c r="AE925" s="1525"/>
      <c r="AF925" s="1632"/>
      <c r="AZ925" s="34"/>
      <c r="BA925" s="34"/>
      <c r="BB925" s="34"/>
      <c r="BC925" s="34"/>
    </row>
    <row r="926" spans="1:58" ht="13.25" customHeight="1">
      <c r="F926" s="1624" t="s">
        <v>2193</v>
      </c>
      <c r="G926" s="1625"/>
      <c r="H926" s="1625"/>
      <c r="I926" s="1625"/>
      <c r="J926" s="1625"/>
      <c r="K926" s="1625"/>
      <c r="L926" s="1625"/>
      <c r="M926" s="1625"/>
      <c r="N926" s="1625"/>
      <c r="O926" s="1625"/>
      <c r="P926" s="1625"/>
      <c r="Q926" s="1625"/>
      <c r="R926" s="1625"/>
      <c r="S926" s="1625"/>
      <c r="T926" s="1626"/>
      <c r="U926" s="1627" t="s">
        <v>592</v>
      </c>
      <c r="V926" s="1427"/>
      <c r="W926" s="1427"/>
      <c r="X926" s="1427"/>
      <c r="Y926" s="1427"/>
      <c r="Z926" s="1428"/>
      <c r="AA926" s="1631"/>
      <c r="AB926" s="1525"/>
      <c r="AC926" s="1525"/>
      <c r="AD926" s="1525"/>
      <c r="AE926" s="1525"/>
      <c r="AF926" s="1632"/>
      <c r="AZ926" s="34"/>
      <c r="BA926" s="34"/>
      <c r="BB926" s="34"/>
      <c r="BC926" s="34"/>
    </row>
    <row r="927" spans="1:58" ht="13.25" customHeight="1">
      <c r="F927" s="1624" t="s">
        <v>680</v>
      </c>
      <c r="G927" s="1625"/>
      <c r="H927" s="1625"/>
      <c r="I927" s="1625"/>
      <c r="J927" s="1625"/>
      <c r="K927" s="1625"/>
      <c r="L927" s="1625"/>
      <c r="M927" s="1625"/>
      <c r="N927" s="1625"/>
      <c r="O927" s="1625"/>
      <c r="P927" s="1625"/>
      <c r="Q927" s="1625"/>
      <c r="R927" s="1625"/>
      <c r="S927" s="1625"/>
      <c r="T927" s="1626"/>
      <c r="U927" s="1627" t="s">
        <v>592</v>
      </c>
      <c r="V927" s="1427"/>
      <c r="W927" s="1427"/>
      <c r="X927" s="1427"/>
      <c r="Y927" s="1427"/>
      <c r="Z927" s="1428"/>
      <c r="AA927" s="1631"/>
      <c r="AB927" s="1525"/>
      <c r="AC927" s="1525"/>
      <c r="AD927" s="1525"/>
      <c r="AE927" s="1525"/>
      <c r="AF927" s="1632"/>
      <c r="AU927" s="2"/>
      <c r="AZ927" s="34"/>
      <c r="BA927" s="34"/>
      <c r="BB927" s="34"/>
      <c r="BC927" s="34"/>
    </row>
    <row r="928" spans="1:58" ht="13.25" customHeight="1">
      <c r="F928" s="1624" t="s">
        <v>2194</v>
      </c>
      <c r="G928" s="1625"/>
      <c r="H928" s="1625"/>
      <c r="I928" s="1625"/>
      <c r="J928" s="1625"/>
      <c r="K928" s="1625"/>
      <c r="L928" s="1625"/>
      <c r="M928" s="1625"/>
      <c r="N928" s="1625"/>
      <c r="O928" s="1625"/>
      <c r="P928" s="1625"/>
      <c r="Q928" s="1625"/>
      <c r="R928" s="1625"/>
      <c r="S928" s="1625"/>
      <c r="T928" s="1626"/>
      <c r="U928" s="1627" t="s">
        <v>592</v>
      </c>
      <c r="V928" s="1427"/>
      <c r="W928" s="1427"/>
      <c r="X928" s="1427"/>
      <c r="Y928" s="1427"/>
      <c r="Z928" s="1428"/>
      <c r="AA928" s="1631"/>
      <c r="AB928" s="1525"/>
      <c r="AC928" s="1525"/>
      <c r="AD928" s="1525"/>
      <c r="AE928" s="1525"/>
      <c r="AF928" s="1632"/>
      <c r="AU928" s="2"/>
      <c r="AZ928" s="34"/>
      <c r="BA928" s="34"/>
      <c r="BB928" s="34"/>
      <c r="BC928" s="34"/>
    </row>
    <row r="929" spans="6:55" ht="13.25" customHeight="1">
      <c r="F929" s="1624" t="s">
        <v>2195</v>
      </c>
      <c r="G929" s="1625"/>
      <c r="H929" s="1625"/>
      <c r="I929" s="1625"/>
      <c r="J929" s="1625"/>
      <c r="K929" s="1625"/>
      <c r="L929" s="1625"/>
      <c r="M929" s="1625"/>
      <c r="N929" s="1625"/>
      <c r="O929" s="1625"/>
      <c r="P929" s="1625"/>
      <c r="Q929" s="1625"/>
      <c r="R929" s="1625"/>
      <c r="S929" s="1625"/>
      <c r="T929" s="1626"/>
      <c r="U929" s="1627" t="s">
        <v>592</v>
      </c>
      <c r="V929" s="1427"/>
      <c r="W929" s="1427"/>
      <c r="X929" s="1427"/>
      <c r="Y929" s="1427"/>
      <c r="Z929" s="1428"/>
      <c r="AA929" s="1631"/>
      <c r="AB929" s="1525"/>
      <c r="AC929" s="1525"/>
      <c r="AD929" s="1525"/>
      <c r="AE929" s="1525"/>
      <c r="AF929" s="1632"/>
      <c r="AU929" s="2"/>
      <c r="AZ929" s="34"/>
      <c r="BA929" s="34"/>
      <c r="BB929" s="34"/>
      <c r="BC929" s="34"/>
    </row>
    <row r="930" spans="6:55" ht="13.25" customHeight="1">
      <c r="F930" s="1624" t="s">
        <v>2196</v>
      </c>
      <c r="G930" s="1625"/>
      <c r="H930" s="1625"/>
      <c r="I930" s="1625"/>
      <c r="J930" s="1625"/>
      <c r="K930" s="1625"/>
      <c r="L930" s="1625"/>
      <c r="M930" s="1625"/>
      <c r="N930" s="1625"/>
      <c r="O930" s="1625"/>
      <c r="P930" s="1625"/>
      <c r="Q930" s="1625"/>
      <c r="R930" s="1625"/>
      <c r="S930" s="1625"/>
      <c r="T930" s="1626"/>
      <c r="U930" s="1627" t="s">
        <v>592</v>
      </c>
      <c r="V930" s="1427"/>
      <c r="W930" s="1427"/>
      <c r="X930" s="1427"/>
      <c r="Y930" s="1427"/>
      <c r="Z930" s="1428"/>
      <c r="AA930" s="1631"/>
      <c r="AB930" s="1525"/>
      <c r="AC930" s="1525"/>
      <c r="AD930" s="1525"/>
      <c r="AE930" s="1525"/>
      <c r="AF930" s="1632"/>
      <c r="AU930" s="2"/>
      <c r="AZ930" s="34"/>
      <c r="BA930" s="34"/>
      <c r="BB930" s="34"/>
      <c r="BC930" s="34"/>
    </row>
    <row r="931" spans="6:55" ht="13.25" customHeight="1">
      <c r="F931" s="1624" t="s">
        <v>2197</v>
      </c>
      <c r="G931" s="1625"/>
      <c r="H931" s="1625"/>
      <c r="I931" s="1625"/>
      <c r="J931" s="1625"/>
      <c r="K931" s="1625"/>
      <c r="L931" s="1625"/>
      <c r="M931" s="1625"/>
      <c r="N931" s="1625"/>
      <c r="O931" s="1625"/>
      <c r="P931" s="1625"/>
      <c r="Q931" s="1625"/>
      <c r="R931" s="1625"/>
      <c r="S931" s="1625"/>
      <c r="T931" s="1626"/>
      <c r="U931" s="1627" t="s">
        <v>592</v>
      </c>
      <c r="V931" s="1427"/>
      <c r="W931" s="1427"/>
      <c r="X931" s="1427"/>
      <c r="Y931" s="1427"/>
      <c r="Z931" s="1428"/>
      <c r="AA931" s="1631"/>
      <c r="AB931" s="1525"/>
      <c r="AC931" s="1525"/>
      <c r="AD931" s="1525"/>
      <c r="AE931" s="1525"/>
      <c r="AF931" s="1632"/>
      <c r="AU931" s="2"/>
      <c r="AZ931" s="34"/>
      <c r="BA931" s="34"/>
      <c r="BB931" s="34"/>
      <c r="BC931" s="34"/>
    </row>
    <row r="932" spans="6:55" ht="13.25" customHeight="1">
      <c r="F932" s="1624" t="s">
        <v>2198</v>
      </c>
      <c r="G932" s="1625"/>
      <c r="H932" s="1625"/>
      <c r="I932" s="1625"/>
      <c r="J932" s="1625"/>
      <c r="K932" s="1625"/>
      <c r="L932" s="1625"/>
      <c r="M932" s="1625"/>
      <c r="N932" s="1625"/>
      <c r="O932" s="1625"/>
      <c r="P932" s="1625"/>
      <c r="Q932" s="1625"/>
      <c r="R932" s="1625"/>
      <c r="S932" s="1625"/>
      <c r="T932" s="1626"/>
      <c r="U932" s="1627" t="s">
        <v>592</v>
      </c>
      <c r="V932" s="1427"/>
      <c r="W932" s="1427"/>
      <c r="X932" s="1427"/>
      <c r="Y932" s="1427"/>
      <c r="Z932" s="1428"/>
      <c r="AA932" s="1631"/>
      <c r="AB932" s="1525"/>
      <c r="AC932" s="1525"/>
      <c r="AD932" s="1525"/>
      <c r="AE932" s="1525"/>
      <c r="AF932" s="1632"/>
      <c r="AZ932" s="30"/>
      <c r="BA932" s="30"/>
    </row>
    <row r="933" spans="6:55" ht="13.25" customHeight="1">
      <c r="F933" s="178" t="s">
        <v>677</v>
      </c>
      <c r="G933" s="5"/>
      <c r="H933" s="5"/>
      <c r="I933" s="5"/>
      <c r="J933" s="5"/>
      <c r="K933" s="5"/>
      <c r="L933" s="5"/>
      <c r="M933" s="5"/>
      <c r="N933" s="5"/>
      <c r="O933" s="5"/>
      <c r="P933" s="5"/>
      <c r="Q933" s="5"/>
      <c r="R933" s="5"/>
      <c r="S933" s="5"/>
      <c r="T933" s="46"/>
      <c r="U933" s="1627" t="s">
        <v>592</v>
      </c>
      <c r="V933" s="1427"/>
      <c r="W933" s="1427"/>
      <c r="X933" s="1427"/>
      <c r="Y933" s="1427"/>
      <c r="Z933" s="1428"/>
      <c r="AA933" s="1631"/>
      <c r="AB933" s="1525"/>
      <c r="AC933" s="1525"/>
      <c r="AD933" s="1525"/>
      <c r="AE933" s="1525"/>
      <c r="AF933" s="1632"/>
    </row>
    <row r="934" spans="6:55" ht="13.25" customHeight="1">
      <c r="F934" s="121" t="s">
        <v>1278</v>
      </c>
      <c r="G934" s="5"/>
      <c r="H934" s="5"/>
      <c r="I934" s="5"/>
      <c r="J934" s="5"/>
      <c r="K934" s="5"/>
      <c r="L934" s="5"/>
      <c r="M934" s="5"/>
      <c r="N934" s="5"/>
      <c r="O934" s="5"/>
      <c r="P934" s="5"/>
      <c r="Q934" s="5"/>
      <c r="R934" s="5"/>
      <c r="S934" s="5"/>
      <c r="T934" s="46"/>
      <c r="U934" s="1627" t="s">
        <v>592</v>
      </c>
      <c r="V934" s="1427"/>
      <c r="W934" s="1427"/>
      <c r="X934" s="1427"/>
      <c r="Y934" s="1427"/>
      <c r="Z934" s="1428"/>
      <c r="AA934" s="1631"/>
      <c r="AB934" s="1525"/>
      <c r="AC934" s="1525"/>
      <c r="AD934" s="1525"/>
      <c r="AE934" s="1525"/>
      <c r="AF934" s="1632"/>
      <c r="AZ934" s="30"/>
      <c r="BA934" s="14"/>
    </row>
    <row r="935" spans="6:55" ht="13.25" customHeight="1">
      <c r="F935" s="66" t="s">
        <v>803</v>
      </c>
      <c r="G935" s="5"/>
      <c r="H935" s="5"/>
      <c r="I935" s="5"/>
      <c r="J935" s="5"/>
      <c r="K935" s="5"/>
      <c r="L935" s="5"/>
      <c r="M935" s="5"/>
      <c r="N935" s="5"/>
      <c r="O935" s="5"/>
      <c r="P935" s="5"/>
      <c r="Q935" s="5"/>
      <c r="R935" s="5"/>
      <c r="S935" s="5"/>
      <c r="T935" s="46"/>
      <c r="U935" s="1627" t="s">
        <v>592</v>
      </c>
      <c r="V935" s="1427"/>
      <c r="W935" s="1427"/>
      <c r="X935" s="1427"/>
      <c r="Y935" s="1427"/>
      <c r="Z935" s="1428"/>
      <c r="AA935" s="1631"/>
      <c r="AB935" s="1525"/>
      <c r="AC935" s="1525"/>
      <c r="AD935" s="1525"/>
      <c r="AE935" s="1525"/>
      <c r="AF935" s="1632"/>
      <c r="AZ935" s="30"/>
      <c r="BA935" s="14"/>
    </row>
    <row r="936" spans="6:55" ht="13.25" customHeight="1">
      <c r="F936" s="1628" t="s">
        <v>2202</v>
      </c>
      <c r="G936" s="1629"/>
      <c r="H936" s="1629"/>
      <c r="I936" s="1629"/>
      <c r="J936" s="1629"/>
      <c r="K936" s="1629"/>
      <c r="L936" s="1629"/>
      <c r="M936" s="1629"/>
      <c r="N936" s="1629"/>
      <c r="O936" s="1629"/>
      <c r="P936" s="1629"/>
      <c r="Q936" s="1629"/>
      <c r="R936" s="1629"/>
      <c r="S936" s="1629"/>
      <c r="T936" s="1630"/>
      <c r="U936" s="1627" t="s">
        <v>592</v>
      </c>
      <c r="V936" s="1427"/>
      <c r="W936" s="1427"/>
      <c r="X936" s="1427"/>
      <c r="Y936" s="1427"/>
      <c r="Z936" s="1428"/>
      <c r="AA936" s="1631"/>
      <c r="AB936" s="1525"/>
      <c r="AC936" s="1525"/>
      <c r="AD936" s="1525"/>
      <c r="AE936" s="1525"/>
      <c r="AF936" s="1632"/>
      <c r="AZ936" s="30"/>
      <c r="BA936" s="14"/>
    </row>
    <row r="937" spans="6:55" ht="13.25" customHeight="1">
      <c r="F937" s="1628" t="s">
        <v>2203</v>
      </c>
      <c r="G937" s="1629"/>
      <c r="H937" s="1629"/>
      <c r="I937" s="1629"/>
      <c r="J937" s="1629"/>
      <c r="K937" s="1629"/>
      <c r="L937" s="1629"/>
      <c r="M937" s="1629"/>
      <c r="N937" s="1629"/>
      <c r="O937" s="1629"/>
      <c r="P937" s="1629"/>
      <c r="Q937" s="1629"/>
      <c r="R937" s="1629"/>
      <c r="S937" s="1629"/>
      <c r="T937" s="1630"/>
      <c r="U937" s="1627" t="s">
        <v>592</v>
      </c>
      <c r="V937" s="1427"/>
      <c r="W937" s="1427"/>
      <c r="X937" s="1427"/>
      <c r="Y937" s="1427"/>
      <c r="Z937" s="1428"/>
      <c r="AA937" s="1631"/>
      <c r="AB937" s="1525"/>
      <c r="AC937" s="1525"/>
      <c r="AD937" s="1525"/>
      <c r="AE937" s="1525"/>
      <c r="AF937" s="1632"/>
      <c r="AZ937" s="30"/>
      <c r="BA937" s="30"/>
    </row>
    <row r="938" spans="6:55" ht="13.25" customHeight="1">
      <c r="F938" s="1624" t="s">
        <v>2199</v>
      </c>
      <c r="G938" s="1625"/>
      <c r="H938" s="1625"/>
      <c r="I938" s="1625"/>
      <c r="J938" s="1625"/>
      <c r="K938" s="1625"/>
      <c r="L938" s="1625"/>
      <c r="M938" s="1625"/>
      <c r="N938" s="1625"/>
      <c r="O938" s="1625"/>
      <c r="P938" s="1625"/>
      <c r="Q938" s="1625"/>
      <c r="R938" s="1625"/>
      <c r="S938" s="1625"/>
      <c r="T938" s="1626"/>
      <c r="U938" s="1627" t="s">
        <v>592</v>
      </c>
      <c r="V938" s="1427"/>
      <c r="W938" s="1427"/>
      <c r="X938" s="1427"/>
      <c r="Y938" s="1427"/>
      <c r="Z938" s="1428"/>
      <c r="AA938" s="1631"/>
      <c r="AB938" s="1525"/>
      <c r="AC938" s="1525"/>
      <c r="AD938" s="1525"/>
      <c r="AE938" s="1525"/>
      <c r="AF938" s="1632"/>
      <c r="AZ938" s="30"/>
      <c r="BA938" s="30"/>
    </row>
    <row r="939" spans="6:55" ht="13.25" customHeight="1">
      <c r="F939" s="1624" t="s">
        <v>2200</v>
      </c>
      <c r="G939" s="1625"/>
      <c r="H939" s="1625"/>
      <c r="I939" s="1625"/>
      <c r="J939" s="1625"/>
      <c r="K939" s="1625"/>
      <c r="L939" s="1625"/>
      <c r="M939" s="1625"/>
      <c r="N939" s="1625"/>
      <c r="O939" s="1625"/>
      <c r="P939" s="1625"/>
      <c r="Q939" s="1625"/>
      <c r="R939" s="1625"/>
      <c r="S939" s="1625"/>
      <c r="T939" s="1626"/>
      <c r="U939" s="1627" t="s">
        <v>592</v>
      </c>
      <c r="V939" s="1427"/>
      <c r="W939" s="1427"/>
      <c r="X939" s="1427"/>
      <c r="Y939" s="1427"/>
      <c r="Z939" s="1428"/>
      <c r="AA939" s="1631"/>
      <c r="AB939" s="1525"/>
      <c r="AC939" s="1525"/>
      <c r="AD939" s="1525"/>
      <c r="AE939" s="1525"/>
      <c r="AF939" s="1632"/>
      <c r="AZ939" s="30"/>
      <c r="BA939" s="30"/>
    </row>
    <row r="940" spans="6:55" ht="13.25" customHeight="1">
      <c r="F940" s="1624" t="s">
        <v>2201</v>
      </c>
      <c r="G940" s="1625"/>
      <c r="H940" s="1625"/>
      <c r="I940" s="1625"/>
      <c r="J940" s="1625"/>
      <c r="K940" s="1625"/>
      <c r="L940" s="1625"/>
      <c r="M940" s="1625"/>
      <c r="N940" s="1625"/>
      <c r="O940" s="1625"/>
      <c r="P940" s="1625"/>
      <c r="Q940" s="1625"/>
      <c r="R940" s="1625"/>
      <c r="S940" s="1625"/>
      <c r="T940" s="1626"/>
      <c r="U940" s="1627" t="s">
        <v>592</v>
      </c>
      <c r="V940" s="1427"/>
      <c r="W940" s="1427"/>
      <c r="X940" s="1427"/>
      <c r="Y940" s="1427"/>
      <c r="Z940" s="1428"/>
      <c r="AA940" s="1631"/>
      <c r="AB940" s="1525"/>
      <c r="AC940" s="1525"/>
      <c r="AD940" s="1525"/>
      <c r="AE940" s="1525"/>
      <c r="AF940" s="1632"/>
      <c r="AZ940" s="34"/>
      <c r="BA940" s="34"/>
      <c r="BB940" s="14"/>
      <c r="BC940" s="14"/>
    </row>
    <row r="941" spans="6:55" ht="13.25" customHeight="1">
      <c r="F941" s="121" t="s">
        <v>1262</v>
      </c>
      <c r="G941" s="5"/>
      <c r="H941" s="5"/>
      <c r="I941" s="5"/>
      <c r="J941" s="5"/>
      <c r="K941" s="5"/>
      <c r="L941" s="5"/>
      <c r="M941" s="5"/>
      <c r="N941" s="5"/>
      <c r="O941" s="5"/>
      <c r="P941" s="5"/>
      <c r="Q941" s="5"/>
      <c r="R941" s="5"/>
      <c r="S941" s="5"/>
      <c r="T941" s="46"/>
      <c r="U941" s="1627" t="s">
        <v>592</v>
      </c>
      <c r="V941" s="1427"/>
      <c r="W941" s="1427"/>
      <c r="X941" s="1427"/>
      <c r="Y941" s="1427"/>
      <c r="Z941" s="1428"/>
      <c r="AA941" s="1631"/>
      <c r="AB941" s="1525"/>
      <c r="AC941" s="1525"/>
      <c r="AD941" s="1525"/>
      <c r="AE941" s="1525"/>
      <c r="AF941" s="1632"/>
      <c r="AZ941" s="34"/>
      <c r="BA941" s="34"/>
      <c r="BB941" s="14"/>
      <c r="BC941" s="14"/>
    </row>
    <row r="942" spans="6:55" ht="13.25" customHeight="1">
      <c r="F942" s="1628" t="s">
        <v>2204</v>
      </c>
      <c r="G942" s="1629"/>
      <c r="H942" s="1629"/>
      <c r="I942" s="1629"/>
      <c r="J942" s="1629"/>
      <c r="K942" s="1629"/>
      <c r="L942" s="1629"/>
      <c r="M942" s="1629"/>
      <c r="N942" s="1629"/>
      <c r="O942" s="1629"/>
      <c r="P942" s="1629"/>
      <c r="Q942" s="1629"/>
      <c r="R942" s="1629"/>
      <c r="S942" s="1629"/>
      <c r="T942" s="1630"/>
      <c r="U942" s="1627" t="s">
        <v>592</v>
      </c>
      <c r="V942" s="1427"/>
      <c r="W942" s="1427"/>
      <c r="X942" s="1427"/>
      <c r="Y942" s="1427"/>
      <c r="Z942" s="1428"/>
      <c r="AA942" s="1631"/>
      <c r="AB942" s="1525"/>
      <c r="AC942" s="1525"/>
      <c r="AD942" s="1525"/>
      <c r="AE942" s="1525"/>
      <c r="AF942" s="1632"/>
      <c r="AZ942" s="34"/>
      <c r="BA942" s="34"/>
      <c r="BB942" s="34"/>
      <c r="BC942" s="34"/>
    </row>
    <row r="943" spans="6:55" ht="13.25" customHeight="1">
      <c r="F943" s="121" t="s">
        <v>1263</v>
      </c>
      <c r="G943" s="5"/>
      <c r="H943" s="5"/>
      <c r="I943" s="5"/>
      <c r="J943" s="5"/>
      <c r="K943" s="5"/>
      <c r="L943" s="5"/>
      <c r="M943" s="5"/>
      <c r="N943" s="5"/>
      <c r="O943" s="5"/>
      <c r="P943" s="5"/>
      <c r="Q943" s="5"/>
      <c r="R943" s="5"/>
      <c r="S943" s="5"/>
      <c r="T943" s="46"/>
      <c r="U943" s="1627" t="s">
        <v>592</v>
      </c>
      <c r="V943" s="1427"/>
      <c r="W943" s="1427"/>
      <c r="X943" s="1427"/>
      <c r="Y943" s="1427"/>
      <c r="Z943" s="1428"/>
      <c r="AA943" s="1631"/>
      <c r="AB943" s="1525"/>
      <c r="AC943" s="1525"/>
      <c r="AD943" s="1525"/>
      <c r="AE943" s="1525"/>
      <c r="AF943" s="1632"/>
      <c r="AZ943" s="34"/>
      <c r="BA943" s="34"/>
      <c r="BB943" s="34"/>
      <c r="BC943" s="34"/>
    </row>
    <row r="944" spans="6:55" ht="13.25" customHeight="1">
      <c r="F944" s="1628" t="s">
        <v>2205</v>
      </c>
      <c r="G944" s="1629"/>
      <c r="H944" s="1629"/>
      <c r="I944" s="1629"/>
      <c r="J944" s="1629"/>
      <c r="K944" s="1629"/>
      <c r="L944" s="1629"/>
      <c r="M944" s="1629"/>
      <c r="N944" s="1629"/>
      <c r="O944" s="1629"/>
      <c r="P944" s="1629"/>
      <c r="Q944" s="1629"/>
      <c r="R944" s="1629"/>
      <c r="S944" s="1629"/>
      <c r="T944" s="1630"/>
      <c r="U944" s="1627" t="s">
        <v>592</v>
      </c>
      <c r="V944" s="1427"/>
      <c r="W944" s="1427"/>
      <c r="X944" s="1427"/>
      <c r="Y944" s="1427"/>
      <c r="Z944" s="1428"/>
      <c r="AA944" s="1631"/>
      <c r="AB944" s="1525"/>
      <c r="AC944" s="1525"/>
      <c r="AD944" s="1525"/>
      <c r="AE944" s="1525"/>
      <c r="AF944" s="1632"/>
      <c r="AZ944" s="34"/>
      <c r="BA944" s="34"/>
      <c r="BB944" s="34"/>
      <c r="BC944" s="34"/>
    </row>
    <row r="945" spans="1:55" ht="13.25" customHeight="1">
      <c r="F945" s="45" t="s">
        <v>807</v>
      </c>
      <c r="G945" s="5"/>
      <c r="H945" s="5"/>
      <c r="I945" s="5"/>
      <c r="J945" s="5"/>
      <c r="K945" s="5"/>
      <c r="L945" s="5"/>
      <c r="M945" s="5"/>
      <c r="N945" s="5"/>
      <c r="O945" s="5"/>
      <c r="P945" s="1627" t="s">
        <v>670</v>
      </c>
      <c r="Q945" s="1427"/>
      <c r="R945" s="1427"/>
      <c r="S945" s="1427"/>
      <c r="T945" s="1428"/>
      <c r="U945" s="1627" t="s">
        <v>592</v>
      </c>
      <c r="V945" s="1427"/>
      <c r="W945" s="1427"/>
      <c r="X945" s="1427"/>
      <c r="Y945" s="1427"/>
      <c r="Z945" s="1428"/>
      <c r="AA945" s="1631"/>
      <c r="AB945" s="1525"/>
      <c r="AC945" s="1525"/>
      <c r="AD945" s="1525"/>
      <c r="AE945" s="1525"/>
      <c r="AF945" s="1632"/>
      <c r="AZ945" s="34"/>
      <c r="BA945" s="34"/>
      <c r="BB945" s="34"/>
      <c r="BC945" s="34"/>
    </row>
    <row r="946" spans="1:55" ht="13.25" customHeight="1">
      <c r="F946" s="1624" t="s">
        <v>2192</v>
      </c>
      <c r="G946" s="1625"/>
      <c r="H946" s="1626"/>
      <c r="I946" s="1641" t="s">
        <v>334</v>
      </c>
      <c r="J946" s="1642"/>
      <c r="K946" s="1642"/>
      <c r="L946" s="1642"/>
      <c r="M946" s="1642"/>
      <c r="N946" s="1642"/>
      <c r="O946" s="1642"/>
      <c r="P946" s="1642"/>
      <c r="Q946" s="1642"/>
      <c r="R946" s="1642"/>
      <c r="S946" s="1642"/>
      <c r="T946" s="1643"/>
      <c r="U946" s="1627" t="s">
        <v>592</v>
      </c>
      <c r="V946" s="1427"/>
      <c r="W946" s="1427"/>
      <c r="X946" s="1427"/>
      <c r="Y946" s="1427"/>
      <c r="Z946" s="1428"/>
      <c r="AA946" s="1631"/>
      <c r="AB946" s="1525"/>
      <c r="AC946" s="1525"/>
      <c r="AD946" s="1525"/>
      <c r="AE946" s="1525"/>
      <c r="AF946" s="1632"/>
      <c r="AZ946" s="34"/>
      <c r="BA946" s="34"/>
      <c r="BB946" s="34"/>
      <c r="BC946" s="34"/>
    </row>
    <row r="947" spans="1:55" ht="13.25" customHeight="1">
      <c r="F947" s="45" t="s">
        <v>86</v>
      </c>
      <c r="G947" s="48"/>
      <c r="H947" s="48"/>
      <c r="I947" s="1641" t="s">
        <v>334</v>
      </c>
      <c r="J947" s="1642"/>
      <c r="K947" s="1642"/>
      <c r="L947" s="1642"/>
      <c r="M947" s="1642"/>
      <c r="N947" s="1642"/>
      <c r="O947" s="1642"/>
      <c r="P947" s="1642"/>
      <c r="Q947" s="1642"/>
      <c r="R947" s="1642"/>
      <c r="S947" s="1642"/>
      <c r="T947" s="1643"/>
      <c r="U947" s="1627" t="s">
        <v>592</v>
      </c>
      <c r="V947" s="1427"/>
      <c r="W947" s="1427"/>
      <c r="X947" s="1427"/>
      <c r="Y947" s="1427"/>
      <c r="Z947" s="1428"/>
      <c r="AA947" s="1631"/>
      <c r="AB947" s="1525"/>
      <c r="AC947" s="1525"/>
      <c r="AD947" s="1525"/>
      <c r="AE947" s="1525"/>
      <c r="AF947" s="1632"/>
      <c r="AZ947" s="34"/>
      <c r="BA947" s="34"/>
      <c r="BB947" s="34"/>
      <c r="BC947" s="34"/>
    </row>
    <row r="948" spans="1:55" ht="13.25" customHeight="1">
      <c r="F948" s="45" t="s">
        <v>10</v>
      </c>
      <c r="G948" s="48"/>
      <c r="H948" s="48"/>
      <c r="I948" s="1698" t="s">
        <v>334</v>
      </c>
      <c r="J948" s="1699"/>
      <c r="K948" s="1699"/>
      <c r="L948" s="1699"/>
      <c r="M948" s="1699"/>
      <c r="N948" s="1699"/>
      <c r="O948" s="1699"/>
      <c r="P948" s="1699"/>
      <c r="Q948" s="1699"/>
      <c r="R948" s="1699"/>
      <c r="S948" s="1699"/>
      <c r="T948" s="1700"/>
      <c r="U948" s="1627" t="s">
        <v>592</v>
      </c>
      <c r="V948" s="1427"/>
      <c r="W948" s="1427"/>
      <c r="X948" s="1427"/>
      <c r="Y948" s="1427"/>
      <c r="Z948" s="1428"/>
      <c r="AA948" s="1631"/>
      <c r="AB948" s="1525"/>
      <c r="AC948" s="1525"/>
      <c r="AD948" s="1525"/>
      <c r="AE948" s="1525"/>
      <c r="AF948" s="1632"/>
      <c r="AV948" s="2"/>
      <c r="AW948" s="2"/>
      <c r="AX948" s="2"/>
      <c r="AY948" s="2"/>
      <c r="AZ948" s="34"/>
      <c r="BA948" s="34"/>
      <c r="BB948" s="34"/>
      <c r="BC948" s="34"/>
    </row>
    <row r="949" spans="1:55" ht="13.25" customHeight="1">
      <c r="F949" s="47" t="s">
        <v>170</v>
      </c>
      <c r="G949" s="48"/>
      <c r="H949" s="48"/>
      <c r="I949" s="1698" t="s">
        <v>334</v>
      </c>
      <c r="J949" s="1699"/>
      <c r="K949" s="1699"/>
      <c r="L949" s="1699"/>
      <c r="M949" s="1699"/>
      <c r="N949" s="1699"/>
      <c r="O949" s="1699"/>
      <c r="P949" s="1699"/>
      <c r="Q949" s="1699"/>
      <c r="R949" s="1699"/>
      <c r="S949" s="1699"/>
      <c r="T949" s="1700"/>
      <c r="U949" s="1627" t="s">
        <v>592</v>
      </c>
      <c r="V949" s="1427"/>
      <c r="W949" s="1427"/>
      <c r="X949" s="1427"/>
      <c r="Y949" s="1427"/>
      <c r="Z949" s="1428"/>
      <c r="AA949" s="1631"/>
      <c r="AB949" s="1525"/>
      <c r="AC949" s="1525"/>
      <c r="AD949" s="1525"/>
      <c r="AE949" s="1525"/>
      <c r="AF949" s="1632"/>
      <c r="AU949" s="2"/>
      <c r="AZ949" s="34"/>
      <c r="BA949" s="34"/>
      <c r="BB949" s="34"/>
      <c r="BC949" s="34"/>
    </row>
    <row r="950" spans="1:55" ht="13.25" customHeight="1">
      <c r="F950" s="47" t="s">
        <v>170</v>
      </c>
      <c r="G950" s="48"/>
      <c r="H950" s="48"/>
      <c r="I950" s="1698" t="s">
        <v>334</v>
      </c>
      <c r="J950" s="1699"/>
      <c r="K950" s="1699"/>
      <c r="L950" s="1699"/>
      <c r="M950" s="1699"/>
      <c r="N950" s="1699"/>
      <c r="O950" s="1699"/>
      <c r="P950" s="1699"/>
      <c r="Q950" s="1699"/>
      <c r="R950" s="1699"/>
      <c r="S950" s="1699"/>
      <c r="T950" s="1700"/>
      <c r="U950" s="1627" t="s">
        <v>592</v>
      </c>
      <c r="V950" s="1427"/>
      <c r="W950" s="1427"/>
      <c r="X950" s="1427"/>
      <c r="Y950" s="1427"/>
      <c r="Z950" s="1428"/>
      <c r="AA950" s="1631"/>
      <c r="AB950" s="1525"/>
      <c r="AC950" s="1525"/>
      <c r="AD950" s="1525"/>
      <c r="AE950" s="1525"/>
      <c r="AF950" s="1632"/>
      <c r="AU950" s="2"/>
      <c r="AZ950" s="34"/>
      <c r="BA950" s="34"/>
      <c r="BB950" s="34"/>
      <c r="BC950" s="34"/>
    </row>
    <row r="951" spans="1:55" ht="13.25" customHeight="1">
      <c r="AU951" s="2"/>
      <c r="AZ951" s="34"/>
      <c r="BA951" s="34"/>
      <c r="BB951" s="34"/>
      <c r="BC951" s="34"/>
    </row>
    <row r="952" spans="1:55" ht="13.25" customHeight="1">
      <c r="A952" s="2" t="s">
        <v>577</v>
      </c>
      <c r="C952" s="2" t="s">
        <v>752</v>
      </c>
      <c r="AZ952" s="34"/>
      <c r="BA952" s="34"/>
      <c r="BB952" s="34"/>
      <c r="BC952" s="34"/>
    </row>
    <row r="953" spans="1:55" ht="13.2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25" customHeight="1">
      <c r="AZ954" s="34"/>
      <c r="BA954" s="34"/>
      <c r="BB954" s="34"/>
      <c r="BC954" s="34"/>
    </row>
    <row r="955" spans="1:55" ht="13.25" customHeight="1">
      <c r="C955" s="66" t="s">
        <v>11</v>
      </c>
      <c r="D955" s="5"/>
      <c r="E955" s="5"/>
      <c r="F955" s="5"/>
      <c r="G955" s="5"/>
      <c r="H955" s="5"/>
      <c r="I955" s="5"/>
      <c r="J955" s="5"/>
      <c r="K955" s="5"/>
      <c r="L955" s="46"/>
      <c r="M955" s="1702"/>
      <c r="N955" s="1521"/>
      <c r="O955" s="1521"/>
      <c r="P955" s="1521"/>
      <c r="Q955" s="1521"/>
      <c r="R955" s="1521"/>
      <c r="S955" s="1622"/>
      <c r="U955" s="66" t="s">
        <v>11</v>
      </c>
      <c r="V955" s="5"/>
      <c r="W955" s="5"/>
      <c r="X955" s="5"/>
      <c r="Y955" s="5"/>
      <c r="Z955" s="5"/>
      <c r="AA955" s="5"/>
      <c r="AB955" s="5"/>
      <c r="AC955" s="5"/>
      <c r="AD955" s="46"/>
      <c r="AE955" s="1702"/>
      <c r="AF955" s="1521"/>
      <c r="AG955" s="1521"/>
      <c r="AH955" s="1521"/>
      <c r="AI955" s="1521"/>
      <c r="AJ955" s="1521"/>
      <c r="AK955" s="1622"/>
      <c r="AZ955" s="34"/>
      <c r="BA955" s="34"/>
      <c r="BB955" s="34"/>
      <c r="BC955" s="34"/>
    </row>
    <row r="956" spans="1:55" ht="13.25" customHeight="1">
      <c r="C956" s="66" t="s">
        <v>12</v>
      </c>
      <c r="D956" s="5"/>
      <c r="E956" s="5"/>
      <c r="F956" s="5"/>
      <c r="G956" s="5"/>
      <c r="H956" s="5"/>
      <c r="I956" s="5"/>
      <c r="J956" s="5"/>
      <c r="K956" s="5"/>
      <c r="L956" s="46"/>
      <c r="M956" s="1660"/>
      <c r="N956" s="1518"/>
      <c r="O956" s="1518"/>
      <c r="P956" s="1518"/>
      <c r="Q956" s="1518"/>
      <c r="R956" s="1518"/>
      <c r="S956" s="1661"/>
      <c r="U956" s="66" t="s">
        <v>12</v>
      </c>
      <c r="V956" s="5"/>
      <c r="W956" s="5"/>
      <c r="X956" s="5"/>
      <c r="Y956" s="5"/>
      <c r="Z956" s="5"/>
      <c r="AA956" s="5"/>
      <c r="AB956" s="5"/>
      <c r="AC956" s="5"/>
      <c r="AD956" s="46"/>
      <c r="AE956" s="1660"/>
      <c r="AF956" s="1518"/>
      <c r="AG956" s="1518"/>
      <c r="AH956" s="1518"/>
      <c r="AI956" s="1518"/>
      <c r="AJ956" s="1518"/>
      <c r="AK956" s="1661"/>
      <c r="AZ956" s="34"/>
      <c r="BA956" s="34"/>
      <c r="BB956" s="34"/>
      <c r="BC956" s="34"/>
    </row>
    <row r="957" spans="1:55" ht="13.25" customHeight="1">
      <c r="C957" s="66" t="s">
        <v>881</v>
      </c>
      <c r="D957" s="5"/>
      <c r="E957" s="5"/>
      <c r="J957" s="1806" t="s">
        <v>307</v>
      </c>
      <c r="K957" s="1807"/>
      <c r="L957" s="1807"/>
      <c r="M957" s="1807"/>
      <c r="N957" s="1807"/>
      <c r="O957" s="1807"/>
      <c r="P957" s="1807"/>
      <c r="Q957" s="1807"/>
      <c r="R957" s="1807"/>
      <c r="S957" s="1808"/>
      <c r="U957" s="66" t="s">
        <v>881</v>
      </c>
      <c r="V957" s="5"/>
      <c r="W957" s="5"/>
      <c r="AB957" s="1806" t="s">
        <v>307</v>
      </c>
      <c r="AC957" s="1807"/>
      <c r="AD957" s="1807"/>
      <c r="AE957" s="1807"/>
      <c r="AF957" s="1807"/>
      <c r="AG957" s="1807"/>
      <c r="AH957" s="1807"/>
      <c r="AI957" s="1807"/>
      <c r="AJ957" s="1807"/>
      <c r="AK957" s="1808"/>
      <c r="AZ957" s="34"/>
      <c r="BA957" s="34"/>
      <c r="BB957" s="34"/>
      <c r="BC957" s="34"/>
    </row>
    <row r="958" spans="1:55" ht="13.25"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25" customHeight="1">
      <c r="C959" s="66" t="s">
        <v>14</v>
      </c>
      <c r="D959" s="5"/>
      <c r="E959" s="5"/>
      <c r="F959" s="5"/>
      <c r="G959" s="5"/>
      <c r="H959" s="5"/>
      <c r="I959" s="5"/>
      <c r="J959" s="5"/>
      <c r="K959" s="5"/>
      <c r="L959" s="46"/>
      <c r="M959" s="1723"/>
      <c r="N959" s="1607"/>
      <c r="O959" s="1607"/>
      <c r="P959" s="1607"/>
      <c r="Q959" s="1607"/>
      <c r="R959" s="1607"/>
      <c r="S959" s="1608"/>
      <c r="U959" s="66" t="s">
        <v>14</v>
      </c>
      <c r="V959" s="5"/>
      <c r="W959" s="5"/>
      <c r="X959" s="5"/>
      <c r="Y959" s="5"/>
      <c r="Z959" s="5"/>
      <c r="AA959" s="5"/>
      <c r="AB959" s="5"/>
      <c r="AC959" s="5"/>
      <c r="AD959" s="46"/>
      <c r="AE959" s="1723"/>
      <c r="AF959" s="1607"/>
      <c r="AG959" s="1607"/>
      <c r="AH959" s="1607"/>
      <c r="AI959" s="1607"/>
      <c r="AJ959" s="1607"/>
      <c r="AK959" s="1608"/>
      <c r="AV959" s="2"/>
      <c r="AW959" s="2"/>
      <c r="AX959" s="2"/>
      <c r="AY959" s="2"/>
      <c r="AZ959" s="34"/>
      <c r="BA959" s="34"/>
      <c r="BB959" s="34"/>
      <c r="BC959" s="34"/>
    </row>
    <row r="960" spans="1:55" ht="13.25" customHeight="1">
      <c r="C960" s="66" t="s">
        <v>15</v>
      </c>
      <c r="D960" s="5"/>
      <c r="E960" s="5"/>
      <c r="F960" s="5"/>
      <c r="G960" s="5"/>
      <c r="H960" s="5"/>
      <c r="I960" s="5"/>
      <c r="J960" s="5"/>
      <c r="K960" s="5"/>
      <c r="L960" s="46"/>
      <c r="M960" s="1631"/>
      <c r="N960" s="1525"/>
      <c r="O960" s="1525"/>
      <c r="P960" s="1525"/>
      <c r="Q960" s="1525"/>
      <c r="R960" s="1525"/>
      <c r="S960" s="1632"/>
      <c r="U960" s="66" t="s">
        <v>15</v>
      </c>
      <c r="V960" s="5"/>
      <c r="W960" s="5"/>
      <c r="X960" s="5"/>
      <c r="Y960" s="5"/>
      <c r="Z960" s="5"/>
      <c r="AA960" s="5"/>
      <c r="AB960" s="5"/>
      <c r="AC960" s="5"/>
      <c r="AD960" s="46"/>
      <c r="AE960" s="1631"/>
      <c r="AF960" s="1525"/>
      <c r="AG960" s="1525"/>
      <c r="AH960" s="1525"/>
      <c r="AI960" s="1525"/>
      <c r="AJ960" s="1525"/>
      <c r="AK960" s="1632"/>
      <c r="AV960" s="2"/>
      <c r="AW960" s="2"/>
      <c r="AX960" s="2"/>
      <c r="AY960" s="2"/>
      <c r="AZ960" s="34"/>
      <c r="BA960" s="34"/>
      <c r="BB960" s="34"/>
      <c r="BC960" s="34"/>
    </row>
    <row r="961" spans="1:64" ht="13.25" customHeight="1">
      <c r="C961" s="66" t="s">
        <v>16</v>
      </c>
      <c r="D961" s="5"/>
      <c r="E961" s="5"/>
      <c r="F961" s="5"/>
      <c r="G961" s="5"/>
      <c r="H961" s="5"/>
      <c r="I961" s="5"/>
      <c r="J961" s="5"/>
      <c r="K961" s="5"/>
      <c r="L961" s="46"/>
      <c r="M961" s="1631"/>
      <c r="N961" s="1525"/>
      <c r="O961" s="1525"/>
      <c r="P961" s="1525"/>
      <c r="Q961" s="1525"/>
      <c r="R961" s="1525"/>
      <c r="S961" s="1632"/>
      <c r="U961" s="66" t="s">
        <v>16</v>
      </c>
      <c r="V961" s="5"/>
      <c r="W961" s="5"/>
      <c r="X961" s="5"/>
      <c r="Y961" s="5"/>
      <c r="Z961" s="5"/>
      <c r="AA961" s="5"/>
      <c r="AB961" s="5"/>
      <c r="AC961" s="5"/>
      <c r="AD961" s="46"/>
      <c r="AE961" s="1631"/>
      <c r="AF961" s="1525"/>
      <c r="AG961" s="1525"/>
      <c r="AH961" s="1525"/>
      <c r="AI961" s="1525"/>
      <c r="AJ961" s="1525"/>
      <c r="AK961" s="1632"/>
      <c r="AV961" s="2"/>
      <c r="AW961" s="2"/>
      <c r="AX961" s="2"/>
      <c r="AY961" s="2"/>
      <c r="AZ961" s="34"/>
      <c r="BB961" s="34"/>
      <c r="BC961" s="34"/>
    </row>
    <row r="962" spans="1:64" ht="13.25" customHeight="1">
      <c r="C962" s="121" t="s">
        <v>1662</v>
      </c>
      <c r="D962" s="5"/>
      <c r="E962" s="5"/>
      <c r="F962" s="5"/>
      <c r="G962" s="5"/>
      <c r="H962" s="5"/>
      <c r="I962" s="5"/>
      <c r="J962" s="5"/>
      <c r="K962" s="5"/>
      <c r="L962" s="46"/>
      <c r="M962" s="1774"/>
      <c r="N962" s="1775"/>
      <c r="O962" s="1775"/>
      <c r="P962" s="1775"/>
      <c r="Q962" s="1775"/>
      <c r="R962" s="1775"/>
      <c r="S962" s="1776"/>
      <c r="U962" s="121" t="s">
        <v>1662</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25" customHeight="1">
      <c r="AZ963" s="34"/>
      <c r="BB963" s="34"/>
      <c r="BC963" s="34"/>
      <c r="BD963" s="34"/>
      <c r="BE963" s="34"/>
      <c r="BF963" s="34"/>
      <c r="BG963" s="34"/>
      <c r="BH963" s="34"/>
      <c r="BI963" s="34"/>
      <c r="BJ963" s="34"/>
      <c r="BK963" s="34"/>
      <c r="BL963" s="34"/>
    </row>
    <row r="964" spans="1:64" ht="13.2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2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2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25" customHeight="1">
      <c r="A967"/>
      <c r="B967"/>
      <c r="C967"/>
      <c r="D967"/>
      <c r="E967"/>
      <c r="F967" s="45" t="s">
        <v>572</v>
      </c>
      <c r="G967" s="5"/>
      <c r="H967" s="5"/>
      <c r="I967" s="5"/>
      <c r="J967" s="5"/>
      <c r="K967" s="5"/>
      <c r="L967" s="46"/>
      <c r="M967" s="1657"/>
      <c r="N967" s="1658"/>
      <c r="O967" s="1658"/>
      <c r="P967" s="1658"/>
      <c r="Q967" s="1658"/>
      <c r="R967" s="1658"/>
      <c r="S967" s="1659"/>
      <c r="T967" s="66" t="s">
        <v>791</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25" customHeight="1">
      <c r="A968"/>
      <c r="B968"/>
      <c r="C968"/>
      <c r="D968"/>
      <c r="E968"/>
      <c r="F968" s="45" t="s">
        <v>573</v>
      </c>
      <c r="G968" s="5"/>
      <c r="H968" s="5"/>
      <c r="I968" s="5"/>
      <c r="J968" s="5"/>
      <c r="K968" s="5"/>
      <c r="L968" s="46"/>
      <c r="M968" s="1657"/>
      <c r="N968" s="1658"/>
      <c r="O968" s="1658"/>
      <c r="P968" s="1658"/>
      <c r="Q968" s="1658"/>
      <c r="R968" s="1658"/>
      <c r="S968" s="1659"/>
      <c r="T968" s="66" t="s">
        <v>790</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25" customHeight="1">
      <c r="A969"/>
      <c r="B969"/>
      <c r="C969"/>
      <c r="D969"/>
      <c r="E969"/>
      <c r="F969" s="45" t="s">
        <v>902</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25" customHeight="1">
      <c r="A970"/>
      <c r="B970"/>
      <c r="C970"/>
      <c r="D970"/>
      <c r="E970"/>
      <c r="F970" s="45" t="s">
        <v>574</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25" customHeight="1">
      <c r="A971"/>
      <c r="B971"/>
      <c r="C971"/>
      <c r="D971"/>
      <c r="E971"/>
      <c r="F971" s="45" t="s">
        <v>465</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25" customHeight="1">
      <c r="A972"/>
      <c r="B972"/>
      <c r="C972"/>
      <c r="D972"/>
      <c r="E972"/>
      <c r="F972" s="242" t="s">
        <v>881</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25" customHeight="1">
      <c r="A973"/>
      <c r="B973"/>
      <c r="C973"/>
      <c r="D973"/>
      <c r="E973"/>
      <c r="F973" s="41" t="s">
        <v>466</v>
      </c>
      <c r="G973" s="42"/>
      <c r="H973" s="42"/>
      <c r="I973" s="42"/>
      <c r="J973" s="42"/>
      <c r="K973" s="42"/>
      <c r="L973" s="58"/>
      <c r="M973" s="1657"/>
      <c r="N973" s="1658"/>
      <c r="O973" s="1658"/>
      <c r="P973" s="1658"/>
      <c r="Q973" s="1658"/>
      <c r="R973" s="1658"/>
      <c r="S973" s="1659"/>
      <c r="T973" s="1761"/>
      <c r="U973" s="1762"/>
      <c r="V973" s="1762"/>
      <c r="W973" s="1762"/>
      <c r="X973" s="1762"/>
      <c r="Y973" s="1762"/>
      <c r="Z973" s="1763"/>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25" customHeight="1">
      <c r="F974" s="41" t="s">
        <v>336</v>
      </c>
      <c r="G974" s="42"/>
      <c r="H974" s="42"/>
      <c r="I974" s="42"/>
      <c r="J974" s="42"/>
      <c r="K974" s="42"/>
      <c r="L974" s="42"/>
      <c r="M974" s="42"/>
      <c r="N974" s="42"/>
      <c r="O974" s="1370" t="s">
        <v>670</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25" customHeight="1">
      <c r="F975" s="1602" t="s">
        <v>33</v>
      </c>
      <c r="G975" s="1483"/>
      <c r="H975" s="1483"/>
      <c r="I975" s="1483"/>
      <c r="J975" s="1483"/>
      <c r="K975" s="1483"/>
      <c r="L975" s="1483"/>
      <c r="M975" s="1657"/>
      <c r="N975" s="1658"/>
      <c r="O975" s="1658"/>
      <c r="P975" s="1658"/>
      <c r="Q975" s="1658"/>
      <c r="R975" s="1658"/>
      <c r="S975" s="1659"/>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25"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3.25" customHeight="1">
      <c r="AU977" s="68"/>
      <c r="AV977" s="68"/>
      <c r="AW977" s="68"/>
      <c r="AX977" s="68"/>
      <c r="AY977" s="68"/>
      <c r="AZ977" s="14"/>
      <c r="BA977" s="14"/>
      <c r="BB977" s="912"/>
      <c r="BC977" s="912"/>
      <c r="BD977" s="14"/>
      <c r="BE977" s="14"/>
      <c r="BF977" s="14"/>
      <c r="BG977" s="14"/>
      <c r="BH977" s="14"/>
      <c r="BI977" s="14"/>
      <c r="BJ977" s="14"/>
      <c r="BK977" s="14"/>
      <c r="BL977" s="14"/>
    </row>
    <row r="978" spans="1:64" ht="13.25" customHeight="1">
      <c r="AU978" s="68"/>
      <c r="AV978" s="68"/>
      <c r="AW978" s="68"/>
      <c r="AX978" s="68"/>
      <c r="AY978" s="68"/>
      <c r="AZ978" s="14"/>
      <c r="BA978" s="14"/>
      <c r="BB978" s="912"/>
      <c r="BC978" s="912"/>
    </row>
    <row r="979" spans="1:64" ht="13.2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2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2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2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2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2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25" customHeight="1">
      <c r="A985" s="67"/>
      <c r="B985" s="79"/>
      <c r="C985" s="928"/>
      <c r="D985" s="1789" t="s">
        <v>639</v>
      </c>
      <c r="E985" s="1790"/>
      <c r="F985" s="1790"/>
      <c r="G985" s="1790"/>
      <c r="H985" s="1790"/>
      <c r="I985" s="1790"/>
      <c r="J985" s="1790"/>
      <c r="K985" s="1790"/>
      <c r="L985" s="1790"/>
      <c r="M985" s="1790"/>
      <c r="N985" s="1790"/>
      <c r="O985" s="1790"/>
      <c r="P985" s="1790"/>
      <c r="Q985" s="1791"/>
      <c r="R985" s="1789" t="s">
        <v>640</v>
      </c>
      <c r="S985" s="1790"/>
      <c r="T985" s="1790"/>
      <c r="U985" s="1790"/>
      <c r="V985" s="1790"/>
      <c r="W985" s="1790"/>
      <c r="X985" s="1790"/>
      <c r="Y985" s="1790"/>
      <c r="Z985" s="1790"/>
      <c r="AA985" s="1791"/>
      <c r="AB985" s="1789" t="s">
        <v>641</v>
      </c>
      <c r="AC985" s="1790"/>
      <c r="AD985" s="1790"/>
      <c r="AE985" s="1790"/>
      <c r="AF985" s="1790"/>
      <c r="AG985" s="1790"/>
      <c r="AH985" s="1790"/>
      <c r="AI985" s="1791"/>
      <c r="AJ985" s="1789" t="s">
        <v>642</v>
      </c>
      <c r="AK985" s="1790"/>
      <c r="AL985" s="1790"/>
      <c r="AM985" s="1790"/>
      <c r="AN985" s="1790"/>
      <c r="AO985" s="1790"/>
      <c r="AP985" s="1790"/>
      <c r="AQ985" s="1791"/>
      <c r="AR985" s="68"/>
      <c r="AS985" s="68"/>
      <c r="AT985" s="68"/>
      <c r="AU985" s="68"/>
      <c r="AV985" s="68"/>
      <c r="AW985" s="68"/>
      <c r="AX985" s="68"/>
      <c r="AY985" s="68"/>
      <c r="AZ985" s="30"/>
      <c r="BB985" s="14"/>
      <c r="BC985" s="14"/>
    </row>
    <row r="986" spans="1:64" ht="13.25" customHeight="1">
      <c r="A986" s="14"/>
      <c r="B986" s="73"/>
      <c r="C986" s="929"/>
      <c r="D986" s="1795" t="s">
        <v>634</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353173</v>
      </c>
      <c r="S986" s="1782"/>
      <c r="T986" s="1782"/>
      <c r="U986" s="1782"/>
      <c r="V986" s="1782"/>
      <c r="W986" s="1782"/>
      <c r="X986" s="1782"/>
      <c r="Y986" s="1782"/>
      <c r="Z986" s="1782"/>
      <c r="AA986" s="1782"/>
      <c r="AB986" s="1779">
        <f>CP802</f>
        <v>12</v>
      </c>
      <c r="AC986" s="1780"/>
      <c r="AD986" s="1780"/>
      <c r="AE986" s="1780"/>
      <c r="AF986" s="1780"/>
      <c r="AG986" s="1780"/>
      <c r="AH986" s="1780"/>
      <c r="AI986" s="1781"/>
      <c r="AJ986" s="1715">
        <f>IF(ISERROR((R986*AB986)),0,(R986*AB986))</f>
        <v>4238076</v>
      </c>
      <c r="AK986" s="1716"/>
      <c r="AL986" s="1716"/>
      <c r="AM986" s="1716"/>
      <c r="AN986" s="1716"/>
      <c r="AO986" s="1716"/>
      <c r="AP986" s="1716"/>
      <c r="AQ986" s="1717"/>
      <c r="AR986" s="68"/>
      <c r="AS986" s="68"/>
      <c r="AT986" s="68"/>
      <c r="AU986" s="68"/>
      <c r="AV986" s="68"/>
      <c r="AW986" s="68"/>
      <c r="AX986" s="68"/>
      <c r="AY986" s="68"/>
      <c r="AZ986" s="30"/>
      <c r="BB986" s="14"/>
      <c r="BC986" s="14"/>
    </row>
    <row r="987" spans="1:64" ht="13.25"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407205</v>
      </c>
      <c r="S987" s="1782"/>
      <c r="T987" s="1782"/>
      <c r="U987" s="1782"/>
      <c r="V987" s="1782"/>
      <c r="W987" s="1782"/>
      <c r="X987" s="1782"/>
      <c r="Y987" s="1782"/>
      <c r="Z987" s="1782"/>
      <c r="AA987" s="1782"/>
      <c r="AB987" s="1779">
        <f>CU802</f>
        <v>30</v>
      </c>
      <c r="AC987" s="1780"/>
      <c r="AD987" s="1780"/>
      <c r="AE987" s="1780"/>
      <c r="AF987" s="1780"/>
      <c r="AG987" s="1780"/>
      <c r="AH987" s="1780"/>
      <c r="AI987" s="1781"/>
      <c r="AJ987" s="1715">
        <f>IF(ISERROR((R987*AB987)),0,(R987*AB987))</f>
        <v>12216150</v>
      </c>
      <c r="AK987" s="1716"/>
      <c r="AL987" s="1716"/>
      <c r="AM987" s="1716"/>
      <c r="AN987" s="1716"/>
      <c r="AO987" s="1716"/>
      <c r="AP987" s="1716"/>
      <c r="AQ987" s="1717"/>
      <c r="AR987" s="68"/>
      <c r="AS987" s="68"/>
      <c r="AT987" s="68"/>
      <c r="AU987" s="68"/>
      <c r="AV987" s="68"/>
      <c r="AW987" s="68"/>
      <c r="AX987" s="68"/>
      <c r="AY987" s="68"/>
      <c r="AZ987" s="30"/>
      <c r="BB987" s="14"/>
      <c r="BC987" s="14"/>
    </row>
    <row r="988" spans="1:64" ht="13.25"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491200</v>
      </c>
      <c r="S988" s="1782"/>
      <c r="T988" s="1782"/>
      <c r="U988" s="1782"/>
      <c r="V988" s="1782"/>
      <c r="W988" s="1782"/>
      <c r="X988" s="1782"/>
      <c r="Y988" s="1782"/>
      <c r="Z988" s="1782"/>
      <c r="AA988" s="1782"/>
      <c r="AB988" s="1779">
        <f>CZ802</f>
        <v>18</v>
      </c>
      <c r="AC988" s="1780"/>
      <c r="AD988" s="1780"/>
      <c r="AE988" s="1780"/>
      <c r="AF988" s="1780"/>
      <c r="AG988" s="1780"/>
      <c r="AH988" s="1780"/>
      <c r="AI988" s="1781"/>
      <c r="AJ988" s="1715">
        <f>IF(ISERROR((R988*AB988)),0,(R988*AB988))</f>
        <v>8841600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25"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628736</v>
      </c>
      <c r="S989" s="1782"/>
      <c r="T989" s="1782"/>
      <c r="U989" s="1782"/>
      <c r="V989" s="1782"/>
      <c r="W989" s="1782"/>
      <c r="X989" s="1782"/>
      <c r="Y989" s="1782"/>
      <c r="Z989" s="1782"/>
      <c r="AA989" s="1782"/>
      <c r="AB989" s="1779">
        <f>DE802</f>
        <v>18</v>
      </c>
      <c r="AC989" s="1780"/>
      <c r="AD989" s="1780"/>
      <c r="AE989" s="1780"/>
      <c r="AF989" s="1780"/>
      <c r="AG989" s="1780"/>
      <c r="AH989" s="1780"/>
      <c r="AI989" s="1781"/>
      <c r="AJ989" s="1715">
        <f>IF(ISERROR((R989*AB989)),0,(R989*AB989))</f>
        <v>11317248</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25"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700451</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25"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78</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25"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36613074</v>
      </c>
      <c r="AK992" s="1716"/>
      <c r="AL992" s="1716"/>
      <c r="AM992" s="1716"/>
      <c r="AN992" s="1716"/>
      <c r="AO992" s="1716"/>
      <c r="AP992" s="1716"/>
      <c r="AQ992" s="1717"/>
      <c r="AR992" s="68"/>
      <c r="AS992" s="68"/>
      <c r="AT992" s="68"/>
      <c r="AU992" s="68"/>
      <c r="AV992" s="68"/>
      <c r="AW992" s="68"/>
      <c r="AX992" s="68"/>
      <c r="AY992" s="68"/>
      <c r="AZ992" s="34"/>
      <c r="BB992" s="34"/>
      <c r="BC992" s="34"/>
    </row>
    <row r="993" spans="1:55" ht="13.2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667</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25"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670</v>
      </c>
      <c r="AH994" s="1828"/>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25" customHeight="1">
      <c r="A995" s="14"/>
      <c r="B995" s="257"/>
      <c r="C995" s="256"/>
      <c r="D995" s="1767" t="s">
        <v>2235</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25"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25"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25"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25" customHeight="1">
      <c r="A999" s="14"/>
      <c r="B999" s="257"/>
      <c r="C999" s="256"/>
      <c r="D999" s="1770" t="s">
        <v>2206</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25"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25" customHeight="1">
      <c r="A1001" s="14"/>
      <c r="B1001" s="255"/>
      <c r="C1001" s="318"/>
      <c r="D1001" s="1764" t="s">
        <v>1287</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25" customHeight="1">
      <c r="A1002" s="14"/>
      <c r="B1002" s="257"/>
      <c r="C1002" s="82"/>
      <c r="D1002" s="1767" t="s">
        <v>1285</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25"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77</v>
      </c>
      <c r="AZ1003" s="34"/>
      <c r="BB1003" s="34"/>
    </row>
    <row r="1004" spans="1:55" ht="13.25"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25"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0.45</v>
      </c>
      <c r="AZ1005" s="34"/>
      <c r="BB1005" s="34"/>
    </row>
    <row r="1006" spans="1:55" ht="13.25"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0.11</v>
      </c>
      <c r="AZ1006" s="34"/>
      <c r="BB1006" s="34"/>
    </row>
    <row r="1007" spans="1:55" ht="13.25" customHeight="1">
      <c r="A1007" s="14"/>
      <c r="B1007" s="255"/>
      <c r="C1007" s="80" t="s">
        <v>673</v>
      </c>
      <c r="D1007" s="1764" t="s">
        <v>1684</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3.25" customHeight="1">
      <c r="A1008" s="14"/>
      <c r="B1008" s="73"/>
      <c r="C1008" s="74"/>
      <c r="D1008" s="1695" t="s">
        <v>1286</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25"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2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25" customHeight="1">
      <c r="A1011" s="14"/>
      <c r="B1011" s="79"/>
      <c r="C1011" s="80" t="s">
        <v>212</v>
      </c>
      <c r="D1011" s="1764" t="s">
        <v>1288</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1289</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1842</v>
      </c>
      <c r="AZ1012" s="3" t="s">
        <v>2607</v>
      </c>
    </row>
    <row r="1013" spans="1:52" ht="13.25" customHeight="1">
      <c r="A1013" s="14"/>
      <c r="B1013" s="79"/>
      <c r="C1013" s="80" t="s">
        <v>215</v>
      </c>
      <c r="D1013" s="1764" t="s">
        <v>1290</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3.25" customHeight="1">
      <c r="A1014" s="14"/>
      <c r="B1014" s="73"/>
      <c r="C1014" s="74"/>
      <c r="D1014" s="1695" t="s">
        <v>1291</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3.2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3.25" customHeight="1">
      <c r="A1016" s="14"/>
      <c r="B1016" s="79"/>
      <c r="C1016" s="80" t="s">
        <v>218</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670</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3.25" customHeight="1">
      <c r="A1017" s="14"/>
      <c r="B1017" s="73"/>
      <c r="C1017" s="74"/>
      <c r="D1017" s="1695" t="s">
        <v>1292</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3.25"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3.2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3.25" customHeight="1">
      <c r="A1020" s="14"/>
      <c r="B1020" s="79"/>
      <c r="C1020" s="80" t="s">
        <v>223</v>
      </c>
      <c r="D1020" s="1812" t="s">
        <v>1293</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3.2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3.25" customHeight="1">
      <c r="A1022" s="14"/>
      <c r="B1022" s="81"/>
      <c r="C1022" s="84"/>
      <c r="D1022" s="1695" t="s">
        <v>1294</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3.25"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3.25" customHeight="1">
      <c r="A1024" s="14"/>
      <c r="B1024" s="81"/>
      <c r="C1024" s="84"/>
      <c r="D1024" s="526"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2606</v>
      </c>
      <c r="AY1024" s="201">
        <f>IF(SUM(AY1013:AY1023)&lt;=0.2,SUM(AY1013:AY1023),0.2)</f>
        <v>0</v>
      </c>
    </row>
    <row r="1025" spans="1:57" ht="13.25" customHeight="1">
      <c r="A1025" s="14"/>
      <c r="B1025" s="79"/>
      <c r="C1025" s="80" t="s">
        <v>229</v>
      </c>
      <c r="D1025" s="1764" t="s">
        <v>1295</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670</v>
      </c>
      <c r="AH1025" s="1751"/>
      <c r="AI1025" s="87"/>
      <c r="AJ1025" s="1724">
        <f>ROUND(IF(AG1025="Yes",AF1027,0),0)</f>
        <v>0</v>
      </c>
      <c r="AK1025" s="1725"/>
      <c r="AL1025" s="1725"/>
      <c r="AM1025" s="1725"/>
      <c r="AN1025" s="1725"/>
      <c r="AO1025" s="1725"/>
      <c r="AP1025" s="1725"/>
      <c r="AQ1025" s="1726"/>
      <c r="AR1025" s="68"/>
      <c r="AS1025" s="68"/>
      <c r="AT1025" s="68"/>
      <c r="AU1025" s="68"/>
      <c r="AV1025" s="68"/>
      <c r="AW1025" s="68"/>
      <c r="AX1025" s="68"/>
      <c r="AY1025" s="68"/>
    </row>
    <row r="1026" spans="1:57" ht="13.25" customHeight="1">
      <c r="A1026" s="14"/>
      <c r="B1026" s="73"/>
      <c r="C1026" s="74"/>
      <c r="D1026" s="1695" t="s">
        <v>1691</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25"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2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25" customHeight="1">
      <c r="A1029" s="14"/>
      <c r="B1029" s="79"/>
      <c r="C1029" s="80" t="s">
        <v>234</v>
      </c>
      <c r="D1029" s="1733" t="s">
        <v>1296</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546</v>
      </c>
      <c r="AH1029" s="1751"/>
      <c r="AI1029" s="87"/>
      <c r="AJ1029" s="1724">
        <f>ROUND(IF(AG1029="yes",(AJ992*0.1),0),0)</f>
        <v>3661307</v>
      </c>
      <c r="AK1029" s="1725"/>
      <c r="AL1029" s="1725"/>
      <c r="AM1029" s="1725"/>
      <c r="AN1029" s="1725"/>
      <c r="AO1029" s="1725"/>
      <c r="AP1029" s="1725"/>
      <c r="AQ1029" s="1726"/>
      <c r="AR1029" s="68"/>
      <c r="AS1029" s="68"/>
      <c r="AT1029" s="68"/>
      <c r="AU1029" s="68"/>
      <c r="AV1029" s="68"/>
      <c r="AW1029" s="68"/>
      <c r="AX1029" s="68"/>
      <c r="AY1029" s="68"/>
    </row>
    <row r="1030" spans="1:57" ht="13.25" customHeight="1">
      <c r="A1030" s="14"/>
      <c r="B1030" s="73"/>
      <c r="C1030" s="74"/>
      <c r="D1030" s="1695" t="s">
        <v>1297</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2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25" customHeight="1">
      <c r="A1032" s="14"/>
      <c r="B1032" s="73"/>
      <c r="C1032" s="339" t="s">
        <v>688</v>
      </c>
      <c r="D1032" s="1764" t="s">
        <v>1687</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25" customHeight="1">
      <c r="A1033" s="14"/>
      <c r="B1033" s="73"/>
      <c r="C1033" s="74"/>
      <c r="D1033" s="1801"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25"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25"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25" customHeight="1">
      <c r="A1036" s="14"/>
      <c r="B1036" s="73"/>
      <c r="C1036" s="339" t="s">
        <v>688</v>
      </c>
      <c r="D1036" s="1733" t="s">
        <v>1689</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546</v>
      </c>
      <c r="AH1036" s="1753"/>
      <c r="AI1036" s="83"/>
      <c r="AJ1036" s="1724">
        <f>ROUND(IF(AND(AG1036="yes",AJ1032=0),(AJ992*0.1),0),0)</f>
        <v>3661307</v>
      </c>
      <c r="AK1036" s="1725"/>
      <c r="AL1036" s="1725"/>
      <c r="AM1036" s="1725"/>
      <c r="AN1036" s="1725"/>
      <c r="AO1036" s="1725"/>
      <c r="AP1036" s="1725"/>
      <c r="AQ1036" s="1726"/>
      <c r="AR1036" s="68"/>
      <c r="AS1036" s="68"/>
      <c r="AT1036" s="68"/>
      <c r="AU1036" s="68"/>
      <c r="AV1036" s="68"/>
      <c r="AW1036" s="68"/>
      <c r="AX1036" s="68"/>
      <c r="AY1036" s="68"/>
    </row>
    <row r="1037" spans="1:57" ht="13.25" customHeight="1">
      <c r="A1037" s="14"/>
      <c r="B1037" s="73"/>
      <c r="C1037" s="74"/>
      <c r="D1037" s="1801"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25"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25"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0.5714285714285714</v>
      </c>
      <c r="BB1039" s="3" t="s">
        <v>2493</v>
      </c>
    </row>
    <row r="1040" spans="1:57" ht="13.25"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3.25" customHeight="1">
      <c r="A1041" s="14"/>
      <c r="B1041" s="79"/>
      <c r="C1041" s="131" t="s">
        <v>1011</v>
      </c>
      <c r="D1041" s="1764" t="s">
        <v>1298</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546</v>
      </c>
      <c r="AH1041" s="1751"/>
      <c r="AI1041" s="87"/>
      <c r="AJ1041" s="1724">
        <f>ROUND(IF(AG1041="yes",(AJ992*0.1),0),0)</f>
        <v>3661307</v>
      </c>
      <c r="AK1041" s="1725"/>
      <c r="AL1041" s="1725"/>
      <c r="AM1041" s="1725"/>
      <c r="AN1041" s="1725"/>
      <c r="AO1041" s="1725"/>
      <c r="AP1041" s="1725"/>
      <c r="AQ1041" s="1726"/>
      <c r="AR1041" s="68"/>
      <c r="AS1041" s="68"/>
      <c r="AT1041" s="68"/>
      <c r="AU1041" s="68"/>
      <c r="AV1041" s="68"/>
      <c r="AW1041" s="68"/>
      <c r="AX1041" s="68"/>
      <c r="AY1041" s="68"/>
      <c r="BA1041">
        <f>Q212</f>
        <v>0</v>
      </c>
      <c r="BB1041" s="3" t="s">
        <v>2491</v>
      </c>
    </row>
    <row r="1042" spans="1:56" ht="13.25" customHeight="1">
      <c r="A1042" s="14"/>
      <c r="B1042" s="73"/>
      <c r="C1042" s="74"/>
      <c r="D1042" s="1695" t="s">
        <v>2145</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2492</v>
      </c>
    </row>
    <row r="1043" spans="1:56" ht="13.2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2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25" customHeight="1">
      <c r="A1045" s="14"/>
      <c r="B1045" s="79"/>
      <c r="C1045" s="131" t="s">
        <v>1685</v>
      </c>
      <c r="D1045" s="1733" t="s">
        <v>1865</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16475883.300000001</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1182000</v>
      </c>
      <c r="BA1045" s="3" t="s">
        <v>2478</v>
      </c>
      <c r="BB1045" s="3"/>
      <c r="BC1045" s="3"/>
      <c r="BD1045" s="3"/>
    </row>
    <row r="1046" spans="1:56" ht="13.25" customHeight="1">
      <c r="A1046" s="14"/>
      <c r="B1046" s="73"/>
      <c r="C1046" s="442"/>
      <c r="D1046" s="1695" t="s">
        <v>1300</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5417546.1749999998</v>
      </c>
      <c r="BA1046" s="1182">
        <f>IF(BA1040,20%,15%)</f>
        <v>0.15</v>
      </c>
      <c r="BB1046" s="3" t="s">
        <v>2479</v>
      </c>
      <c r="BC1046" s="3" t="s">
        <v>2480</v>
      </c>
      <c r="BD1046" s="3"/>
    </row>
    <row r="1047" spans="1:56" ht="13.25"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25" customHeight="1">
      <c r="A1048" s="14"/>
      <c r="B1048" s="77"/>
      <c r="C1048" s="78"/>
      <c r="D1048" s="132" t="s">
        <v>973</v>
      </c>
      <c r="E1048" s="133"/>
      <c r="F1048" s="133"/>
      <c r="G1048" s="133"/>
      <c r="H1048" s="133"/>
      <c r="I1048" s="1787">
        <f>AY1003</f>
        <v>77</v>
      </c>
      <c r="J1048" s="1788"/>
      <c r="K1048" s="7"/>
      <c r="L1048" s="133"/>
      <c r="M1048" s="133"/>
      <c r="N1048" s="133"/>
      <c r="O1048" s="133"/>
      <c r="P1048" s="133"/>
      <c r="Q1048" s="133"/>
      <c r="R1048" s="133"/>
      <c r="S1048" s="133"/>
      <c r="T1048" s="133"/>
      <c r="U1048" s="133"/>
      <c r="V1048" s="134" t="s">
        <v>974</v>
      </c>
      <c r="W1048" s="48"/>
      <c r="X1048" s="1785">
        <f>CI753</f>
        <v>35</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25" customHeight="1">
      <c r="A1049" s="14"/>
      <c r="B1049" s="79"/>
      <c r="C1049" s="131" t="s">
        <v>1686</v>
      </c>
      <c r="D1049" s="1764" t="s">
        <v>2171</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8054876.2800000003</v>
      </c>
      <c r="AK1049" s="1725"/>
      <c r="AL1049" s="1725"/>
      <c r="AM1049" s="1725"/>
      <c r="AN1049" s="1725"/>
      <c r="AO1049" s="1725"/>
      <c r="AP1049" s="1725"/>
      <c r="AQ1049" s="1726"/>
      <c r="AR1049" s="68"/>
      <c r="AS1049" s="68"/>
      <c r="AT1049" s="68"/>
      <c r="AU1049" s="14"/>
      <c r="AV1049" s="68"/>
      <c r="AW1049" s="68"/>
      <c r="AX1049" s="68"/>
      <c r="AY1049" s="68"/>
      <c r="AZ1049" s="962">
        <f>AZ1045*BA1049</f>
        <v>177300</v>
      </c>
      <c r="BA1049" s="1182">
        <v>0.15</v>
      </c>
      <c r="BB1049" s="3" t="s">
        <v>2479</v>
      </c>
      <c r="BC1049" s="3" t="s">
        <v>2483</v>
      </c>
      <c r="BD1049" s="3"/>
    </row>
    <row r="1050" spans="1:56" ht="13.25" customHeight="1">
      <c r="A1050" s="14"/>
      <c r="B1050" s="73"/>
      <c r="C1050" s="442"/>
      <c r="D1050" s="1695" t="s">
        <v>1299</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25"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25" customHeight="1">
      <c r="A1052" s="14"/>
      <c r="B1052" s="77"/>
      <c r="C1052" s="78"/>
      <c r="D1052" s="132" t="s">
        <v>973</v>
      </c>
      <c r="E1052" s="133"/>
      <c r="F1052" s="133"/>
      <c r="G1052" s="133"/>
      <c r="H1052" s="133"/>
      <c r="I1052" s="1787">
        <f>AY1003</f>
        <v>77</v>
      </c>
      <c r="J1052" s="1788"/>
      <c r="K1052" s="14"/>
      <c r="L1052" s="133"/>
      <c r="M1052" s="133"/>
      <c r="N1052" s="133"/>
      <c r="O1052" s="133"/>
      <c r="P1052" s="133"/>
      <c r="Q1052" s="133"/>
      <c r="R1052" s="133"/>
      <c r="S1052" s="133"/>
      <c r="T1052" s="133"/>
      <c r="U1052" s="133"/>
      <c r="V1052" s="134" t="s">
        <v>975</v>
      </c>
      <c r="X1052" s="1785">
        <f>CM753</f>
        <v>9</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25"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72127754.579999998</v>
      </c>
      <c r="AK1053" s="1799"/>
      <c r="AL1053" s="1799"/>
      <c r="AM1053" s="1799"/>
      <c r="AN1053" s="1799"/>
      <c r="AO1053" s="1799"/>
      <c r="AP1053" s="1799"/>
      <c r="AQ1053" s="1800"/>
      <c r="AR1053" s="68"/>
      <c r="AS1053" s="68"/>
      <c r="AT1053" s="68"/>
      <c r="AU1053" s="68"/>
      <c r="AV1053" s="68"/>
      <c r="AW1053" s="68"/>
      <c r="AX1053" s="68"/>
      <c r="AY1053" s="68"/>
      <c r="AZ1053" s="1181">
        <v>6000000</v>
      </c>
      <c r="BA1053" s="3" t="s">
        <v>2486</v>
      </c>
      <c r="BB1053" s="3"/>
      <c r="BC1053" s="3"/>
      <c r="BD1053" s="3"/>
    </row>
    <row r="1054" spans="1:56" ht="13.2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2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2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41534520.5</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5594846.1749999998</v>
      </c>
      <c r="BB1056" s="3" t="s">
        <v>2488</v>
      </c>
      <c r="BC1056" s="3"/>
      <c r="BD1056" s="3"/>
    </row>
    <row r="1057" spans="1:54" ht="13.2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0.81133219649685873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2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5417546</v>
      </c>
      <c r="BB1058" s="3" t="s">
        <v>2494</v>
      </c>
    </row>
    <row r="1059" spans="1:54" ht="13.2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2917546</v>
      </c>
      <c r="BB1059" s="3" t="s">
        <v>2495</v>
      </c>
    </row>
    <row r="1060" spans="1:54" ht="13.2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25" customHeight="1">
      <c r="A1061" s="1836" t="s">
        <v>795</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2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2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2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25" customHeight="1">
      <c r="A1065" s="1415" t="s">
        <v>592</v>
      </c>
      <c r="B1065" s="1415"/>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2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25" customHeight="1">
      <c r="A1067" s="1415" t="s">
        <v>592</v>
      </c>
      <c r="B1067" s="1415"/>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2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2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2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2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2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2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2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2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2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2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2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2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2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25" customHeight="1">
      <c r="A1081" s="1415" t="s">
        <v>592</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2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2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2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25" customHeight="1">
      <c r="A1085" s="1415" t="s">
        <v>592</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2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2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2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25" customHeight="1">
      <c r="A1089" s="1415" t="s">
        <v>592</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2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2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2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2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2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2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2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25"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25"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2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25" customHeight="1">
      <c r="A1100" s="1415" t="s">
        <v>592</v>
      </c>
      <c r="B1100" s="1415"/>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2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2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25" customHeight="1">
      <c r="A1103" s="1415" t="s">
        <v>592</v>
      </c>
      <c r="B1103" s="1415"/>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2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2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2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2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2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2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2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2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2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2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2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2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2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2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2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2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2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2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2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2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H336:R336"/>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K714:N717"/>
    <mergeCell ref="C635:L635"/>
    <mergeCell ref="AC370:AF370"/>
    <mergeCell ref="C558:L558"/>
    <mergeCell ref="AC507:AF507"/>
    <mergeCell ref="AE402:AJ402"/>
    <mergeCell ref="AC385:AJ385"/>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630:L630"/>
    <mergeCell ref="AC387:AJ387"/>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T720:W720"/>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J99" sqref="J99"/>
    </sheetView>
  </sheetViews>
  <sheetFormatPr baseColWidth="10" defaultColWidth="0" defaultRowHeight="12" zeroHeight="1"/>
  <cols>
    <col min="1" max="1" width="35.6640625" style="187" customWidth="1"/>
    <col min="2" max="12" width="12.33203125" style="158" customWidth="1"/>
    <col min="13" max="17" width="11.33203125" style="158" customWidth="1"/>
    <col min="18" max="18" width="12.6640625" style="158" customWidth="1"/>
    <col min="19" max="20" width="12.33203125" style="158" customWidth="1"/>
    <col min="21" max="21" width="0.33203125" style="161" customWidth="1"/>
    <col min="22" max="16383" width="8.6640625" style="158" hidden="1"/>
    <col min="16384" max="16384" width="0.33203125" style="158" customWidth="1"/>
  </cols>
  <sheetData>
    <row r="1" spans="1:21" s="110" customFormat="1" ht="13">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 xml:space="preserve">2)Interfaith Development Corporation </v>
      </c>
      <c r="H2" s="139" t="str">
        <f>Application!B629&amp;Application!C629</f>
        <v>3)Citi Community Capital</v>
      </c>
      <c r="I2" s="139" t="str">
        <f>Application!B630&amp;Application!C630</f>
        <v>4)Accrued Interest on Subordinate Debt</v>
      </c>
      <c r="J2" s="139" t="str">
        <f>Application!B631&amp;Application!C631</f>
        <v>5)Deffered Developer Fee</v>
      </c>
      <c r="K2" s="139" t="str">
        <f>Application!B632&amp;Application!C632</f>
        <v xml:space="preserve">6)Interfaith Development Corporation </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67500</v>
      </c>
      <c r="C4" s="147">
        <v>67500</v>
      </c>
      <c r="D4" s="147"/>
      <c r="E4" s="147"/>
      <c r="F4" s="147"/>
      <c r="G4" s="147">
        <v>0</v>
      </c>
      <c r="H4" s="147"/>
      <c r="I4" s="147"/>
      <c r="J4" s="147"/>
      <c r="K4" s="147">
        <v>67500</v>
      </c>
      <c r="L4" s="147"/>
      <c r="M4" s="147"/>
      <c r="N4" s="147"/>
      <c r="O4" s="147"/>
      <c r="P4" s="147"/>
      <c r="Q4" s="147"/>
      <c r="R4" s="516">
        <f>SUM(E4:Q4)</f>
        <v>67500</v>
      </c>
      <c r="S4" s="148"/>
      <c r="T4" s="148"/>
      <c r="U4" s="143"/>
    </row>
    <row r="5" spans="1:21" s="144" customFormat="1" ht="13">
      <c r="A5" s="145" t="s">
        <v>28</v>
      </c>
      <c r="B5" s="146">
        <f>SUM(C5+D5)</f>
        <v>0</v>
      </c>
      <c r="C5" s="147">
        <v>0</v>
      </c>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v>0</v>
      </c>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ht="13">
      <c r="A8" s="149" t="s">
        <v>594</v>
      </c>
      <c r="B8" s="146">
        <f>SUM(C8:D8)</f>
        <v>67500</v>
      </c>
      <c r="C8" s="146">
        <f t="shared" ref="C8:Q8" si="0">SUM(C4:C7)</f>
        <v>67500</v>
      </c>
      <c r="D8" s="146">
        <f t="shared" si="0"/>
        <v>0</v>
      </c>
      <c r="E8" s="146">
        <f t="shared" si="0"/>
        <v>0</v>
      </c>
      <c r="F8" s="146">
        <f t="shared" si="0"/>
        <v>0</v>
      </c>
      <c r="G8" s="146">
        <f t="shared" si="0"/>
        <v>0</v>
      </c>
      <c r="H8" s="146">
        <f t="shared" si="0"/>
        <v>0</v>
      </c>
      <c r="I8" s="146">
        <f t="shared" si="0"/>
        <v>0</v>
      </c>
      <c r="J8" s="146">
        <f t="shared" si="0"/>
        <v>0</v>
      </c>
      <c r="K8" s="146">
        <f t="shared" si="0"/>
        <v>67500</v>
      </c>
      <c r="L8" s="146">
        <f t="shared" si="0"/>
        <v>0</v>
      </c>
      <c r="M8" s="146">
        <f t="shared" si="0"/>
        <v>0</v>
      </c>
      <c r="N8" s="146">
        <f t="shared" si="0"/>
        <v>0</v>
      </c>
      <c r="O8" s="146">
        <f t="shared" si="0"/>
        <v>0</v>
      </c>
      <c r="P8" s="146"/>
      <c r="Q8" s="146">
        <f t="shared" si="0"/>
        <v>0</v>
      </c>
      <c r="R8" s="342">
        <f>SUM(R4:R7)</f>
        <v>67500</v>
      </c>
      <c r="S8" s="148"/>
      <c r="T8" s="148"/>
      <c r="U8" s="143"/>
    </row>
    <row r="9" spans="1:21" s="144" customFormat="1" ht="13">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67500</v>
      </c>
      <c r="C12" s="146">
        <f t="shared" si="2"/>
        <v>67500</v>
      </c>
      <c r="D12" s="146">
        <f t="shared" si="2"/>
        <v>0</v>
      </c>
      <c r="E12" s="146">
        <f t="shared" si="2"/>
        <v>0</v>
      </c>
      <c r="F12" s="146">
        <f t="shared" si="2"/>
        <v>0</v>
      </c>
      <c r="G12" s="146">
        <f t="shared" si="2"/>
        <v>0</v>
      </c>
      <c r="H12" s="146">
        <f t="shared" si="2"/>
        <v>0</v>
      </c>
      <c r="I12" s="146">
        <f t="shared" si="2"/>
        <v>0</v>
      </c>
      <c r="J12" s="146">
        <f t="shared" si="2"/>
        <v>0</v>
      </c>
      <c r="K12" s="146">
        <f t="shared" si="2"/>
        <v>67500</v>
      </c>
      <c r="L12" s="146">
        <f t="shared" si="2"/>
        <v>0</v>
      </c>
      <c r="M12" s="146">
        <f t="shared" si="2"/>
        <v>0</v>
      </c>
      <c r="N12" s="146">
        <f t="shared" si="2"/>
        <v>0</v>
      </c>
      <c r="O12" s="146">
        <f t="shared" si="2"/>
        <v>0</v>
      </c>
      <c r="P12" s="146"/>
      <c r="Q12" s="146">
        <f t="shared" si="2"/>
        <v>0</v>
      </c>
      <c r="R12" s="342">
        <f>SUM(R8+R11)</f>
        <v>67500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1644</v>
      </c>
      <c r="B14" s="146">
        <f>SUM(C14+D14)</f>
        <v>10000</v>
      </c>
      <c r="C14" s="147">
        <v>10000</v>
      </c>
      <c r="D14" s="147"/>
      <c r="E14" s="147">
        <v>10000</v>
      </c>
      <c r="F14" s="147"/>
      <c r="G14" s="147"/>
      <c r="H14" s="147"/>
      <c r="I14" s="147"/>
      <c r="J14" s="147"/>
      <c r="K14" s="147"/>
      <c r="L14" s="147"/>
      <c r="M14" s="147"/>
      <c r="N14" s="147"/>
      <c r="O14" s="147"/>
      <c r="P14" s="147"/>
      <c r="Q14" s="147"/>
      <c r="R14" s="516">
        <f>SUM(E14:Q14)</f>
        <v>10000</v>
      </c>
      <c r="S14" s="147"/>
      <c r="T14" s="147"/>
      <c r="U14" s="143"/>
    </row>
    <row r="15" spans="1:21" s="144" customFormat="1" ht="13">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187985</v>
      </c>
      <c r="C27" s="147">
        <v>187985</v>
      </c>
      <c r="D27" s="147"/>
      <c r="E27" s="147">
        <v>187985</v>
      </c>
      <c r="F27" s="147"/>
      <c r="G27" s="147"/>
      <c r="H27" s="147"/>
      <c r="I27" s="147"/>
      <c r="J27" s="147"/>
      <c r="K27" s="147"/>
      <c r="L27" s="147"/>
      <c r="M27" s="147"/>
      <c r="N27" s="147"/>
      <c r="O27" s="147"/>
      <c r="P27" s="147"/>
      <c r="Q27" s="147"/>
      <c r="R27" s="516">
        <f t="shared" si="4"/>
        <v>187985</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599</v>
      </c>
      <c r="B29" s="146">
        <f t="shared" ref="B29:B38" si="6">SUM(C29+D29)</f>
        <v>0</v>
      </c>
      <c r="C29" s="147">
        <v>0</v>
      </c>
      <c r="D29" s="147"/>
      <c r="E29" s="147"/>
      <c r="F29" s="147"/>
      <c r="G29" s="147"/>
      <c r="H29" s="147"/>
      <c r="I29" s="147"/>
      <c r="J29" s="147"/>
      <c r="K29" s="147"/>
      <c r="L29" s="147"/>
      <c r="M29" s="147"/>
      <c r="N29" s="147"/>
      <c r="O29" s="147"/>
      <c r="P29" s="147"/>
      <c r="Q29" s="147"/>
      <c r="R29" s="516">
        <f t="shared" ref="R29:R37" si="7">SUM(E29:Q29)</f>
        <v>0</v>
      </c>
      <c r="S29" s="147">
        <v>0</v>
      </c>
      <c r="T29" s="147"/>
      <c r="U29" s="143"/>
    </row>
    <row r="30" spans="1:21" s="144" customFormat="1" ht="13">
      <c r="A30" s="145" t="s">
        <v>600</v>
      </c>
      <c r="B30" s="146">
        <f t="shared" si="6"/>
        <v>25849011</v>
      </c>
      <c r="C30" s="147">
        <v>24667011</v>
      </c>
      <c r="D30" s="147">
        <v>1182000</v>
      </c>
      <c r="E30" s="147">
        <f>1894405+500000</f>
        <v>2394405</v>
      </c>
      <c r="F30" s="147">
        <v>12456000</v>
      </c>
      <c r="G30" s="147">
        <v>8400000</v>
      </c>
      <c r="H30" s="147">
        <f>3098606-500000</f>
        <v>2598606</v>
      </c>
      <c r="I30" s="147"/>
      <c r="J30" s="147"/>
      <c r="K30" s="147"/>
      <c r="L30" s="147"/>
      <c r="M30" s="147"/>
      <c r="N30" s="147"/>
      <c r="O30" s="147"/>
      <c r="P30" s="147"/>
      <c r="Q30" s="147"/>
      <c r="R30" s="516">
        <f t="shared" si="7"/>
        <v>25849011</v>
      </c>
      <c r="S30" s="147">
        <v>24467011</v>
      </c>
      <c r="T30" s="147"/>
      <c r="U30" s="143"/>
    </row>
    <row r="31" spans="1:21" s="144" customFormat="1" ht="13">
      <c r="A31" s="145" t="s">
        <v>601</v>
      </c>
      <c r="B31" s="146">
        <f t="shared" si="6"/>
        <v>1250000</v>
      </c>
      <c r="C31" s="147">
        <v>1250000</v>
      </c>
      <c r="D31" s="147"/>
      <c r="E31" s="147">
        <v>1250000</v>
      </c>
      <c r="F31" s="147"/>
      <c r="G31" s="147"/>
      <c r="H31" s="147"/>
      <c r="I31" s="147"/>
      <c r="J31" s="147"/>
      <c r="K31" s="147"/>
      <c r="L31" s="147"/>
      <c r="M31" s="147"/>
      <c r="N31" s="147"/>
      <c r="O31" s="147"/>
      <c r="P31" s="147"/>
      <c r="Q31" s="147"/>
      <c r="R31" s="516">
        <f t="shared" si="7"/>
        <v>1250000</v>
      </c>
      <c r="S31" s="147">
        <v>1250000</v>
      </c>
      <c r="T31" s="147"/>
      <c r="U31" s="143"/>
    </row>
    <row r="32" spans="1:21" s="144" customFormat="1" ht="13">
      <c r="A32" s="145" t="s">
        <v>137</v>
      </c>
      <c r="B32" s="146">
        <f t="shared" si="6"/>
        <v>1250000</v>
      </c>
      <c r="C32" s="147">
        <v>1250000</v>
      </c>
      <c r="D32" s="147"/>
      <c r="E32" s="147">
        <v>1250000</v>
      </c>
      <c r="F32" s="147"/>
      <c r="G32" s="147"/>
      <c r="H32" s="147"/>
      <c r="I32" s="147"/>
      <c r="J32" s="147"/>
      <c r="K32" s="147"/>
      <c r="L32" s="147"/>
      <c r="M32" s="147"/>
      <c r="N32" s="147"/>
      <c r="O32" s="147"/>
      <c r="P32" s="147"/>
      <c r="Q32" s="147"/>
      <c r="R32" s="516">
        <f t="shared" si="7"/>
        <v>1250000</v>
      </c>
      <c r="S32" s="147">
        <v>1250000</v>
      </c>
      <c r="T32" s="147"/>
      <c r="U32" s="143"/>
    </row>
    <row r="33" spans="1:21" s="144" customFormat="1" ht="13">
      <c r="A33" s="145" t="s">
        <v>138</v>
      </c>
      <c r="B33" s="146">
        <f t="shared" si="6"/>
        <v>0</v>
      </c>
      <c r="C33" s="147">
        <v>0</v>
      </c>
      <c r="D33" s="147"/>
      <c r="E33" s="147">
        <v>0</v>
      </c>
      <c r="F33" s="147"/>
      <c r="G33" s="147"/>
      <c r="H33" s="147"/>
      <c r="I33" s="147"/>
      <c r="J33" s="147"/>
      <c r="K33" s="147"/>
      <c r="L33" s="147"/>
      <c r="M33" s="147"/>
      <c r="N33" s="147"/>
      <c r="O33" s="147"/>
      <c r="P33" s="147"/>
      <c r="Q33" s="147"/>
      <c r="R33" s="516">
        <f t="shared" si="7"/>
        <v>0</v>
      </c>
      <c r="S33" s="147">
        <v>0</v>
      </c>
      <c r="T33" s="147"/>
      <c r="U33" s="143"/>
    </row>
    <row r="34" spans="1:21" s="144" customFormat="1" ht="13">
      <c r="A34" s="145" t="s">
        <v>139</v>
      </c>
      <c r="B34" s="146">
        <f t="shared" si="6"/>
        <v>0</v>
      </c>
      <c r="C34" s="147">
        <v>0</v>
      </c>
      <c r="D34" s="147"/>
      <c r="E34" s="147">
        <v>0</v>
      </c>
      <c r="F34" s="147"/>
      <c r="G34" s="147"/>
      <c r="H34" s="147"/>
      <c r="I34" s="147"/>
      <c r="J34" s="147"/>
      <c r="K34" s="147"/>
      <c r="L34" s="147"/>
      <c r="M34" s="147"/>
      <c r="N34" s="147"/>
      <c r="O34" s="147"/>
      <c r="P34" s="147"/>
      <c r="Q34" s="147"/>
      <c r="R34" s="516">
        <f t="shared" si="7"/>
        <v>0</v>
      </c>
      <c r="S34" s="147">
        <v>0</v>
      </c>
      <c r="T34" s="147"/>
      <c r="U34" s="143"/>
    </row>
    <row r="35" spans="1:21" s="144" customFormat="1" ht="13">
      <c r="A35" s="145" t="s">
        <v>140</v>
      </c>
      <c r="B35" s="146">
        <f t="shared" si="6"/>
        <v>0</v>
      </c>
      <c r="C35" s="147">
        <v>0</v>
      </c>
      <c r="D35" s="147"/>
      <c r="E35" s="147">
        <v>0</v>
      </c>
      <c r="F35" s="147"/>
      <c r="G35" s="147"/>
      <c r="H35" s="147"/>
      <c r="I35" s="147"/>
      <c r="J35" s="147"/>
      <c r="K35" s="147"/>
      <c r="L35" s="147"/>
      <c r="M35" s="147"/>
      <c r="N35" s="147"/>
      <c r="O35" s="147"/>
      <c r="P35" s="147"/>
      <c r="Q35" s="147"/>
      <c r="R35" s="516">
        <f t="shared" si="7"/>
        <v>0</v>
      </c>
      <c r="S35" s="147">
        <v>0</v>
      </c>
      <c r="T35" s="147"/>
      <c r="U35" s="143"/>
    </row>
    <row r="36" spans="1:21" s="144" customFormat="1" ht="13">
      <c r="A36" s="283" t="s">
        <v>1641</v>
      </c>
      <c r="B36" s="146">
        <f t="shared" si="6"/>
        <v>192500</v>
      </c>
      <c r="C36" s="147">
        <v>192500</v>
      </c>
      <c r="D36" s="147"/>
      <c r="E36" s="147">
        <v>192500</v>
      </c>
      <c r="F36" s="147"/>
      <c r="G36" s="147"/>
      <c r="H36" s="147"/>
      <c r="I36" s="147"/>
      <c r="J36" s="147"/>
      <c r="K36" s="147"/>
      <c r="L36" s="147"/>
      <c r="M36" s="147"/>
      <c r="N36" s="147"/>
      <c r="O36" s="147"/>
      <c r="P36" s="147"/>
      <c r="Q36" s="147"/>
      <c r="R36" s="516">
        <f t="shared" si="7"/>
        <v>192500</v>
      </c>
      <c r="S36" s="147">
        <v>192500</v>
      </c>
      <c r="T36" s="147"/>
      <c r="U36" s="143"/>
    </row>
    <row r="37" spans="1:21" s="144" customFormat="1" ht="13">
      <c r="A37" s="1149" t="s">
        <v>34</v>
      </c>
      <c r="B37" s="146">
        <f t="shared" si="6"/>
        <v>0</v>
      </c>
      <c r="C37" s="147">
        <v>0</v>
      </c>
      <c r="D37" s="147"/>
      <c r="E37" s="147">
        <v>0</v>
      </c>
      <c r="F37" s="147"/>
      <c r="G37" s="147"/>
      <c r="H37" s="147"/>
      <c r="I37" s="147"/>
      <c r="J37" s="147"/>
      <c r="K37" s="147"/>
      <c r="L37" s="147"/>
      <c r="M37" s="147"/>
      <c r="N37" s="147"/>
      <c r="O37" s="147"/>
      <c r="P37" s="147"/>
      <c r="Q37" s="147"/>
      <c r="R37" s="516">
        <f t="shared" si="7"/>
        <v>0</v>
      </c>
      <c r="S37" s="147">
        <v>0</v>
      </c>
      <c r="T37" s="147"/>
      <c r="U37" s="143"/>
    </row>
    <row r="38" spans="1:21" s="144" customFormat="1" ht="13">
      <c r="A38" s="149" t="s">
        <v>143</v>
      </c>
      <c r="B38" s="146">
        <f t="shared" si="6"/>
        <v>28541511</v>
      </c>
      <c r="C38" s="146">
        <f>SUM(C29:C37)</f>
        <v>27359511</v>
      </c>
      <c r="D38" s="146">
        <f t="shared" ref="D38:Q38" si="8">SUM(D29:D37)</f>
        <v>1182000</v>
      </c>
      <c r="E38" s="146">
        <f t="shared" si="8"/>
        <v>5086905</v>
      </c>
      <c r="F38" s="146">
        <f t="shared" si="8"/>
        <v>12456000</v>
      </c>
      <c r="G38" s="146">
        <f t="shared" si="8"/>
        <v>8400000</v>
      </c>
      <c r="H38" s="146">
        <f t="shared" si="8"/>
        <v>2598606</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28541511</v>
      </c>
      <c r="S38" s="150">
        <f>SUM(S29:S37)</f>
        <v>27159511</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1657539</v>
      </c>
      <c r="C40" s="147">
        <v>1657539</v>
      </c>
      <c r="D40" s="147"/>
      <c r="E40" s="147">
        <v>1657539</v>
      </c>
      <c r="F40" s="147"/>
      <c r="G40" s="147"/>
      <c r="H40" s="147"/>
      <c r="I40" s="147"/>
      <c r="J40" s="147"/>
      <c r="K40" s="147"/>
      <c r="L40" s="147"/>
      <c r="M40" s="147"/>
      <c r="N40" s="147"/>
      <c r="O40" s="147"/>
      <c r="P40" s="147"/>
      <c r="Q40" s="147"/>
      <c r="R40" s="516">
        <f>SUM(E40:Q40)</f>
        <v>1657539</v>
      </c>
      <c r="S40" s="147">
        <v>1657539</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16">
        <f>SUM(E41:Q41)</f>
        <v>0</v>
      </c>
      <c r="S41" s="147">
        <v>0</v>
      </c>
      <c r="T41" s="147"/>
      <c r="U41" s="143"/>
    </row>
    <row r="42" spans="1:21" s="144" customFormat="1" ht="13">
      <c r="A42" s="149" t="s">
        <v>147</v>
      </c>
      <c r="B42" s="146">
        <f>SUM(C42:D42)</f>
        <v>1657539</v>
      </c>
      <c r="C42" s="146">
        <f>SUM(C39:C41)</f>
        <v>1657539</v>
      </c>
      <c r="D42" s="146">
        <f>SUM(D39:D41)</f>
        <v>0</v>
      </c>
      <c r="E42" s="146">
        <f t="shared" ref="E42:T42" si="9">SUM(E40:E41)</f>
        <v>1657539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1657539</v>
      </c>
      <c r="S42" s="150">
        <f t="shared" si="9"/>
        <v>1657539</v>
      </c>
      <c r="T42" s="150">
        <f t="shared" si="9"/>
        <v>0</v>
      </c>
      <c r="U42" s="143"/>
    </row>
    <row r="43" spans="1:21" s="144" customFormat="1" ht="13">
      <c r="A43" s="149" t="s">
        <v>148</v>
      </c>
      <c r="B43" s="146">
        <f>SUM(C43:D43)</f>
        <v>149835</v>
      </c>
      <c r="C43" s="147">
        <v>149835</v>
      </c>
      <c r="D43" s="147"/>
      <c r="E43" s="147">
        <v>149835</v>
      </c>
      <c r="F43" s="147"/>
      <c r="G43" s="147"/>
      <c r="H43" s="147"/>
      <c r="I43" s="147"/>
      <c r="J43" s="147"/>
      <c r="K43" s="147"/>
      <c r="L43" s="147"/>
      <c r="M43" s="147"/>
      <c r="N43" s="147"/>
      <c r="O43" s="147"/>
      <c r="P43" s="147"/>
      <c r="Q43" s="147"/>
      <c r="R43" s="516">
        <f>SUM(E43:Q43)</f>
        <v>149835</v>
      </c>
      <c r="S43" s="147">
        <v>149835</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0">SUM(C45+D45)</f>
        <v>2382000</v>
      </c>
      <c r="C45" s="147">
        <v>2382000</v>
      </c>
      <c r="D45" s="147"/>
      <c r="E45" s="147">
        <f>C45-SUM(F45:Q45)</f>
        <v>1555000</v>
      </c>
      <c r="F45" s="147"/>
      <c r="G45" s="147"/>
      <c r="H45" s="147"/>
      <c r="I45" s="147">
        <v>827000</v>
      </c>
      <c r="J45" s="147"/>
      <c r="K45" s="147"/>
      <c r="L45" s="147"/>
      <c r="M45" s="147"/>
      <c r="N45" s="147"/>
      <c r="O45" s="147"/>
      <c r="P45" s="147"/>
      <c r="Q45" s="147"/>
      <c r="R45" s="516">
        <f t="shared" ref="R45:R53" si="11">SUM(E45:Q45)</f>
        <v>2382000</v>
      </c>
      <c r="S45" s="147">
        <v>1107000</v>
      </c>
      <c r="T45" s="147"/>
      <c r="U45" s="143"/>
    </row>
    <row r="46" spans="1:21" s="144" customFormat="1" ht="13">
      <c r="A46" s="145" t="s">
        <v>151</v>
      </c>
      <c r="B46" s="146">
        <f t="shared" si="10"/>
        <v>194560</v>
      </c>
      <c r="C46" s="147">
        <v>194560</v>
      </c>
      <c r="D46" s="147"/>
      <c r="E46" s="147">
        <f t="shared" ref="E46:E53" si="12">C46-SUM(F46:Q46)</f>
        <v>194560</v>
      </c>
      <c r="F46" s="147"/>
      <c r="G46" s="147"/>
      <c r="H46" s="147"/>
      <c r="I46" s="147"/>
      <c r="J46" s="147"/>
      <c r="K46" s="147"/>
      <c r="L46" s="147"/>
      <c r="M46" s="147"/>
      <c r="N46" s="147"/>
      <c r="O46" s="147"/>
      <c r="P46" s="147"/>
      <c r="Q46" s="147"/>
      <c r="R46" s="516">
        <f t="shared" si="11"/>
        <v>194560</v>
      </c>
      <c r="S46" s="147">
        <v>194560</v>
      </c>
      <c r="T46" s="147"/>
      <c r="U46" s="143"/>
    </row>
    <row r="47" spans="1:21" s="144" customFormat="1">
      <c r="A47" s="186" t="s">
        <v>152</v>
      </c>
      <c r="B47" s="146">
        <f t="shared" si="10"/>
        <v>0</v>
      </c>
      <c r="C47" s="147">
        <v>0</v>
      </c>
      <c r="D47" s="147"/>
      <c r="E47" s="147">
        <f t="shared" si="12"/>
        <v>0</v>
      </c>
      <c r="F47" s="147"/>
      <c r="G47" s="147"/>
      <c r="H47" s="147"/>
      <c r="I47" s="147"/>
      <c r="J47" s="147"/>
      <c r="K47" s="147"/>
      <c r="L47" s="147"/>
      <c r="M47" s="147"/>
      <c r="N47" s="147"/>
      <c r="O47" s="147"/>
      <c r="P47" s="147"/>
      <c r="Q47" s="147"/>
      <c r="R47" s="516">
        <f t="shared" si="11"/>
        <v>0</v>
      </c>
      <c r="S47" s="147">
        <v>0</v>
      </c>
      <c r="T47" s="147"/>
      <c r="U47" s="143"/>
    </row>
    <row r="48" spans="1:21" s="144" customFormat="1" ht="13">
      <c r="A48" s="145" t="s">
        <v>153</v>
      </c>
      <c r="B48" s="146">
        <f t="shared" si="10"/>
        <v>0</v>
      </c>
      <c r="C48" s="147">
        <v>0</v>
      </c>
      <c r="D48" s="147"/>
      <c r="E48" s="147">
        <f t="shared" si="12"/>
        <v>0</v>
      </c>
      <c r="F48" s="147"/>
      <c r="G48" s="147"/>
      <c r="H48" s="147"/>
      <c r="I48" s="147"/>
      <c r="J48" s="147"/>
      <c r="K48" s="147"/>
      <c r="L48" s="147"/>
      <c r="M48" s="147"/>
      <c r="N48" s="147"/>
      <c r="O48" s="147"/>
      <c r="P48" s="147"/>
      <c r="Q48" s="147"/>
      <c r="R48" s="516">
        <f t="shared" si="11"/>
        <v>0</v>
      </c>
      <c r="S48" s="147">
        <v>0</v>
      </c>
      <c r="T48" s="147"/>
      <c r="U48" s="143"/>
    </row>
    <row r="49" spans="1:21" s="144" customFormat="1" ht="13">
      <c r="A49" s="145" t="s">
        <v>57</v>
      </c>
      <c r="B49" s="146">
        <f t="shared" si="10"/>
        <v>161630</v>
      </c>
      <c r="C49" s="147">
        <v>161630</v>
      </c>
      <c r="D49" s="147"/>
      <c r="E49" s="147">
        <f t="shared" si="12"/>
        <v>161630</v>
      </c>
      <c r="F49" s="147"/>
      <c r="G49" s="147"/>
      <c r="H49" s="147"/>
      <c r="I49" s="147"/>
      <c r="J49" s="147"/>
      <c r="K49" s="147"/>
      <c r="L49" s="147"/>
      <c r="M49" s="147"/>
      <c r="N49" s="147"/>
      <c r="O49" s="147"/>
      <c r="P49" s="147"/>
      <c r="Q49" s="147"/>
      <c r="R49" s="516">
        <f t="shared" si="11"/>
        <v>161630</v>
      </c>
      <c r="S49" s="147">
        <v>105059.5</v>
      </c>
      <c r="T49" s="147"/>
      <c r="U49" s="143"/>
    </row>
    <row r="50" spans="1:21" s="144" customFormat="1" ht="13">
      <c r="A50" s="145" t="s">
        <v>156</v>
      </c>
      <c r="B50" s="146">
        <f t="shared" si="10"/>
        <v>0</v>
      </c>
      <c r="C50" s="147">
        <v>0</v>
      </c>
      <c r="D50" s="147"/>
      <c r="E50" s="147">
        <f t="shared" si="12"/>
        <v>0</v>
      </c>
      <c r="F50" s="147"/>
      <c r="G50" s="147"/>
      <c r="H50" s="147"/>
      <c r="I50" s="147"/>
      <c r="J50" s="147"/>
      <c r="K50" s="147"/>
      <c r="L50" s="147"/>
      <c r="M50" s="147"/>
      <c r="N50" s="147"/>
      <c r="O50" s="147"/>
      <c r="P50" s="147"/>
      <c r="Q50" s="147"/>
      <c r="R50" s="516">
        <f t="shared" si="11"/>
        <v>0</v>
      </c>
      <c r="S50" s="147">
        <v>0</v>
      </c>
      <c r="T50" s="147"/>
      <c r="U50" s="143"/>
    </row>
    <row r="51" spans="1:21" s="144" customFormat="1" ht="13">
      <c r="A51" s="283" t="s">
        <v>154</v>
      </c>
      <c r="B51" s="146">
        <f t="shared" si="10"/>
        <v>5000</v>
      </c>
      <c r="C51" s="147">
        <v>5000</v>
      </c>
      <c r="D51" s="147"/>
      <c r="E51" s="147">
        <f t="shared" si="12"/>
        <v>5000</v>
      </c>
      <c r="F51" s="147"/>
      <c r="G51" s="147"/>
      <c r="H51" s="147"/>
      <c r="I51" s="147"/>
      <c r="J51" s="147"/>
      <c r="K51" s="147"/>
      <c r="L51" s="147"/>
      <c r="M51" s="147"/>
      <c r="N51" s="147"/>
      <c r="O51" s="147"/>
      <c r="P51" s="147"/>
      <c r="Q51" s="147"/>
      <c r="R51" s="516">
        <f t="shared" si="11"/>
        <v>5000</v>
      </c>
      <c r="S51" s="147">
        <v>0</v>
      </c>
      <c r="T51" s="147"/>
      <c r="U51" s="143"/>
    </row>
    <row r="52" spans="1:21" s="144" customFormat="1" ht="13">
      <c r="A52" s="145" t="s">
        <v>155</v>
      </c>
      <c r="B52" s="146">
        <f t="shared" si="10"/>
        <v>784474</v>
      </c>
      <c r="C52" s="147">
        <v>784474</v>
      </c>
      <c r="D52" s="147"/>
      <c r="E52" s="147">
        <f t="shared" si="12"/>
        <v>784474</v>
      </c>
      <c r="F52" s="147"/>
      <c r="G52" s="147"/>
      <c r="H52" s="147"/>
      <c r="I52" s="147"/>
      <c r="J52" s="147"/>
      <c r="K52" s="147"/>
      <c r="L52" s="147"/>
      <c r="M52" s="147"/>
      <c r="N52" s="147"/>
      <c r="O52" s="147"/>
      <c r="P52" s="147"/>
      <c r="Q52" s="147"/>
      <c r="R52" s="516">
        <f t="shared" si="11"/>
        <v>784474</v>
      </c>
      <c r="S52" s="147">
        <v>784474</v>
      </c>
      <c r="T52" s="147"/>
      <c r="U52" s="143"/>
    </row>
    <row r="53" spans="1:21" s="144" customFormat="1" ht="13">
      <c r="A53" s="1149" t="s">
        <v>2721</v>
      </c>
      <c r="B53" s="146">
        <f t="shared" si="10"/>
        <v>77500</v>
      </c>
      <c r="C53" s="147">
        <v>77500</v>
      </c>
      <c r="D53" s="147"/>
      <c r="E53" s="147">
        <f t="shared" si="12"/>
        <v>77500</v>
      </c>
      <c r="F53" s="147"/>
      <c r="G53" s="147"/>
      <c r="H53" s="147"/>
      <c r="I53" s="147"/>
      <c r="J53" s="147"/>
      <c r="K53" s="147"/>
      <c r="L53" s="147"/>
      <c r="M53" s="147"/>
      <c r="N53" s="147"/>
      <c r="O53" s="147"/>
      <c r="P53" s="147"/>
      <c r="Q53" s="147"/>
      <c r="R53" s="516">
        <f t="shared" si="11"/>
        <v>77500</v>
      </c>
      <c r="S53" s="147">
        <v>77500</v>
      </c>
      <c r="T53" s="147"/>
      <c r="U53" s="143"/>
    </row>
    <row r="54" spans="1:21" s="153" customFormat="1" ht="13">
      <c r="A54" s="149" t="s">
        <v>157</v>
      </c>
      <c r="B54" s="150">
        <f>SUM(C54:D54)</f>
        <v>3605164</v>
      </c>
      <c r="C54" s="150">
        <f t="shared" ref="C54:T54" si="13">SUM(C45:C53)</f>
        <v>3605164</v>
      </c>
      <c r="D54" s="150">
        <f t="shared" si="13"/>
        <v>0</v>
      </c>
      <c r="E54" s="150">
        <f t="shared" si="13"/>
        <v>2778164</v>
      </c>
      <c r="F54" s="150">
        <f t="shared" si="13"/>
        <v>0</v>
      </c>
      <c r="G54" s="150">
        <f t="shared" si="13"/>
        <v>0</v>
      </c>
      <c r="H54" s="150">
        <f t="shared" si="13"/>
        <v>0</v>
      </c>
      <c r="I54" s="150">
        <f t="shared" si="13"/>
        <v>827000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3605164</v>
      </c>
      <c r="S54" s="150">
        <f t="shared" si="13"/>
        <v>2268593.5</v>
      </c>
      <c r="T54" s="150">
        <f t="shared" si="13"/>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4">SUM(C56+D56)</f>
        <v>10000</v>
      </c>
      <c r="C56" s="147">
        <v>10000</v>
      </c>
      <c r="D56" s="147"/>
      <c r="E56" s="147">
        <f t="shared" ref="E56:E61" si="15">C56-SUM(F56:Q56)</f>
        <v>10000</v>
      </c>
      <c r="F56" s="147"/>
      <c r="G56" s="147"/>
      <c r="H56" s="147"/>
      <c r="I56" s="147"/>
      <c r="J56" s="147"/>
      <c r="K56" s="147"/>
      <c r="L56" s="147"/>
      <c r="M56" s="147"/>
      <c r="N56" s="147"/>
      <c r="O56" s="147"/>
      <c r="P56" s="147"/>
      <c r="Q56" s="147"/>
      <c r="R56" s="516">
        <f t="shared" ref="R56:R61" si="16">SUM(E56:Q56)</f>
        <v>10000</v>
      </c>
      <c r="S56" s="148"/>
      <c r="T56" s="148"/>
      <c r="U56" s="143"/>
    </row>
    <row r="57" spans="1:21" s="192" customFormat="1">
      <c r="A57" s="186" t="s">
        <v>152</v>
      </c>
      <c r="B57" s="193">
        <f t="shared" si="14"/>
        <v>0</v>
      </c>
      <c r="C57" s="190">
        <v>0</v>
      </c>
      <c r="D57" s="190"/>
      <c r="E57" s="190">
        <f t="shared" si="15"/>
        <v>0</v>
      </c>
      <c r="F57" s="190"/>
      <c r="G57" s="190"/>
      <c r="H57" s="190"/>
      <c r="I57" s="190"/>
      <c r="J57" s="190"/>
      <c r="K57" s="190"/>
      <c r="L57" s="190"/>
      <c r="M57" s="190"/>
      <c r="N57" s="190"/>
      <c r="O57" s="190"/>
      <c r="P57" s="190"/>
      <c r="Q57" s="190"/>
      <c r="R57" s="516">
        <f t="shared" si="16"/>
        <v>0</v>
      </c>
      <c r="S57" s="194"/>
      <c r="T57" s="194"/>
      <c r="U57" s="191"/>
    </row>
    <row r="58" spans="1:21" s="144" customFormat="1" ht="13">
      <c r="A58" s="145" t="s">
        <v>156</v>
      </c>
      <c r="B58" s="146">
        <f t="shared" si="14"/>
        <v>58368</v>
      </c>
      <c r="C58" s="147">
        <v>58368</v>
      </c>
      <c r="D58" s="147"/>
      <c r="E58" s="147">
        <f t="shared" si="15"/>
        <v>58368</v>
      </c>
      <c r="F58" s="147"/>
      <c r="G58" s="147"/>
      <c r="H58" s="147"/>
      <c r="I58" s="147"/>
      <c r="J58" s="147"/>
      <c r="K58" s="147"/>
      <c r="L58" s="147"/>
      <c r="M58" s="147"/>
      <c r="N58" s="147"/>
      <c r="O58" s="147"/>
      <c r="P58" s="147"/>
      <c r="Q58" s="147"/>
      <c r="R58" s="516">
        <f t="shared" si="16"/>
        <v>58368</v>
      </c>
      <c r="S58" s="148"/>
      <c r="T58" s="148"/>
      <c r="U58" s="143"/>
    </row>
    <row r="59" spans="1:21" s="144" customFormat="1" ht="13">
      <c r="A59" s="283" t="s">
        <v>154</v>
      </c>
      <c r="B59" s="146">
        <f t="shared" si="14"/>
        <v>0</v>
      </c>
      <c r="C59" s="147">
        <v>0</v>
      </c>
      <c r="D59" s="147"/>
      <c r="E59" s="147">
        <f t="shared" si="15"/>
        <v>0</v>
      </c>
      <c r="F59" s="147"/>
      <c r="G59" s="147"/>
      <c r="H59" s="147"/>
      <c r="I59" s="147"/>
      <c r="J59" s="147"/>
      <c r="K59" s="147"/>
      <c r="L59" s="147"/>
      <c r="M59" s="147"/>
      <c r="N59" s="147"/>
      <c r="O59" s="147"/>
      <c r="P59" s="147"/>
      <c r="Q59" s="147"/>
      <c r="R59" s="516">
        <f t="shared" si="16"/>
        <v>0</v>
      </c>
      <c r="S59" s="148"/>
      <c r="T59" s="148"/>
      <c r="U59" s="143"/>
    </row>
    <row r="60" spans="1:21" s="144" customFormat="1" ht="13">
      <c r="A60" s="145" t="s">
        <v>155</v>
      </c>
      <c r="B60" s="146">
        <f t="shared" si="14"/>
        <v>0</v>
      </c>
      <c r="C60" s="147">
        <v>0</v>
      </c>
      <c r="D60" s="147"/>
      <c r="E60" s="147">
        <f t="shared" si="15"/>
        <v>0</v>
      </c>
      <c r="F60" s="147"/>
      <c r="G60" s="147"/>
      <c r="H60" s="147"/>
      <c r="I60" s="147"/>
      <c r="J60" s="147"/>
      <c r="K60" s="147"/>
      <c r="L60" s="147"/>
      <c r="M60" s="147"/>
      <c r="N60" s="147"/>
      <c r="O60" s="147"/>
      <c r="P60" s="147"/>
      <c r="Q60" s="147"/>
      <c r="R60" s="516">
        <f t="shared" si="16"/>
        <v>0</v>
      </c>
      <c r="S60" s="148"/>
      <c r="T60" s="148"/>
      <c r="U60" s="143"/>
    </row>
    <row r="61" spans="1:21" s="144" customFormat="1" ht="13">
      <c r="A61" s="1149" t="s">
        <v>2722</v>
      </c>
      <c r="B61" s="146">
        <f t="shared" si="14"/>
        <v>15000</v>
      </c>
      <c r="C61" s="147">
        <v>15000</v>
      </c>
      <c r="D61" s="147"/>
      <c r="E61" s="147">
        <f t="shared" si="15"/>
        <v>15000</v>
      </c>
      <c r="F61" s="147"/>
      <c r="G61" s="147"/>
      <c r="H61" s="147"/>
      <c r="I61" s="147"/>
      <c r="J61" s="147"/>
      <c r="K61" s="147"/>
      <c r="L61" s="147"/>
      <c r="M61" s="147"/>
      <c r="N61" s="147"/>
      <c r="O61" s="147"/>
      <c r="P61" s="147"/>
      <c r="Q61" s="147"/>
      <c r="R61" s="516">
        <f t="shared" si="16"/>
        <v>15000</v>
      </c>
      <c r="S61" s="148"/>
      <c r="T61" s="148"/>
      <c r="U61" s="143"/>
    </row>
    <row r="62" spans="1:21" s="144" customFormat="1" ht="14" customHeight="1">
      <c r="A62" s="149" t="s">
        <v>301</v>
      </c>
      <c r="B62" s="146">
        <f>SUM(C62:D62)</f>
        <v>83368</v>
      </c>
      <c r="C62" s="146">
        <f t="shared" ref="C62:R62" si="17">SUM(C56:C61)</f>
        <v>83368</v>
      </c>
      <c r="D62" s="146">
        <f t="shared" si="17"/>
        <v>0</v>
      </c>
      <c r="E62" s="146">
        <f t="shared" si="17"/>
        <v>83368</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83368</v>
      </c>
      <c r="S62" s="148"/>
      <c r="T62" s="148"/>
      <c r="U62" s="143"/>
    </row>
    <row r="63" spans="1:21" s="144" customFormat="1" ht="13">
      <c r="A63" s="154" t="s">
        <v>302</v>
      </c>
      <c r="B63" s="146">
        <f t="shared" ref="B63:R63" si="18">SUM(B8+B11+B13+B14+B15+B26+B27+B38+B42+B43+B54+B62)</f>
        <v>34302902</v>
      </c>
      <c r="C63" s="146">
        <f t="shared" si="18"/>
        <v>33120902</v>
      </c>
      <c r="D63" s="146">
        <f t="shared" si="18"/>
        <v>1182000</v>
      </c>
      <c r="E63" s="146">
        <f t="shared" si="18"/>
        <v>9953796</v>
      </c>
      <c r="F63" s="146">
        <f t="shared" si="18"/>
        <v>12456000</v>
      </c>
      <c r="G63" s="146">
        <f t="shared" si="18"/>
        <v>8400000</v>
      </c>
      <c r="H63" s="146">
        <f t="shared" si="18"/>
        <v>2598606</v>
      </c>
      <c r="I63" s="146">
        <f t="shared" si="18"/>
        <v>827000</v>
      </c>
      <c r="J63" s="146">
        <f t="shared" si="18"/>
        <v>0</v>
      </c>
      <c r="K63" s="146">
        <f t="shared" si="18"/>
        <v>67500</v>
      </c>
      <c r="L63" s="146">
        <f t="shared" si="18"/>
        <v>0</v>
      </c>
      <c r="M63" s="146">
        <f t="shared" si="18"/>
        <v>0</v>
      </c>
      <c r="N63" s="146">
        <f t="shared" si="18"/>
        <v>0</v>
      </c>
      <c r="O63" s="146">
        <f t="shared" si="18"/>
        <v>0</v>
      </c>
      <c r="P63" s="146">
        <f t="shared" si="18"/>
        <v>0</v>
      </c>
      <c r="Q63" s="146">
        <f t="shared" si="18"/>
        <v>0</v>
      </c>
      <c r="R63" s="342">
        <f t="shared" si="18"/>
        <v>34302902</v>
      </c>
      <c r="S63" s="146">
        <f>SUM(S10+S13+S14+S15+S26+S27+S38+S42+S43+S54)</f>
        <v>31235478.5</v>
      </c>
      <c r="T63" s="146">
        <f>SUM(T11+T13+T14+T15+T26+T27+T38+T42+T43+T54)</f>
        <v>0</v>
      </c>
      <c r="U63" s="143"/>
    </row>
    <row r="64" spans="1:21" s="144" customFormat="1" ht="26">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80000</v>
      </c>
      <c r="C65" s="147">
        <v>80000</v>
      </c>
      <c r="D65" s="147"/>
      <c r="E65" s="147">
        <v>80000</v>
      </c>
      <c r="F65" s="147"/>
      <c r="G65" s="147"/>
      <c r="H65" s="147"/>
      <c r="I65" s="147"/>
      <c r="J65" s="147"/>
      <c r="K65" s="147"/>
      <c r="L65" s="147"/>
      <c r="M65" s="147"/>
      <c r="N65" s="147"/>
      <c r="O65" s="147"/>
      <c r="P65" s="147"/>
      <c r="Q65" s="147"/>
      <c r="R65" s="516">
        <f>SUM(E65:Q65)</f>
        <v>80000</v>
      </c>
      <c r="S65" s="147">
        <v>80000</v>
      </c>
      <c r="T65" s="147"/>
      <c r="U65" s="143"/>
    </row>
    <row r="66" spans="1:21" s="144" customFormat="1" ht="24" customHeight="1">
      <c r="A66" s="283" t="s">
        <v>1642</v>
      </c>
      <c r="B66" s="146">
        <f>SUM(C66+D66)</f>
        <v>0</v>
      </c>
      <c r="C66" s="147">
        <v>0</v>
      </c>
      <c r="D66" s="147"/>
      <c r="E66" s="147">
        <v>0</v>
      </c>
      <c r="F66" s="147"/>
      <c r="G66" s="147"/>
      <c r="H66" s="147"/>
      <c r="I66" s="147"/>
      <c r="J66" s="147"/>
      <c r="K66" s="147"/>
      <c r="L66" s="147"/>
      <c r="M66" s="147"/>
      <c r="N66" s="147"/>
      <c r="O66" s="147"/>
      <c r="P66" s="147"/>
      <c r="Q66" s="147"/>
      <c r="R66" s="516">
        <f>SUM(E66:Q66)</f>
        <v>0</v>
      </c>
      <c r="S66" s="147">
        <v>0</v>
      </c>
      <c r="T66" s="147"/>
      <c r="U66" s="143"/>
    </row>
    <row r="67" spans="1:21" s="144" customFormat="1" ht="24" customHeight="1">
      <c r="A67" s="283" t="s">
        <v>1643</v>
      </c>
      <c r="B67" s="146">
        <f>SUM(C67+D67)</f>
        <v>0</v>
      </c>
      <c r="C67" s="147">
        <v>0</v>
      </c>
      <c r="D67" s="147"/>
      <c r="E67" s="147">
        <v>0</v>
      </c>
      <c r="F67" s="147"/>
      <c r="G67" s="147"/>
      <c r="H67" s="147"/>
      <c r="I67" s="147"/>
      <c r="J67" s="147"/>
      <c r="K67" s="147"/>
      <c r="L67" s="147"/>
      <c r="M67" s="147"/>
      <c r="N67" s="147"/>
      <c r="O67" s="147"/>
      <c r="P67" s="147"/>
      <c r="Q67" s="147"/>
      <c r="R67" s="516">
        <f>SUM(E67:Q67)</f>
        <v>0</v>
      </c>
      <c r="S67" s="147">
        <v>0</v>
      </c>
      <c r="T67" s="147"/>
      <c r="U67" s="143"/>
    </row>
    <row r="68" spans="1:21" s="144" customFormat="1" ht="12" customHeight="1">
      <c r="A68" s="283" t="s">
        <v>1649</v>
      </c>
      <c r="B68" s="146">
        <f>SUM(C68+D68)</f>
        <v>50000</v>
      </c>
      <c r="C68" s="147">
        <v>50000</v>
      </c>
      <c r="D68" s="147"/>
      <c r="E68" s="147">
        <v>50000</v>
      </c>
      <c r="F68" s="147"/>
      <c r="G68" s="147"/>
      <c r="H68" s="147"/>
      <c r="I68" s="147"/>
      <c r="J68" s="147"/>
      <c r="K68" s="147"/>
      <c r="L68" s="147"/>
      <c r="M68" s="147"/>
      <c r="N68" s="147"/>
      <c r="O68" s="147"/>
      <c r="P68" s="147"/>
      <c r="Q68" s="147"/>
      <c r="R68" s="516">
        <f>SUM(E68:Q68)</f>
        <v>50000</v>
      </c>
      <c r="S68" s="147">
        <v>50000</v>
      </c>
      <c r="T68" s="147"/>
      <c r="U68" s="143"/>
    </row>
    <row r="69" spans="1:21" s="144" customFormat="1" ht="13">
      <c r="A69" s="1149" t="s">
        <v>2723</v>
      </c>
      <c r="B69" s="146">
        <f>SUM(C69+D69)</f>
        <v>361602</v>
      </c>
      <c r="C69" s="147">
        <v>361602</v>
      </c>
      <c r="D69" s="147"/>
      <c r="E69" s="147">
        <v>361602</v>
      </c>
      <c r="F69" s="147"/>
      <c r="G69" s="147"/>
      <c r="H69" s="147"/>
      <c r="I69" s="147"/>
      <c r="J69" s="147"/>
      <c r="K69" s="147"/>
      <c r="L69" s="147"/>
      <c r="M69" s="147"/>
      <c r="N69" s="147"/>
      <c r="O69" s="147"/>
      <c r="P69" s="147"/>
      <c r="Q69" s="147"/>
      <c r="R69" s="516">
        <f>SUM(E69:Q69)</f>
        <v>361602</v>
      </c>
      <c r="S69" s="147">
        <v>100000</v>
      </c>
      <c r="T69" s="147"/>
      <c r="U69" s="143"/>
    </row>
    <row r="70" spans="1:21" s="144" customFormat="1" ht="13">
      <c r="A70" s="149" t="s">
        <v>1646</v>
      </c>
      <c r="B70" s="146">
        <f>SUM(C70:D70)</f>
        <v>491602</v>
      </c>
      <c r="C70" s="146">
        <f>SUM(C65:C69)</f>
        <v>491602</v>
      </c>
      <c r="D70" s="146">
        <f>SUM(D65:D69)</f>
        <v>0</v>
      </c>
      <c r="E70" s="146">
        <f t="shared" ref="E70:T70" si="19">SUM(E65:E69)</f>
        <v>491602</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491602</v>
      </c>
      <c r="S70" s="150">
        <f t="shared" si="19"/>
        <v>230000</v>
      </c>
      <c r="T70" s="150">
        <f t="shared" si="19"/>
        <v>0</v>
      </c>
      <c r="U70" s="143"/>
    </row>
    <row r="71" spans="1:21" s="144" customFormat="1" ht="13">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604</v>
      </c>
      <c r="B72" s="146">
        <f>SUM(C72+D72)</f>
        <v>0</v>
      </c>
      <c r="C72" s="147">
        <v>0</v>
      </c>
      <c r="D72" s="147"/>
      <c r="E72" s="147">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605</v>
      </c>
      <c r="B73" s="146">
        <f>SUM(C73+D73)</f>
        <v>0</v>
      </c>
      <c r="C73" s="147">
        <v>0</v>
      </c>
      <c r="D73" s="147"/>
      <c r="E73" s="14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v>0</v>
      </c>
      <c r="D74" s="147"/>
      <c r="E74" s="147">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606</v>
      </c>
      <c r="B75" s="146">
        <f>SUM(C75+D75)</f>
        <v>422671</v>
      </c>
      <c r="C75" s="147">
        <v>422671</v>
      </c>
      <c r="D75" s="147"/>
      <c r="E75" s="147">
        <v>422671</v>
      </c>
      <c r="F75" s="147"/>
      <c r="G75" s="147"/>
      <c r="H75" s="147"/>
      <c r="I75" s="147"/>
      <c r="J75" s="147"/>
      <c r="K75" s="147"/>
      <c r="L75" s="147"/>
      <c r="M75" s="147"/>
      <c r="N75" s="147"/>
      <c r="O75" s="147"/>
      <c r="P75" s="147"/>
      <c r="Q75" s="147"/>
      <c r="R75" s="516">
        <f>SUM(E75:Q75)</f>
        <v>422671</v>
      </c>
      <c r="S75" s="148"/>
      <c r="T75" s="148"/>
      <c r="U75" s="143"/>
    </row>
    <row r="76" spans="1:21" s="144" customFormat="1" ht="13">
      <c r="A76" s="1149" t="s">
        <v>34</v>
      </c>
      <c r="B76" s="146">
        <f>SUM(C76+D76)</f>
        <v>0</v>
      </c>
      <c r="C76" s="147">
        <v>0</v>
      </c>
      <c r="D76" s="147"/>
      <c r="E76" s="147">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607</v>
      </c>
      <c r="B77" s="146">
        <f>SUM(C77:D77)</f>
        <v>422671</v>
      </c>
      <c r="C77" s="146">
        <f>SUM(C72:C76)</f>
        <v>422671</v>
      </c>
      <c r="D77" s="146">
        <f>SUM(D72:D76)</f>
        <v>0</v>
      </c>
      <c r="E77" s="146">
        <f t="shared" ref="E77:Q77" si="20">SUM(E72:E76)</f>
        <v>422671</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422671</v>
      </c>
      <c r="S77" s="148"/>
      <c r="T77" s="148"/>
      <c r="U77" s="143"/>
    </row>
    <row r="78" spans="1:21" s="144" customFormat="1" ht="13">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1213</v>
      </c>
      <c r="B79" s="146">
        <f>SUM(C79:D79)</f>
        <v>1418451</v>
      </c>
      <c r="C79" s="147">
        <v>1418451</v>
      </c>
      <c r="D79" s="147"/>
      <c r="E79" s="147">
        <v>1418451</v>
      </c>
      <c r="F79" s="147"/>
      <c r="G79" s="147"/>
      <c r="H79" s="147"/>
      <c r="I79" s="147"/>
      <c r="J79" s="147"/>
      <c r="K79" s="147"/>
      <c r="L79" s="147"/>
      <c r="M79" s="147"/>
      <c r="N79" s="147"/>
      <c r="O79" s="147"/>
      <c r="P79" s="147"/>
      <c r="Q79" s="147"/>
      <c r="R79" s="516">
        <f>SUM(E79:Q79)</f>
        <v>1418451</v>
      </c>
      <c r="S79" s="147">
        <v>1418451</v>
      </c>
      <c r="T79" s="147"/>
      <c r="U79" s="143"/>
    </row>
    <row r="80" spans="1:21" s="144" customFormat="1" ht="13">
      <c r="A80" s="283" t="s">
        <v>58</v>
      </c>
      <c r="B80" s="146">
        <f>SUM(C80:D80)</f>
        <v>650590</v>
      </c>
      <c r="C80" s="147">
        <v>650590</v>
      </c>
      <c r="D80" s="147"/>
      <c r="E80" s="147">
        <v>650590</v>
      </c>
      <c r="F80" s="147"/>
      <c r="G80" s="147"/>
      <c r="H80" s="147"/>
      <c r="I80" s="147"/>
      <c r="J80" s="147"/>
      <c r="K80" s="147"/>
      <c r="L80" s="147"/>
      <c r="M80" s="147"/>
      <c r="N80" s="147"/>
      <c r="O80" s="147"/>
      <c r="P80" s="147"/>
      <c r="Q80" s="147"/>
      <c r="R80" s="516">
        <f>SUM(E80:Q80)</f>
        <v>650590</v>
      </c>
      <c r="S80" s="147">
        <v>575590</v>
      </c>
      <c r="T80" s="147"/>
      <c r="U80" s="143"/>
    </row>
    <row r="81" spans="1:21" s="144" customFormat="1" ht="13">
      <c r="A81" s="149" t="s">
        <v>1210</v>
      </c>
      <c r="B81" s="146">
        <f>SUM(C81:D81)</f>
        <v>2069041</v>
      </c>
      <c r="C81" s="509">
        <f>SUM(C79:C80)</f>
        <v>2069041</v>
      </c>
      <c r="D81" s="509">
        <f t="shared" ref="D81:T81" si="21">SUM(D79:D80)</f>
        <v>0</v>
      </c>
      <c r="E81" s="509">
        <f t="shared" si="21"/>
        <v>2069041</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2069041</v>
      </c>
      <c r="S81" s="509">
        <f t="shared" si="21"/>
        <v>1994041</v>
      </c>
      <c r="T81" s="509">
        <f t="shared" si="21"/>
        <v>0</v>
      </c>
      <c r="U81" s="143"/>
    </row>
    <row r="82" spans="1:21" s="144" customFormat="1" ht="13">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4" customHeight="1">
      <c r="A83" s="145" t="s">
        <v>2095</v>
      </c>
      <c r="B83" s="146">
        <f t="shared" ref="B83:B95" si="22">SUM(C83+D83)</f>
        <v>76905</v>
      </c>
      <c r="C83" s="147">
        <v>76905</v>
      </c>
      <c r="D83" s="147"/>
      <c r="E83" s="147">
        <v>76905</v>
      </c>
      <c r="F83" s="147"/>
      <c r="G83" s="147"/>
      <c r="H83" s="147"/>
      <c r="I83" s="147"/>
      <c r="J83" s="147"/>
      <c r="K83" s="147"/>
      <c r="L83" s="147"/>
      <c r="M83" s="147"/>
      <c r="N83" s="147"/>
      <c r="O83" s="147"/>
      <c r="P83" s="147"/>
      <c r="Q83" s="147"/>
      <c r="R83" s="516">
        <f t="shared" ref="R83:R95" si="23">SUM(E83:Q83)</f>
        <v>76905</v>
      </c>
      <c r="S83" s="148"/>
      <c r="T83" s="148"/>
      <c r="U83" s="143"/>
    </row>
    <row r="84" spans="1:21" s="144" customFormat="1" ht="13">
      <c r="A84" s="145" t="s">
        <v>768</v>
      </c>
      <c r="B84" s="146">
        <f t="shared" si="22"/>
        <v>112642</v>
      </c>
      <c r="C84" s="147">
        <v>112642</v>
      </c>
      <c r="D84" s="147"/>
      <c r="E84" s="147">
        <v>112642</v>
      </c>
      <c r="F84" s="147"/>
      <c r="G84" s="147"/>
      <c r="H84" s="147"/>
      <c r="I84" s="147"/>
      <c r="J84" s="147"/>
      <c r="K84" s="147"/>
      <c r="L84" s="147"/>
      <c r="M84" s="147"/>
      <c r="N84" s="147"/>
      <c r="O84" s="147"/>
      <c r="P84" s="147"/>
      <c r="Q84" s="147"/>
      <c r="R84" s="516">
        <f t="shared" si="23"/>
        <v>112642</v>
      </c>
      <c r="S84" s="147">
        <v>112642</v>
      </c>
      <c r="T84" s="147"/>
      <c r="U84" s="143"/>
    </row>
    <row r="85" spans="1:21" s="144" customFormat="1" ht="13">
      <c r="A85" s="145" t="s">
        <v>769</v>
      </c>
      <c r="B85" s="146">
        <f t="shared" si="22"/>
        <v>1832385</v>
      </c>
      <c r="C85" s="147">
        <v>1832385</v>
      </c>
      <c r="D85" s="147"/>
      <c r="E85" s="147">
        <v>1832385</v>
      </c>
      <c r="F85" s="147"/>
      <c r="G85" s="147"/>
      <c r="H85" s="147"/>
      <c r="I85" s="147"/>
      <c r="J85" s="147"/>
      <c r="K85" s="147"/>
      <c r="L85" s="147"/>
      <c r="M85" s="147"/>
      <c r="N85" s="147"/>
      <c r="O85" s="147"/>
      <c r="P85" s="147"/>
      <c r="Q85" s="147"/>
      <c r="R85" s="516">
        <f t="shared" si="23"/>
        <v>1832385</v>
      </c>
      <c r="S85" s="147">
        <v>1832385</v>
      </c>
      <c r="T85" s="147"/>
      <c r="U85" s="143"/>
    </row>
    <row r="86" spans="1:21" s="144" customFormat="1" ht="13">
      <c r="A86" s="145" t="s">
        <v>770</v>
      </c>
      <c r="B86" s="146">
        <f t="shared" si="22"/>
        <v>283928</v>
      </c>
      <c r="C86" s="147">
        <v>283928</v>
      </c>
      <c r="D86" s="147"/>
      <c r="E86" s="147">
        <v>283928</v>
      </c>
      <c r="F86" s="147"/>
      <c r="G86" s="147"/>
      <c r="H86" s="147"/>
      <c r="I86" s="147"/>
      <c r="J86" s="147"/>
      <c r="K86" s="147"/>
      <c r="L86" s="147"/>
      <c r="M86" s="147"/>
      <c r="N86" s="147"/>
      <c r="O86" s="147"/>
      <c r="P86" s="147"/>
      <c r="Q86" s="147"/>
      <c r="R86" s="516">
        <f t="shared" si="23"/>
        <v>283928</v>
      </c>
      <c r="S86" s="147">
        <v>283928</v>
      </c>
      <c r="T86" s="147"/>
      <c r="U86" s="143"/>
    </row>
    <row r="87" spans="1:21" s="144" customFormat="1" ht="13">
      <c r="A87" s="145" t="s">
        <v>771</v>
      </c>
      <c r="B87" s="146">
        <f t="shared" si="22"/>
        <v>0</v>
      </c>
      <c r="C87" s="147">
        <v>0</v>
      </c>
      <c r="D87" s="147"/>
      <c r="E87" s="147">
        <v>0</v>
      </c>
      <c r="F87" s="147"/>
      <c r="G87" s="147"/>
      <c r="H87" s="147"/>
      <c r="I87" s="147"/>
      <c r="J87" s="147"/>
      <c r="K87" s="147"/>
      <c r="L87" s="147"/>
      <c r="M87" s="147"/>
      <c r="N87" s="147"/>
      <c r="O87" s="147"/>
      <c r="P87" s="147"/>
      <c r="Q87" s="147"/>
      <c r="R87" s="516">
        <f t="shared" si="23"/>
        <v>0</v>
      </c>
      <c r="S87" s="147">
        <v>0</v>
      </c>
      <c r="T87" s="147"/>
      <c r="U87" s="143"/>
    </row>
    <row r="88" spans="1:21" s="144" customFormat="1" ht="13">
      <c r="A88" s="145" t="s">
        <v>772</v>
      </c>
      <c r="B88" s="146">
        <f t="shared" si="22"/>
        <v>125000</v>
      </c>
      <c r="C88" s="147">
        <v>125000</v>
      </c>
      <c r="D88" s="147"/>
      <c r="E88" s="147">
        <v>125000</v>
      </c>
      <c r="F88" s="147"/>
      <c r="G88" s="147"/>
      <c r="H88" s="147"/>
      <c r="I88" s="147"/>
      <c r="J88" s="147"/>
      <c r="K88" s="147"/>
      <c r="L88" s="147"/>
      <c r="M88" s="147"/>
      <c r="N88" s="147"/>
      <c r="O88" s="147"/>
      <c r="P88" s="147"/>
      <c r="Q88" s="147"/>
      <c r="R88" s="516">
        <f t="shared" si="23"/>
        <v>125000</v>
      </c>
      <c r="S88" s="148"/>
      <c r="T88" s="148"/>
      <c r="U88" s="143"/>
    </row>
    <row r="89" spans="1:21" s="144" customFormat="1" ht="13">
      <c r="A89" s="145" t="s">
        <v>773</v>
      </c>
      <c r="B89" s="146">
        <f t="shared" si="22"/>
        <v>150000</v>
      </c>
      <c r="C89" s="147">
        <v>150000</v>
      </c>
      <c r="D89" s="147"/>
      <c r="E89" s="147">
        <v>150000</v>
      </c>
      <c r="F89" s="147"/>
      <c r="G89" s="147"/>
      <c r="H89" s="147"/>
      <c r="I89" s="147"/>
      <c r="J89" s="147"/>
      <c r="K89" s="147"/>
      <c r="L89" s="147"/>
      <c r="M89" s="147"/>
      <c r="N89" s="147"/>
      <c r="O89" s="147"/>
      <c r="P89" s="147"/>
      <c r="Q89" s="147"/>
      <c r="R89" s="516">
        <f t="shared" si="23"/>
        <v>150000</v>
      </c>
      <c r="S89" s="147">
        <v>150000</v>
      </c>
      <c r="T89" s="147"/>
      <c r="U89" s="143"/>
    </row>
    <row r="90" spans="1:21" s="144" customFormat="1" ht="13">
      <c r="A90" s="145" t="s">
        <v>774</v>
      </c>
      <c r="B90" s="146">
        <f t="shared" si="22"/>
        <v>8500</v>
      </c>
      <c r="C90" s="147">
        <v>8500</v>
      </c>
      <c r="D90" s="147"/>
      <c r="E90" s="147">
        <v>8500</v>
      </c>
      <c r="F90" s="147"/>
      <c r="G90" s="147"/>
      <c r="H90" s="147"/>
      <c r="I90" s="147"/>
      <c r="J90" s="147"/>
      <c r="K90" s="147"/>
      <c r="L90" s="147"/>
      <c r="M90" s="147"/>
      <c r="N90" s="147"/>
      <c r="O90" s="147"/>
      <c r="P90" s="147"/>
      <c r="Q90" s="147"/>
      <c r="R90" s="516">
        <f t="shared" si="23"/>
        <v>8500</v>
      </c>
      <c r="S90" s="147">
        <v>8500</v>
      </c>
      <c r="T90" s="147"/>
      <c r="U90" s="143"/>
    </row>
    <row r="91" spans="1:21" s="144" customFormat="1" ht="13">
      <c r="A91" s="145" t="s">
        <v>372</v>
      </c>
      <c r="B91" s="146">
        <f t="shared" si="22"/>
        <v>35000</v>
      </c>
      <c r="C91" s="147">
        <v>35000</v>
      </c>
      <c r="D91" s="147"/>
      <c r="E91" s="147">
        <v>35000</v>
      </c>
      <c r="F91" s="147"/>
      <c r="G91" s="147"/>
      <c r="H91" s="147"/>
      <c r="I91" s="147"/>
      <c r="J91" s="147"/>
      <c r="K91" s="147"/>
      <c r="L91" s="147"/>
      <c r="M91" s="147"/>
      <c r="N91" s="147"/>
      <c r="O91" s="147"/>
      <c r="P91" s="147"/>
      <c r="Q91" s="147"/>
      <c r="R91" s="516">
        <f t="shared" si="23"/>
        <v>35000</v>
      </c>
      <c r="S91" s="147">
        <v>5000</v>
      </c>
      <c r="T91" s="147"/>
      <c r="U91" s="143"/>
    </row>
    <row r="92" spans="1:21" s="144" customFormat="1" ht="13">
      <c r="A92" s="283" t="s">
        <v>1212</v>
      </c>
      <c r="B92" s="146">
        <f t="shared" si="22"/>
        <v>7500</v>
      </c>
      <c r="C92" s="147">
        <v>7500</v>
      </c>
      <c r="D92" s="147"/>
      <c r="E92" s="147">
        <v>7500</v>
      </c>
      <c r="F92" s="147"/>
      <c r="G92" s="147"/>
      <c r="H92" s="147"/>
      <c r="I92" s="147"/>
      <c r="J92" s="147"/>
      <c r="K92" s="147"/>
      <c r="L92" s="147"/>
      <c r="M92" s="147"/>
      <c r="N92" s="147"/>
      <c r="O92" s="147"/>
      <c r="P92" s="147"/>
      <c r="Q92" s="147"/>
      <c r="R92" s="516">
        <f t="shared" si="23"/>
        <v>7500</v>
      </c>
      <c r="S92" s="147">
        <v>0</v>
      </c>
      <c r="T92" s="147"/>
      <c r="U92" s="143"/>
    </row>
    <row r="93" spans="1:21" s="144" customFormat="1" ht="13">
      <c r="A93" s="1149" t="s">
        <v>2724</v>
      </c>
      <c r="B93" s="146">
        <f t="shared" si="22"/>
        <v>400000</v>
      </c>
      <c r="C93" s="147">
        <v>400000</v>
      </c>
      <c r="D93" s="147"/>
      <c r="E93" s="147">
        <v>400000</v>
      </c>
      <c r="F93" s="147"/>
      <c r="G93" s="147"/>
      <c r="H93" s="147"/>
      <c r="I93" s="147"/>
      <c r="J93" s="147"/>
      <c r="K93" s="147"/>
      <c r="L93" s="147"/>
      <c r="M93" s="147"/>
      <c r="N93" s="147"/>
      <c r="O93" s="147"/>
      <c r="P93" s="147"/>
      <c r="Q93" s="147"/>
      <c r="R93" s="516">
        <f t="shared" si="23"/>
        <v>400000</v>
      </c>
      <c r="S93" s="147">
        <v>260000</v>
      </c>
      <c r="T93" s="147"/>
      <c r="U93" s="143"/>
    </row>
    <row r="94" spans="1:21" s="144" customFormat="1" ht="13">
      <c r="A94" s="1149" t="s">
        <v>2725</v>
      </c>
      <c r="B94" s="146">
        <f t="shared" si="22"/>
        <v>5000</v>
      </c>
      <c r="C94" s="147">
        <v>5000</v>
      </c>
      <c r="D94" s="147"/>
      <c r="E94" s="147">
        <v>5000</v>
      </c>
      <c r="F94" s="147"/>
      <c r="G94" s="147"/>
      <c r="H94" s="147"/>
      <c r="I94" s="147"/>
      <c r="J94" s="147"/>
      <c r="K94" s="147"/>
      <c r="L94" s="147"/>
      <c r="M94" s="147"/>
      <c r="N94" s="147"/>
      <c r="O94" s="147"/>
      <c r="P94" s="147"/>
      <c r="Q94" s="147"/>
      <c r="R94" s="516">
        <f t="shared" si="23"/>
        <v>5000</v>
      </c>
      <c r="S94" s="147">
        <v>5000</v>
      </c>
      <c r="T94" s="147"/>
      <c r="U94" s="143"/>
    </row>
    <row r="95" spans="1:21" s="144" customFormat="1" ht="13">
      <c r="A95" s="1149" t="s">
        <v>2726</v>
      </c>
      <c r="B95" s="146">
        <f t="shared" si="22"/>
        <v>276000</v>
      </c>
      <c r="C95" s="147">
        <v>276000</v>
      </c>
      <c r="D95" s="147"/>
      <c r="E95" s="147">
        <v>276000</v>
      </c>
      <c r="F95" s="147"/>
      <c r="G95" s="147"/>
      <c r="H95" s="147"/>
      <c r="I95" s="147"/>
      <c r="J95" s="147"/>
      <c r="K95" s="147"/>
      <c r="L95" s="147"/>
      <c r="M95" s="147"/>
      <c r="N95" s="147"/>
      <c r="O95" s="147"/>
      <c r="P95" s="147"/>
      <c r="Q95" s="147"/>
      <c r="R95" s="516">
        <f t="shared" si="23"/>
        <v>276000</v>
      </c>
      <c r="S95" s="147">
        <v>0</v>
      </c>
      <c r="T95" s="147"/>
      <c r="U95" s="143"/>
    </row>
    <row r="96" spans="1:21" s="144" customFormat="1" ht="13">
      <c r="A96" s="149" t="s">
        <v>775</v>
      </c>
      <c r="B96" s="146">
        <f>SUM(C96:D96)</f>
        <v>3312860</v>
      </c>
      <c r="C96" s="146">
        <f t="shared" ref="C96:R96" si="24">SUM(C83:C95)</f>
        <v>3312860</v>
      </c>
      <c r="D96" s="146">
        <f t="shared" si="24"/>
        <v>0</v>
      </c>
      <c r="E96" s="146">
        <f t="shared" si="24"/>
        <v>3312860</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3312860</v>
      </c>
      <c r="S96" s="150">
        <f>SUM(S84:S87,S89:S95)</f>
        <v>2657455</v>
      </c>
      <c r="T96" s="146">
        <f>SUM(T84:T87,T89:T95)</f>
        <v>0</v>
      </c>
      <c r="U96" s="143"/>
    </row>
    <row r="97" spans="1:21" s="144" customFormat="1" ht="13">
      <c r="A97" s="149" t="s">
        <v>776</v>
      </c>
      <c r="B97" s="146">
        <f>SUM(C97:D97)</f>
        <v>40599076</v>
      </c>
      <c r="C97" s="146">
        <f t="shared" ref="C97:R97" si="25">SUM(C63+C70+C77+C81+C96)</f>
        <v>39417076</v>
      </c>
      <c r="D97" s="146">
        <f t="shared" si="25"/>
        <v>1182000</v>
      </c>
      <c r="E97" s="146">
        <f t="shared" si="25"/>
        <v>16249970</v>
      </c>
      <c r="F97" s="146">
        <f t="shared" si="25"/>
        <v>12456000</v>
      </c>
      <c r="G97" s="146">
        <f t="shared" si="25"/>
        <v>8400000</v>
      </c>
      <c r="H97" s="146">
        <f t="shared" si="25"/>
        <v>2598606</v>
      </c>
      <c r="I97" s="146">
        <f t="shared" si="25"/>
        <v>827000</v>
      </c>
      <c r="J97" s="146">
        <f t="shared" si="25"/>
        <v>0</v>
      </c>
      <c r="K97" s="146">
        <f t="shared" si="25"/>
        <v>67500</v>
      </c>
      <c r="L97" s="146">
        <f t="shared" si="25"/>
        <v>0</v>
      </c>
      <c r="M97" s="146">
        <f t="shared" si="25"/>
        <v>0</v>
      </c>
      <c r="N97" s="146">
        <f t="shared" si="25"/>
        <v>0</v>
      </c>
      <c r="O97" s="146">
        <f t="shared" si="25"/>
        <v>0</v>
      </c>
      <c r="P97" s="146">
        <f t="shared" si="25"/>
        <v>0</v>
      </c>
      <c r="Q97" s="146">
        <f t="shared" si="25"/>
        <v>0</v>
      </c>
      <c r="R97" s="146">
        <f t="shared" si="25"/>
        <v>40599076</v>
      </c>
      <c r="S97" s="146">
        <f>SUM(S63+S70+S81+S96)</f>
        <v>36116974.5</v>
      </c>
      <c r="T97" s="146">
        <f>SUM(T63+T70+T81+T96)</f>
        <v>0</v>
      </c>
      <c r="U97" s="143"/>
    </row>
    <row r="98" spans="1:21" s="144" customFormat="1" ht="13">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778</v>
      </c>
      <c r="B99" s="146">
        <f>SUM(C99+D99)</f>
        <v>5417546</v>
      </c>
      <c r="C99" s="979">
        <v>5417546</v>
      </c>
      <c r="D99" s="979"/>
      <c r="E99" s="979">
        <f>2104240-4705+1-500000</f>
        <v>1599536</v>
      </c>
      <c r="F99" s="147"/>
      <c r="G99" s="147"/>
      <c r="H99" s="147"/>
      <c r="I99" s="147"/>
      <c r="J99" s="147">
        <f>3313306+4705-1+500000</f>
        <v>3818010</v>
      </c>
      <c r="K99" s="147"/>
      <c r="L99" s="147"/>
      <c r="M99" s="147"/>
      <c r="N99" s="147"/>
      <c r="O99" s="147"/>
      <c r="P99" s="147"/>
      <c r="Q99" s="147"/>
      <c r="R99" s="516">
        <f>SUM(E99:Q99)</f>
        <v>5417546</v>
      </c>
      <c r="S99" s="147">
        <v>5417546</v>
      </c>
      <c r="T99" s="147"/>
      <c r="U99" s="143"/>
    </row>
    <row r="100" spans="1:21" s="144" customFormat="1" ht="13">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780</v>
      </c>
      <c r="B104" s="146">
        <f>SUM(C104:D104)</f>
        <v>5417546</v>
      </c>
      <c r="C104" s="146">
        <f>SUM(C99:C103)</f>
        <v>5417546</v>
      </c>
      <c r="D104" s="146">
        <f t="shared" ref="D104:T104" si="26">SUM(D99:D103)</f>
        <v>0</v>
      </c>
      <c r="E104" s="146">
        <f t="shared" si="26"/>
        <v>1599536</v>
      </c>
      <c r="F104" s="146">
        <f t="shared" si="26"/>
        <v>0</v>
      </c>
      <c r="G104" s="146">
        <f t="shared" si="26"/>
        <v>0</v>
      </c>
      <c r="H104" s="146">
        <f t="shared" si="26"/>
        <v>0</v>
      </c>
      <c r="I104" s="146">
        <f t="shared" si="26"/>
        <v>0</v>
      </c>
      <c r="J104" s="146">
        <f t="shared" si="26"/>
        <v>3818010</v>
      </c>
      <c r="K104" s="146">
        <f t="shared" si="26"/>
        <v>0</v>
      </c>
      <c r="L104" s="146">
        <f t="shared" si="26"/>
        <v>0</v>
      </c>
      <c r="M104" s="146">
        <f t="shared" si="26"/>
        <v>0</v>
      </c>
      <c r="N104" s="146">
        <f t="shared" si="26"/>
        <v>0</v>
      </c>
      <c r="O104" s="146">
        <f t="shared" si="26"/>
        <v>0</v>
      </c>
      <c r="P104" s="146">
        <f t="shared" si="26"/>
        <v>0</v>
      </c>
      <c r="Q104" s="146">
        <f t="shared" si="26"/>
        <v>0</v>
      </c>
      <c r="R104" s="342">
        <f t="shared" si="26"/>
        <v>5417546</v>
      </c>
      <c r="S104" s="150">
        <f t="shared" si="26"/>
        <v>5417546</v>
      </c>
      <c r="T104" s="150">
        <f t="shared" si="26"/>
        <v>0</v>
      </c>
      <c r="U104" s="143"/>
    </row>
    <row r="105" spans="1:21" s="144" customFormat="1" ht="13">
      <c r="A105" s="149" t="s">
        <v>781</v>
      </c>
      <c r="B105" s="150">
        <f>SUM(C105:D105)</f>
        <v>46016622</v>
      </c>
      <c r="C105" s="150">
        <f t="shared" ref="C105:R105" si="27">SUM(C97+C104)</f>
        <v>44834622</v>
      </c>
      <c r="D105" s="150">
        <f t="shared" si="27"/>
        <v>1182000</v>
      </c>
      <c r="E105" s="150">
        <f t="shared" si="27"/>
        <v>17849506</v>
      </c>
      <c r="F105" s="150">
        <f t="shared" si="27"/>
        <v>12456000</v>
      </c>
      <c r="G105" s="150">
        <f t="shared" si="27"/>
        <v>8400000</v>
      </c>
      <c r="H105" s="150">
        <f t="shared" si="27"/>
        <v>2598606</v>
      </c>
      <c r="I105" s="150">
        <f t="shared" si="27"/>
        <v>827000</v>
      </c>
      <c r="J105" s="150">
        <f t="shared" si="27"/>
        <v>3818010</v>
      </c>
      <c r="K105" s="150">
        <f t="shared" si="27"/>
        <v>67500</v>
      </c>
      <c r="L105" s="150">
        <f t="shared" si="27"/>
        <v>0</v>
      </c>
      <c r="M105" s="150">
        <f t="shared" si="27"/>
        <v>0</v>
      </c>
      <c r="N105" s="150">
        <f t="shared" si="27"/>
        <v>0</v>
      </c>
      <c r="O105" s="150">
        <f t="shared" si="27"/>
        <v>0</v>
      </c>
      <c r="P105" s="150">
        <f t="shared" si="27"/>
        <v>0</v>
      </c>
      <c r="Q105" s="150">
        <f t="shared" si="27"/>
        <v>0</v>
      </c>
      <c r="R105" s="342">
        <f t="shared" si="27"/>
        <v>46016622</v>
      </c>
      <c r="S105" s="150">
        <f>S97+S104</f>
        <v>41534520.5</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41534520.5</v>
      </c>
      <c r="T107" s="150">
        <f>T105+T106</f>
        <v>0</v>
      </c>
    </row>
    <row r="108" spans="1:21" s="189" customFormat="1">
      <c r="A108" s="162" t="s">
        <v>880</v>
      </c>
      <c r="B108" s="157"/>
      <c r="C108" s="157"/>
      <c r="D108" s="157"/>
      <c r="E108" s="301">
        <f>Application!AO640</f>
        <v>17849506</v>
      </c>
      <c r="F108" s="301">
        <f>Application!AO627</f>
        <v>12456000</v>
      </c>
      <c r="G108" s="301">
        <f>Application!AO628</f>
        <v>8400000</v>
      </c>
      <c r="H108" s="301">
        <f>Application!AO629</f>
        <v>2598606</v>
      </c>
      <c r="I108" s="301">
        <f>Application!AO630</f>
        <v>827000</v>
      </c>
      <c r="J108" s="301">
        <f>Application!AO631</f>
        <v>3818010</v>
      </c>
      <c r="K108" s="301">
        <f>Application!AO632</f>
        <v>67500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6">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ht="13">
      <c r="A123" s="324" t="s">
        <v>992</v>
      </c>
      <c r="B123" s="333"/>
      <c r="C123" s="324"/>
      <c r="D123" s="1860" t="s">
        <v>1225</v>
      </c>
      <c r="E123" s="1553"/>
      <c r="F123" s="1553"/>
      <c r="G123" s="1553"/>
      <c r="H123" s="1553"/>
      <c r="I123" s="1553"/>
      <c r="J123" s="1553"/>
      <c r="K123" s="1553"/>
      <c r="L123" s="1553"/>
      <c r="M123" s="1553"/>
      <c r="N123" s="1553"/>
      <c r="O123" s="1553"/>
      <c r="P123" s="1553"/>
      <c r="Q123" s="1553"/>
      <c r="R123" s="1553"/>
      <c r="S123" s="1553"/>
      <c r="T123" s="324"/>
      <c r="U123" s="326"/>
    </row>
    <row r="124" spans="1:21" ht="14">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4">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4">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4">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1000</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4">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7" workbookViewId="0">
      <selection activeCell="C75" sqref="C75:C76"/>
    </sheetView>
  </sheetViews>
  <sheetFormatPr baseColWidth="10" defaultColWidth="0" defaultRowHeight="12" zeroHeight="1"/>
  <cols>
    <col min="1" max="1" width="32.6640625" style="397" customWidth="1"/>
    <col min="2" max="3" width="12.33203125" style="393" customWidth="1"/>
    <col min="4" max="6" width="12.6640625" style="393" customWidth="1"/>
    <col min="7" max="9" width="12.33203125" style="393" customWidth="1"/>
    <col min="10" max="10" width="12.33203125" style="394" customWidth="1"/>
    <col min="11" max="11" width="8.6640625" style="395" hidden="1" customWidth="1"/>
    <col min="12" max="21" width="8.6640625" style="393" hidden="1" customWidth="1"/>
    <col min="22" max="23" width="0" style="393" hidden="1"/>
    <col min="24" max="256" width="8.6640625" style="393" hidden="1"/>
    <col min="257" max="257" width="32.6640625" style="393" hidden="1" customWidth="1"/>
    <col min="258" max="259" width="12.33203125" style="393" hidden="1" customWidth="1"/>
    <col min="260" max="260" width="12.6640625" style="393" hidden="1" customWidth="1"/>
    <col min="261" max="266" width="12.33203125" style="393" hidden="1" customWidth="1"/>
    <col min="267" max="277" width="8.6640625" style="393" hidden="1" customWidth="1"/>
    <col min="278" max="512" width="8.6640625" style="393" hidden="1"/>
    <col min="513" max="513" width="32.6640625" style="393" hidden="1" customWidth="1"/>
    <col min="514" max="515" width="12.33203125" style="393" hidden="1" customWidth="1"/>
    <col min="516" max="516" width="12.6640625" style="393" hidden="1" customWidth="1"/>
    <col min="517" max="522" width="12.33203125" style="393" hidden="1" customWidth="1"/>
    <col min="523" max="533" width="8.6640625" style="393" hidden="1" customWidth="1"/>
    <col min="534" max="768" width="8.6640625" style="393" hidden="1"/>
    <col min="769" max="769" width="32.6640625" style="393" hidden="1" customWidth="1"/>
    <col min="770" max="771" width="12.33203125" style="393" hidden="1" customWidth="1"/>
    <col min="772" max="772" width="12.6640625" style="393" hidden="1" customWidth="1"/>
    <col min="773" max="778" width="12.33203125" style="393" hidden="1" customWidth="1"/>
    <col min="779" max="789" width="8.6640625" style="393" hidden="1" customWidth="1"/>
    <col min="790" max="1024" width="8.6640625" style="393" hidden="1"/>
    <col min="1025" max="1025" width="32.6640625" style="393" hidden="1" customWidth="1"/>
    <col min="1026" max="1027" width="12.33203125" style="393" hidden="1" customWidth="1"/>
    <col min="1028" max="1028" width="12.6640625" style="393" hidden="1" customWidth="1"/>
    <col min="1029" max="1034" width="12.33203125" style="393" hidden="1" customWidth="1"/>
    <col min="1035" max="1045" width="8.6640625" style="393" hidden="1" customWidth="1"/>
    <col min="1046" max="1280" width="8.6640625" style="393" hidden="1"/>
    <col min="1281" max="1281" width="32.6640625" style="393" hidden="1" customWidth="1"/>
    <col min="1282" max="1283" width="12.33203125" style="393" hidden="1" customWidth="1"/>
    <col min="1284" max="1284" width="12.6640625" style="393" hidden="1" customWidth="1"/>
    <col min="1285" max="1290" width="12.33203125" style="393" hidden="1" customWidth="1"/>
    <col min="1291" max="1301" width="8.6640625" style="393" hidden="1" customWidth="1"/>
    <col min="1302" max="1536" width="8.6640625" style="393" hidden="1"/>
    <col min="1537" max="1537" width="32.6640625" style="393" hidden="1" customWidth="1"/>
    <col min="1538" max="1539" width="12.33203125" style="393" hidden="1" customWidth="1"/>
    <col min="1540" max="1540" width="12.6640625" style="393" hidden="1" customWidth="1"/>
    <col min="1541" max="1546" width="12.33203125" style="393" hidden="1" customWidth="1"/>
    <col min="1547" max="1557" width="8.6640625" style="393" hidden="1" customWidth="1"/>
    <col min="1558" max="1792" width="8.6640625" style="393" hidden="1"/>
    <col min="1793" max="1793" width="32.6640625" style="393" hidden="1" customWidth="1"/>
    <col min="1794" max="1795" width="12.33203125" style="393" hidden="1" customWidth="1"/>
    <col min="1796" max="1796" width="12.6640625" style="393" hidden="1" customWidth="1"/>
    <col min="1797" max="1802" width="12.33203125" style="393" hidden="1" customWidth="1"/>
    <col min="1803" max="1813" width="8.6640625" style="393" hidden="1" customWidth="1"/>
    <col min="1814" max="2048" width="8.6640625" style="393" hidden="1"/>
    <col min="2049" max="2049" width="32.6640625" style="393" hidden="1" customWidth="1"/>
    <col min="2050" max="2051" width="12.33203125" style="393" hidden="1" customWidth="1"/>
    <col min="2052" max="2052" width="12.6640625" style="393" hidden="1" customWidth="1"/>
    <col min="2053" max="2058" width="12.33203125" style="393" hidden="1" customWidth="1"/>
    <col min="2059" max="2069" width="8.6640625" style="393" hidden="1" customWidth="1"/>
    <col min="2070" max="2304" width="8.6640625" style="393" hidden="1"/>
    <col min="2305" max="2305" width="32.6640625" style="393" hidden="1" customWidth="1"/>
    <col min="2306" max="2307" width="12.33203125" style="393" hidden="1" customWidth="1"/>
    <col min="2308" max="2308" width="12.6640625" style="393" hidden="1" customWidth="1"/>
    <col min="2309" max="2314" width="12.33203125" style="393" hidden="1" customWidth="1"/>
    <col min="2315" max="2325" width="8.6640625" style="393" hidden="1" customWidth="1"/>
    <col min="2326" max="2560" width="8.6640625" style="393" hidden="1"/>
    <col min="2561" max="2561" width="32.6640625" style="393" hidden="1" customWidth="1"/>
    <col min="2562" max="2563" width="12.33203125" style="393" hidden="1" customWidth="1"/>
    <col min="2564" max="2564" width="12.6640625" style="393" hidden="1" customWidth="1"/>
    <col min="2565" max="2570" width="12.33203125" style="393" hidden="1" customWidth="1"/>
    <col min="2571" max="2581" width="8.6640625" style="393" hidden="1" customWidth="1"/>
    <col min="2582" max="2816" width="8.6640625" style="393" hidden="1"/>
    <col min="2817" max="2817" width="32.6640625" style="393" hidden="1" customWidth="1"/>
    <col min="2818" max="2819" width="12.33203125" style="393" hidden="1" customWidth="1"/>
    <col min="2820" max="2820" width="12.6640625" style="393" hidden="1" customWidth="1"/>
    <col min="2821" max="2826" width="12.33203125" style="393" hidden="1" customWidth="1"/>
    <col min="2827" max="2837" width="8.6640625" style="393" hidden="1" customWidth="1"/>
    <col min="2838" max="3072" width="8.6640625" style="393" hidden="1"/>
    <col min="3073" max="3073" width="32.6640625" style="393" hidden="1" customWidth="1"/>
    <col min="3074" max="3075" width="12.33203125" style="393" hidden="1" customWidth="1"/>
    <col min="3076" max="3076" width="12.6640625" style="393" hidden="1" customWidth="1"/>
    <col min="3077" max="3082" width="12.33203125" style="393" hidden="1" customWidth="1"/>
    <col min="3083" max="3093" width="8.6640625" style="393" hidden="1" customWidth="1"/>
    <col min="3094" max="3328" width="8.6640625" style="393" hidden="1"/>
    <col min="3329" max="3329" width="32.6640625" style="393" hidden="1" customWidth="1"/>
    <col min="3330" max="3331" width="12.33203125" style="393" hidden="1" customWidth="1"/>
    <col min="3332" max="3332" width="12.6640625" style="393" hidden="1" customWidth="1"/>
    <col min="3333" max="3338" width="12.33203125" style="393" hidden="1" customWidth="1"/>
    <col min="3339" max="3349" width="8.6640625" style="393" hidden="1" customWidth="1"/>
    <col min="3350" max="3584" width="8.6640625" style="393" hidden="1"/>
    <col min="3585" max="3585" width="32.6640625" style="393" hidden="1" customWidth="1"/>
    <col min="3586" max="3587" width="12.33203125" style="393" hidden="1" customWidth="1"/>
    <col min="3588" max="3588" width="12.6640625" style="393" hidden="1" customWidth="1"/>
    <col min="3589" max="3594" width="12.33203125" style="393" hidden="1" customWidth="1"/>
    <col min="3595" max="3605" width="8.6640625" style="393" hidden="1" customWidth="1"/>
    <col min="3606" max="3840" width="8.6640625" style="393" hidden="1"/>
    <col min="3841" max="3841" width="32.6640625" style="393" hidden="1" customWidth="1"/>
    <col min="3842" max="3843" width="12.33203125" style="393" hidden="1" customWidth="1"/>
    <col min="3844" max="3844" width="12.6640625" style="393" hidden="1" customWidth="1"/>
    <col min="3845" max="3850" width="12.33203125" style="393" hidden="1" customWidth="1"/>
    <col min="3851" max="3861" width="8.6640625" style="393" hidden="1" customWidth="1"/>
    <col min="3862" max="4096" width="8.6640625" style="393" hidden="1"/>
    <col min="4097" max="4097" width="32.6640625" style="393" hidden="1" customWidth="1"/>
    <col min="4098" max="4099" width="12.33203125" style="393" hidden="1" customWidth="1"/>
    <col min="4100" max="4100" width="12.6640625" style="393" hidden="1" customWidth="1"/>
    <col min="4101" max="4106" width="12.33203125" style="393" hidden="1" customWidth="1"/>
    <col min="4107" max="4117" width="8.6640625" style="393" hidden="1" customWidth="1"/>
    <col min="4118" max="4352" width="8.6640625" style="393" hidden="1"/>
    <col min="4353" max="4353" width="32.6640625" style="393" hidden="1" customWidth="1"/>
    <col min="4354" max="4355" width="12.33203125" style="393" hidden="1" customWidth="1"/>
    <col min="4356" max="4356" width="12.6640625" style="393" hidden="1" customWidth="1"/>
    <col min="4357" max="4362" width="12.33203125" style="393" hidden="1" customWidth="1"/>
    <col min="4363" max="4373" width="8.6640625" style="393" hidden="1" customWidth="1"/>
    <col min="4374" max="4608" width="8.6640625" style="393" hidden="1"/>
    <col min="4609" max="4609" width="32.6640625" style="393" hidden="1" customWidth="1"/>
    <col min="4610" max="4611" width="12.33203125" style="393" hidden="1" customWidth="1"/>
    <col min="4612" max="4612" width="12.6640625" style="393" hidden="1" customWidth="1"/>
    <col min="4613" max="4618" width="12.33203125" style="393" hidden="1" customWidth="1"/>
    <col min="4619" max="4629" width="8.6640625" style="393" hidden="1" customWidth="1"/>
    <col min="4630" max="4864" width="8.6640625" style="393" hidden="1"/>
    <col min="4865" max="4865" width="32.6640625" style="393" hidden="1" customWidth="1"/>
    <col min="4866" max="4867" width="12.33203125" style="393" hidden="1" customWidth="1"/>
    <col min="4868" max="4868" width="12.6640625" style="393" hidden="1" customWidth="1"/>
    <col min="4869" max="4874" width="12.33203125" style="393" hidden="1" customWidth="1"/>
    <col min="4875" max="4885" width="8.6640625" style="393" hidden="1" customWidth="1"/>
    <col min="4886" max="5120" width="8.6640625" style="393" hidden="1"/>
    <col min="5121" max="5121" width="32.6640625" style="393" hidden="1" customWidth="1"/>
    <col min="5122" max="5123" width="12.33203125" style="393" hidden="1" customWidth="1"/>
    <col min="5124" max="5124" width="12.6640625" style="393" hidden="1" customWidth="1"/>
    <col min="5125" max="5130" width="12.33203125" style="393" hidden="1" customWidth="1"/>
    <col min="5131" max="5141" width="8.6640625" style="393" hidden="1" customWidth="1"/>
    <col min="5142" max="5376" width="8.6640625" style="393" hidden="1"/>
    <col min="5377" max="5377" width="32.6640625" style="393" hidden="1" customWidth="1"/>
    <col min="5378" max="5379" width="12.33203125" style="393" hidden="1" customWidth="1"/>
    <col min="5380" max="5380" width="12.6640625" style="393" hidden="1" customWidth="1"/>
    <col min="5381" max="5386" width="12.33203125" style="393" hidden="1" customWidth="1"/>
    <col min="5387" max="5397" width="8.6640625" style="393" hidden="1" customWidth="1"/>
    <col min="5398" max="5632" width="8.6640625" style="393" hidden="1"/>
    <col min="5633" max="5633" width="32.6640625" style="393" hidden="1" customWidth="1"/>
    <col min="5634" max="5635" width="12.33203125" style="393" hidden="1" customWidth="1"/>
    <col min="5636" max="5636" width="12.6640625" style="393" hidden="1" customWidth="1"/>
    <col min="5637" max="5642" width="12.33203125" style="393" hidden="1" customWidth="1"/>
    <col min="5643" max="5653" width="8.6640625" style="393" hidden="1" customWidth="1"/>
    <col min="5654" max="5888" width="8.6640625" style="393" hidden="1"/>
    <col min="5889" max="5889" width="32.6640625" style="393" hidden="1" customWidth="1"/>
    <col min="5890" max="5891" width="12.33203125" style="393" hidden="1" customWidth="1"/>
    <col min="5892" max="5892" width="12.6640625" style="393" hidden="1" customWidth="1"/>
    <col min="5893" max="5898" width="12.33203125" style="393" hidden="1" customWidth="1"/>
    <col min="5899" max="5909" width="8.6640625" style="393" hidden="1" customWidth="1"/>
    <col min="5910" max="6144" width="8.6640625" style="393" hidden="1"/>
    <col min="6145" max="6145" width="32.6640625" style="393" hidden="1" customWidth="1"/>
    <col min="6146" max="6147" width="12.33203125" style="393" hidden="1" customWidth="1"/>
    <col min="6148" max="6148" width="12.6640625" style="393" hidden="1" customWidth="1"/>
    <col min="6149" max="6154" width="12.33203125" style="393" hidden="1" customWidth="1"/>
    <col min="6155" max="6165" width="8.6640625" style="393" hidden="1" customWidth="1"/>
    <col min="6166" max="6400" width="8.6640625" style="393" hidden="1"/>
    <col min="6401" max="6401" width="32.6640625" style="393" hidden="1" customWidth="1"/>
    <col min="6402" max="6403" width="12.33203125" style="393" hidden="1" customWidth="1"/>
    <col min="6404" max="6404" width="12.6640625" style="393" hidden="1" customWidth="1"/>
    <col min="6405" max="6410" width="12.33203125" style="393" hidden="1" customWidth="1"/>
    <col min="6411" max="6421" width="8.6640625" style="393" hidden="1" customWidth="1"/>
    <col min="6422" max="6656" width="8.6640625" style="393" hidden="1"/>
    <col min="6657" max="6657" width="32.6640625" style="393" hidden="1" customWidth="1"/>
    <col min="6658" max="6659" width="12.33203125" style="393" hidden="1" customWidth="1"/>
    <col min="6660" max="6660" width="12.6640625" style="393" hidden="1" customWidth="1"/>
    <col min="6661" max="6666" width="12.33203125" style="393" hidden="1" customWidth="1"/>
    <col min="6667" max="6677" width="8.6640625" style="393" hidden="1" customWidth="1"/>
    <col min="6678" max="6912" width="8.6640625" style="393" hidden="1"/>
    <col min="6913" max="6913" width="32.6640625" style="393" hidden="1" customWidth="1"/>
    <col min="6914" max="6915" width="12.33203125" style="393" hidden="1" customWidth="1"/>
    <col min="6916" max="6916" width="12.6640625" style="393" hidden="1" customWidth="1"/>
    <col min="6917" max="6922" width="12.33203125" style="393" hidden="1" customWidth="1"/>
    <col min="6923" max="6933" width="8.6640625" style="393" hidden="1" customWidth="1"/>
    <col min="6934" max="7168" width="8.6640625" style="393" hidden="1"/>
    <col min="7169" max="7169" width="32.6640625" style="393" hidden="1" customWidth="1"/>
    <col min="7170" max="7171" width="12.33203125" style="393" hidden="1" customWidth="1"/>
    <col min="7172" max="7172" width="12.6640625" style="393" hidden="1" customWidth="1"/>
    <col min="7173" max="7178" width="12.33203125" style="393" hidden="1" customWidth="1"/>
    <col min="7179" max="7189" width="8.6640625" style="393" hidden="1" customWidth="1"/>
    <col min="7190" max="7424" width="8.6640625" style="393" hidden="1"/>
    <col min="7425" max="7425" width="32.6640625" style="393" hidden="1" customWidth="1"/>
    <col min="7426" max="7427" width="12.33203125" style="393" hidden="1" customWidth="1"/>
    <col min="7428" max="7428" width="12.6640625" style="393" hidden="1" customWidth="1"/>
    <col min="7429" max="7434" width="12.33203125" style="393" hidden="1" customWidth="1"/>
    <col min="7435" max="7445" width="8.6640625" style="393" hidden="1" customWidth="1"/>
    <col min="7446" max="7680" width="8.6640625" style="393" hidden="1"/>
    <col min="7681" max="7681" width="32.6640625" style="393" hidden="1" customWidth="1"/>
    <col min="7682" max="7683" width="12.33203125" style="393" hidden="1" customWidth="1"/>
    <col min="7684" max="7684" width="12.6640625" style="393" hidden="1" customWidth="1"/>
    <col min="7685" max="7690" width="12.33203125" style="393" hidden="1" customWidth="1"/>
    <col min="7691" max="7701" width="8.6640625" style="393" hidden="1" customWidth="1"/>
    <col min="7702" max="7936" width="8.6640625" style="393" hidden="1"/>
    <col min="7937" max="7937" width="32.6640625" style="393" hidden="1" customWidth="1"/>
    <col min="7938" max="7939" width="12.33203125" style="393" hidden="1" customWidth="1"/>
    <col min="7940" max="7940" width="12.6640625" style="393" hidden="1" customWidth="1"/>
    <col min="7941" max="7946" width="12.33203125" style="393" hidden="1" customWidth="1"/>
    <col min="7947" max="7957" width="8.6640625" style="393" hidden="1" customWidth="1"/>
    <col min="7958" max="8192" width="8.6640625" style="393" hidden="1"/>
    <col min="8193" max="8193" width="32.6640625" style="393" hidden="1" customWidth="1"/>
    <col min="8194" max="8195" width="12.33203125" style="393" hidden="1" customWidth="1"/>
    <col min="8196" max="8196" width="12.6640625" style="393" hidden="1" customWidth="1"/>
    <col min="8197" max="8202" width="12.33203125" style="393" hidden="1" customWidth="1"/>
    <col min="8203" max="8213" width="8.6640625" style="393" hidden="1" customWidth="1"/>
    <col min="8214" max="8448" width="8.6640625" style="393" hidden="1"/>
    <col min="8449" max="8449" width="32.6640625" style="393" hidden="1" customWidth="1"/>
    <col min="8450" max="8451" width="12.33203125" style="393" hidden="1" customWidth="1"/>
    <col min="8452" max="8452" width="12.6640625" style="393" hidden="1" customWidth="1"/>
    <col min="8453" max="8458" width="12.33203125" style="393" hidden="1" customWidth="1"/>
    <col min="8459" max="8469" width="8.6640625" style="393" hidden="1" customWidth="1"/>
    <col min="8470" max="8704" width="8.6640625" style="393" hidden="1"/>
    <col min="8705" max="8705" width="32.6640625" style="393" hidden="1" customWidth="1"/>
    <col min="8706" max="8707" width="12.33203125" style="393" hidden="1" customWidth="1"/>
    <col min="8708" max="8708" width="12.6640625" style="393" hidden="1" customWidth="1"/>
    <col min="8709" max="8714" width="12.33203125" style="393" hidden="1" customWidth="1"/>
    <col min="8715" max="8725" width="8.6640625" style="393" hidden="1" customWidth="1"/>
    <col min="8726" max="8960" width="8.6640625" style="393" hidden="1"/>
    <col min="8961" max="8961" width="32.6640625" style="393" hidden="1" customWidth="1"/>
    <col min="8962" max="8963" width="12.33203125" style="393" hidden="1" customWidth="1"/>
    <col min="8964" max="8964" width="12.6640625" style="393" hidden="1" customWidth="1"/>
    <col min="8965" max="8970" width="12.33203125" style="393" hidden="1" customWidth="1"/>
    <col min="8971" max="8981" width="8.6640625" style="393" hidden="1" customWidth="1"/>
    <col min="8982" max="9216" width="8.6640625" style="393" hidden="1"/>
    <col min="9217" max="9217" width="32.6640625" style="393" hidden="1" customWidth="1"/>
    <col min="9218" max="9219" width="12.33203125" style="393" hidden="1" customWidth="1"/>
    <col min="9220" max="9220" width="12.6640625" style="393" hidden="1" customWidth="1"/>
    <col min="9221" max="9226" width="12.33203125" style="393" hidden="1" customWidth="1"/>
    <col min="9227" max="9237" width="8.6640625" style="393" hidden="1" customWidth="1"/>
    <col min="9238" max="9472" width="8.6640625" style="393" hidden="1"/>
    <col min="9473" max="9473" width="32.6640625" style="393" hidden="1" customWidth="1"/>
    <col min="9474" max="9475" width="12.33203125" style="393" hidden="1" customWidth="1"/>
    <col min="9476" max="9476" width="12.6640625" style="393" hidden="1" customWidth="1"/>
    <col min="9477" max="9482" width="12.33203125" style="393" hidden="1" customWidth="1"/>
    <col min="9483" max="9493" width="8.6640625" style="393" hidden="1" customWidth="1"/>
    <col min="9494" max="9728" width="8.6640625" style="393" hidden="1"/>
    <col min="9729" max="9729" width="32.6640625" style="393" hidden="1" customWidth="1"/>
    <col min="9730" max="9731" width="12.33203125" style="393" hidden="1" customWidth="1"/>
    <col min="9732" max="9732" width="12.6640625" style="393" hidden="1" customWidth="1"/>
    <col min="9733" max="9738" width="12.33203125" style="393" hidden="1" customWidth="1"/>
    <col min="9739" max="9749" width="8.6640625" style="393" hidden="1" customWidth="1"/>
    <col min="9750" max="9984" width="8.6640625" style="393" hidden="1"/>
    <col min="9985" max="9985" width="32.6640625" style="393" hidden="1" customWidth="1"/>
    <col min="9986" max="9987" width="12.33203125" style="393" hidden="1" customWidth="1"/>
    <col min="9988" max="9988" width="12.6640625" style="393" hidden="1" customWidth="1"/>
    <col min="9989" max="9994" width="12.33203125" style="393" hidden="1" customWidth="1"/>
    <col min="9995" max="10005" width="8.6640625" style="393" hidden="1" customWidth="1"/>
    <col min="10006" max="10240" width="8.6640625" style="393" hidden="1"/>
    <col min="10241" max="10241" width="32.6640625" style="393" hidden="1" customWidth="1"/>
    <col min="10242" max="10243" width="12.33203125" style="393" hidden="1" customWidth="1"/>
    <col min="10244" max="10244" width="12.6640625" style="393" hidden="1" customWidth="1"/>
    <col min="10245" max="10250" width="12.33203125" style="393" hidden="1" customWidth="1"/>
    <col min="10251" max="10261" width="8.6640625" style="393" hidden="1" customWidth="1"/>
    <col min="10262" max="10496" width="8.6640625" style="393" hidden="1"/>
    <col min="10497" max="10497" width="32.6640625" style="393" hidden="1" customWidth="1"/>
    <col min="10498" max="10499" width="12.33203125" style="393" hidden="1" customWidth="1"/>
    <col min="10500" max="10500" width="12.6640625" style="393" hidden="1" customWidth="1"/>
    <col min="10501" max="10506" width="12.33203125" style="393" hidden="1" customWidth="1"/>
    <col min="10507" max="10517" width="8.6640625" style="393" hidden="1" customWidth="1"/>
    <col min="10518" max="10752" width="8.6640625" style="393" hidden="1"/>
    <col min="10753" max="10753" width="32.6640625" style="393" hidden="1" customWidth="1"/>
    <col min="10754" max="10755" width="12.33203125" style="393" hidden="1" customWidth="1"/>
    <col min="10756" max="10756" width="12.6640625" style="393" hidden="1" customWidth="1"/>
    <col min="10757" max="10762" width="12.33203125" style="393" hidden="1" customWidth="1"/>
    <col min="10763" max="10773" width="8.6640625" style="393" hidden="1" customWidth="1"/>
    <col min="10774" max="11008" width="8.6640625" style="393" hidden="1"/>
    <col min="11009" max="11009" width="32.6640625" style="393" hidden="1" customWidth="1"/>
    <col min="11010" max="11011" width="12.33203125" style="393" hidden="1" customWidth="1"/>
    <col min="11012" max="11012" width="12.6640625" style="393" hidden="1" customWidth="1"/>
    <col min="11013" max="11018" width="12.33203125" style="393" hidden="1" customWidth="1"/>
    <col min="11019" max="11029" width="8.6640625" style="393" hidden="1" customWidth="1"/>
    <col min="11030" max="11264" width="8.6640625" style="393" hidden="1"/>
    <col min="11265" max="11265" width="32.6640625" style="393" hidden="1" customWidth="1"/>
    <col min="11266" max="11267" width="12.33203125" style="393" hidden="1" customWidth="1"/>
    <col min="11268" max="11268" width="12.6640625" style="393" hidden="1" customWidth="1"/>
    <col min="11269" max="11274" width="12.33203125" style="393" hidden="1" customWidth="1"/>
    <col min="11275" max="11285" width="8.6640625" style="393" hidden="1" customWidth="1"/>
    <col min="11286" max="11520" width="8.6640625" style="393" hidden="1"/>
    <col min="11521" max="11521" width="32.6640625" style="393" hidden="1" customWidth="1"/>
    <col min="11522" max="11523" width="12.33203125" style="393" hidden="1" customWidth="1"/>
    <col min="11524" max="11524" width="12.6640625" style="393" hidden="1" customWidth="1"/>
    <col min="11525" max="11530" width="12.33203125" style="393" hidden="1" customWidth="1"/>
    <col min="11531" max="11541" width="8.6640625" style="393" hidden="1" customWidth="1"/>
    <col min="11542" max="11776" width="8.6640625" style="393" hidden="1"/>
    <col min="11777" max="11777" width="32.6640625" style="393" hidden="1" customWidth="1"/>
    <col min="11778" max="11779" width="12.33203125" style="393" hidden="1" customWidth="1"/>
    <col min="11780" max="11780" width="12.6640625" style="393" hidden="1" customWidth="1"/>
    <col min="11781" max="11786" width="12.33203125" style="393" hidden="1" customWidth="1"/>
    <col min="11787" max="11797" width="8.6640625" style="393" hidden="1" customWidth="1"/>
    <col min="11798" max="12032" width="8.6640625" style="393" hidden="1"/>
    <col min="12033" max="12033" width="32.6640625" style="393" hidden="1" customWidth="1"/>
    <col min="12034" max="12035" width="12.33203125" style="393" hidden="1" customWidth="1"/>
    <col min="12036" max="12036" width="12.6640625" style="393" hidden="1" customWidth="1"/>
    <col min="12037" max="12042" width="12.33203125" style="393" hidden="1" customWidth="1"/>
    <col min="12043" max="12053" width="8.6640625" style="393" hidden="1" customWidth="1"/>
    <col min="12054" max="12288" width="8.6640625" style="393" hidden="1"/>
    <col min="12289" max="12289" width="32.6640625" style="393" hidden="1" customWidth="1"/>
    <col min="12290" max="12291" width="12.33203125" style="393" hidden="1" customWidth="1"/>
    <col min="12292" max="12292" width="12.6640625" style="393" hidden="1" customWidth="1"/>
    <col min="12293" max="12298" width="12.33203125" style="393" hidden="1" customWidth="1"/>
    <col min="12299" max="12309" width="8.6640625" style="393" hidden="1" customWidth="1"/>
    <col min="12310" max="12544" width="8.6640625" style="393" hidden="1"/>
    <col min="12545" max="12545" width="32.6640625" style="393" hidden="1" customWidth="1"/>
    <col min="12546" max="12547" width="12.33203125" style="393" hidden="1" customWidth="1"/>
    <col min="12548" max="12548" width="12.6640625" style="393" hidden="1" customWidth="1"/>
    <col min="12549" max="12554" width="12.33203125" style="393" hidden="1" customWidth="1"/>
    <col min="12555" max="12565" width="8.6640625" style="393" hidden="1" customWidth="1"/>
    <col min="12566" max="12800" width="8.6640625" style="393" hidden="1"/>
    <col min="12801" max="12801" width="32.6640625" style="393" hidden="1" customWidth="1"/>
    <col min="12802" max="12803" width="12.33203125" style="393" hidden="1" customWidth="1"/>
    <col min="12804" max="12804" width="12.6640625" style="393" hidden="1" customWidth="1"/>
    <col min="12805" max="12810" width="12.33203125" style="393" hidden="1" customWidth="1"/>
    <col min="12811" max="12821" width="8.6640625" style="393" hidden="1" customWidth="1"/>
    <col min="12822" max="13056" width="8.6640625" style="393" hidden="1"/>
    <col min="13057" max="13057" width="32.6640625" style="393" hidden="1" customWidth="1"/>
    <col min="13058" max="13059" width="12.33203125" style="393" hidden="1" customWidth="1"/>
    <col min="13060" max="13060" width="12.6640625" style="393" hidden="1" customWidth="1"/>
    <col min="13061" max="13066" width="12.33203125" style="393" hidden="1" customWidth="1"/>
    <col min="13067" max="13077" width="8.6640625" style="393" hidden="1" customWidth="1"/>
    <col min="13078" max="13312" width="8.6640625" style="393" hidden="1"/>
    <col min="13313" max="13313" width="32.6640625" style="393" hidden="1" customWidth="1"/>
    <col min="13314" max="13315" width="12.33203125" style="393" hidden="1" customWidth="1"/>
    <col min="13316" max="13316" width="12.6640625" style="393" hidden="1" customWidth="1"/>
    <col min="13317" max="13322" width="12.33203125" style="393" hidden="1" customWidth="1"/>
    <col min="13323" max="13333" width="8.6640625" style="393" hidden="1" customWidth="1"/>
    <col min="13334" max="13568" width="8.6640625" style="393" hidden="1"/>
    <col min="13569" max="13569" width="32.6640625" style="393" hidden="1" customWidth="1"/>
    <col min="13570" max="13571" width="12.33203125" style="393" hidden="1" customWidth="1"/>
    <col min="13572" max="13572" width="12.6640625" style="393" hidden="1" customWidth="1"/>
    <col min="13573" max="13578" width="12.33203125" style="393" hidden="1" customWidth="1"/>
    <col min="13579" max="13589" width="8.6640625" style="393" hidden="1" customWidth="1"/>
    <col min="13590" max="13824" width="8.6640625" style="393" hidden="1"/>
    <col min="13825" max="13825" width="32.6640625" style="393" hidden="1" customWidth="1"/>
    <col min="13826" max="13827" width="12.33203125" style="393" hidden="1" customWidth="1"/>
    <col min="13828" max="13828" width="12.6640625" style="393" hidden="1" customWidth="1"/>
    <col min="13829" max="13834" width="12.33203125" style="393" hidden="1" customWidth="1"/>
    <col min="13835" max="13845" width="8.6640625" style="393" hidden="1" customWidth="1"/>
    <col min="13846" max="14080" width="8.6640625" style="393" hidden="1"/>
    <col min="14081" max="14081" width="32.6640625" style="393" hidden="1" customWidth="1"/>
    <col min="14082" max="14083" width="12.33203125" style="393" hidden="1" customWidth="1"/>
    <col min="14084" max="14084" width="12.6640625" style="393" hidden="1" customWidth="1"/>
    <col min="14085" max="14090" width="12.33203125" style="393" hidden="1" customWidth="1"/>
    <col min="14091" max="14101" width="8.6640625" style="393" hidden="1" customWidth="1"/>
    <col min="14102" max="14336" width="8.6640625" style="393" hidden="1"/>
    <col min="14337" max="14337" width="32.6640625" style="393" hidden="1" customWidth="1"/>
    <col min="14338" max="14339" width="12.33203125" style="393" hidden="1" customWidth="1"/>
    <col min="14340" max="14340" width="12.6640625" style="393" hidden="1" customWidth="1"/>
    <col min="14341" max="14346" width="12.33203125" style="393" hidden="1" customWidth="1"/>
    <col min="14347" max="14357" width="8.6640625" style="393" hidden="1" customWidth="1"/>
    <col min="14358" max="14592" width="8.6640625" style="393" hidden="1"/>
    <col min="14593" max="14593" width="32.6640625" style="393" hidden="1" customWidth="1"/>
    <col min="14594" max="14595" width="12.33203125" style="393" hidden="1" customWidth="1"/>
    <col min="14596" max="14596" width="12.6640625" style="393" hidden="1" customWidth="1"/>
    <col min="14597" max="14602" width="12.33203125" style="393" hidden="1" customWidth="1"/>
    <col min="14603" max="14613" width="8.6640625" style="393" hidden="1" customWidth="1"/>
    <col min="14614" max="14848" width="8.6640625" style="393" hidden="1"/>
    <col min="14849" max="14849" width="32.6640625" style="393" hidden="1" customWidth="1"/>
    <col min="14850" max="14851" width="12.33203125" style="393" hidden="1" customWidth="1"/>
    <col min="14852" max="14852" width="12.6640625" style="393" hidden="1" customWidth="1"/>
    <col min="14853" max="14858" width="12.33203125" style="393" hidden="1" customWidth="1"/>
    <col min="14859" max="14869" width="8.6640625" style="393" hidden="1" customWidth="1"/>
    <col min="14870" max="15104" width="8.6640625" style="393" hidden="1"/>
    <col min="15105" max="15105" width="32.6640625" style="393" hidden="1" customWidth="1"/>
    <col min="15106" max="15107" width="12.33203125" style="393" hidden="1" customWidth="1"/>
    <col min="15108" max="15108" width="12.6640625" style="393" hidden="1" customWidth="1"/>
    <col min="15109" max="15114" width="12.33203125" style="393" hidden="1" customWidth="1"/>
    <col min="15115" max="15125" width="8.6640625" style="393" hidden="1" customWidth="1"/>
    <col min="15126" max="15360" width="8.6640625" style="393" hidden="1"/>
    <col min="15361" max="15361" width="32.6640625" style="393" hidden="1" customWidth="1"/>
    <col min="15362" max="15363" width="12.33203125" style="393" hidden="1" customWidth="1"/>
    <col min="15364" max="15364" width="12.6640625" style="393" hidden="1" customWidth="1"/>
    <col min="15365" max="15370" width="12.33203125" style="393" hidden="1" customWidth="1"/>
    <col min="15371" max="15381" width="8.6640625" style="393" hidden="1" customWidth="1"/>
    <col min="15382" max="15616" width="8.6640625" style="393" hidden="1"/>
    <col min="15617" max="15617" width="32.6640625" style="393" hidden="1" customWidth="1"/>
    <col min="15618" max="15619" width="12.33203125" style="393" hidden="1" customWidth="1"/>
    <col min="15620" max="15620" width="12.6640625" style="393" hidden="1" customWidth="1"/>
    <col min="15621" max="15626" width="12.33203125" style="393" hidden="1" customWidth="1"/>
    <col min="15627" max="15637" width="8.6640625" style="393" hidden="1" customWidth="1"/>
    <col min="15638" max="15872" width="8.6640625" style="393" hidden="1"/>
    <col min="15873" max="15873" width="32.6640625" style="393" hidden="1" customWidth="1"/>
    <col min="15874" max="15875" width="12.33203125" style="393" hidden="1" customWidth="1"/>
    <col min="15876" max="15876" width="12.6640625" style="393" hidden="1" customWidth="1"/>
    <col min="15877" max="15882" width="12.33203125" style="393" hidden="1" customWidth="1"/>
    <col min="15883" max="15893" width="8.6640625" style="393" hidden="1" customWidth="1"/>
    <col min="15894" max="16128" width="8.6640625" style="393" hidden="1"/>
    <col min="16129" max="16129" width="32.6640625" style="393" hidden="1" customWidth="1"/>
    <col min="16130" max="16131" width="12.33203125" style="393" hidden="1" customWidth="1"/>
    <col min="16132" max="16132" width="12.6640625" style="393" hidden="1" customWidth="1"/>
    <col min="16133" max="16138" width="12.33203125" style="393" hidden="1" customWidth="1"/>
    <col min="16139" max="16149" width="8.6640625" style="393" hidden="1" customWidth="1"/>
    <col min="16150" max="16384" width="8.6640625" style="393" hidden="1"/>
  </cols>
  <sheetData>
    <row r="1" spans="1:11" s="356" customFormat="1" ht="13">
      <c r="A1" s="1871" t="s">
        <v>1228</v>
      </c>
      <c r="B1" s="1872"/>
      <c r="C1" s="1872"/>
      <c r="D1" s="1872"/>
      <c r="E1" s="1872"/>
      <c r="F1" s="1872"/>
      <c r="G1" s="1872"/>
      <c r="H1" s="1872"/>
      <c r="I1" s="1872"/>
      <c r="J1" s="1873"/>
      <c r="K1" s="355"/>
    </row>
    <row r="2" spans="1:11" s="401" customFormat="1" ht="78">
      <c r="A2" s="398"/>
      <c r="B2" s="399" t="s">
        <v>1028</v>
      </c>
      <c r="C2" s="399" t="s">
        <v>1230</v>
      </c>
      <c r="D2" s="399" t="s">
        <v>1231</v>
      </c>
      <c r="E2" s="399" t="s">
        <v>1159</v>
      </c>
      <c r="F2" s="399" t="s">
        <v>1232</v>
      </c>
      <c r="G2" s="399" t="s">
        <v>1233</v>
      </c>
      <c r="H2" s="399" t="s">
        <v>1029</v>
      </c>
      <c r="I2" s="399" t="s">
        <v>1234</v>
      </c>
      <c r="J2" s="399" t="s">
        <v>1235</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67500</v>
      </c>
      <c r="C4" s="362">
        <f>+B4</f>
        <v>67500</v>
      </c>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594</v>
      </c>
      <c r="B8" s="361">
        <f>'Sources and Uses Budget'!C8</f>
        <v>67500</v>
      </c>
      <c r="C8" s="361">
        <f>SUM(C4:C7)</f>
        <v>67500</v>
      </c>
      <c r="D8" s="361">
        <f>SUM(D4:D7)</f>
        <v>0</v>
      </c>
      <c r="E8" s="363"/>
      <c r="F8" s="363"/>
      <c r="G8" s="363"/>
      <c r="H8" s="363"/>
      <c r="I8" s="363"/>
      <c r="J8" s="363"/>
      <c r="K8" s="359"/>
    </row>
    <row r="9" spans="1:11" s="360" customFormat="1" ht="13">
      <c r="A9" s="364" t="s">
        <v>595</v>
      </c>
      <c r="B9" s="361">
        <f>'Sources and Uses Budget'!C9</f>
        <v>0</v>
      </c>
      <c r="C9" s="362"/>
      <c r="D9" s="362"/>
      <c r="E9" s="363"/>
      <c r="F9" s="363"/>
      <c r="G9" s="363"/>
      <c r="H9" s="361">
        <f>'Sources and Uses Budget'!T9</f>
        <v>0</v>
      </c>
      <c r="I9" s="362"/>
      <c r="J9" s="362"/>
      <c r="K9" s="359"/>
    </row>
    <row r="10" spans="1:11" s="360" customFormat="1" ht="13">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67500</v>
      </c>
      <c r="C12" s="361">
        <f>SUM(C8+C11)</f>
        <v>67500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904</v>
      </c>
      <c r="B14" s="361">
        <f>'Sources and Uses Budget'!C14</f>
        <v>10000</v>
      </c>
      <c r="C14" s="362">
        <f>+B14</f>
        <v>10000</v>
      </c>
      <c r="D14" s="362"/>
      <c r="E14" s="361">
        <f>'Sources and Uses Budget'!S14</f>
        <v>0</v>
      </c>
      <c r="F14" s="362"/>
      <c r="G14" s="362"/>
      <c r="H14" s="361">
        <f>'Sources and Uses Budget'!T14</f>
        <v>0</v>
      </c>
      <c r="I14" s="362"/>
      <c r="J14" s="362"/>
      <c r="K14" s="359"/>
    </row>
    <row r="15" spans="1:11" s="360" customFormat="1" ht="13">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598</v>
      </c>
      <c r="B16" s="358"/>
      <c r="C16" s="358"/>
      <c r="D16" s="358"/>
      <c r="E16" s="358"/>
      <c r="F16" s="358"/>
      <c r="G16" s="358"/>
      <c r="H16" s="358"/>
      <c r="I16" s="358"/>
      <c r="J16" s="358"/>
      <c r="K16" s="359"/>
    </row>
    <row r="17" spans="1:11" s="360" customFormat="1" ht="13">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187985</v>
      </c>
      <c r="C27" s="362">
        <f>+B27</f>
        <v>187985</v>
      </c>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ht="13">
      <c r="A30" s="145" t="s">
        <v>600</v>
      </c>
      <c r="B30" s="361">
        <f>'Sources and Uses Budget'!C30</f>
        <v>24667011</v>
      </c>
      <c r="C30" s="362">
        <f>+B30</f>
        <v>24667011</v>
      </c>
      <c r="D30" s="362"/>
      <c r="E30" s="361">
        <f>'Sources and Uses Budget'!S30</f>
        <v>24467011</v>
      </c>
      <c r="F30" s="362">
        <f>+E30</f>
        <v>24467011</v>
      </c>
      <c r="G30" s="362"/>
      <c r="H30" s="361">
        <f>'Sources and Uses Budget'!T30</f>
        <v>0</v>
      </c>
      <c r="I30" s="362"/>
      <c r="J30" s="362"/>
      <c r="K30" s="359"/>
    </row>
    <row r="31" spans="1:11" s="360" customFormat="1" ht="13">
      <c r="A31" s="145" t="s">
        <v>601</v>
      </c>
      <c r="B31" s="361">
        <f>'Sources and Uses Budget'!C31</f>
        <v>1250000</v>
      </c>
      <c r="C31" s="362">
        <v>1250000</v>
      </c>
      <c r="D31" s="362"/>
      <c r="E31" s="361">
        <f>'Sources and Uses Budget'!S31</f>
        <v>1250000</v>
      </c>
      <c r="F31" s="362">
        <f>+E31</f>
        <v>1250000</v>
      </c>
      <c r="G31" s="362"/>
      <c r="H31" s="361">
        <f>'Sources and Uses Budget'!T31</f>
        <v>0</v>
      </c>
      <c r="I31" s="362"/>
      <c r="J31" s="362"/>
      <c r="K31" s="359"/>
    </row>
    <row r="32" spans="1:11" s="360" customFormat="1" ht="13">
      <c r="A32" s="145" t="s">
        <v>137</v>
      </c>
      <c r="B32" s="361">
        <f>'Sources and Uses Budget'!C32</f>
        <v>1250000</v>
      </c>
      <c r="C32" s="362">
        <v>1250000</v>
      </c>
      <c r="D32" s="362"/>
      <c r="E32" s="361">
        <f>'Sources and Uses Budget'!S32</f>
        <v>1250000</v>
      </c>
      <c r="F32" s="362">
        <f>+E32</f>
        <v>1250000</v>
      </c>
      <c r="G32" s="362"/>
      <c r="H32" s="361">
        <f>'Sources and Uses Budget'!T32</f>
        <v>0</v>
      </c>
      <c r="I32" s="362"/>
      <c r="J32" s="362"/>
      <c r="K32" s="359"/>
    </row>
    <row r="33" spans="1:11" s="360" customFormat="1" ht="13">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1641</v>
      </c>
      <c r="B36" s="361">
        <f>'Sources and Uses Budget'!C36</f>
        <v>192500</v>
      </c>
      <c r="C36" s="362">
        <f>+B36</f>
        <v>192500</v>
      </c>
      <c r="D36" s="362"/>
      <c r="E36" s="361">
        <f>'Sources and Uses Budget'!S36</f>
        <v>192500</v>
      </c>
      <c r="F36" s="362">
        <f>+E36</f>
        <v>192500</v>
      </c>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27359511</v>
      </c>
      <c r="C38" s="361">
        <f>SUM(C29:C37)</f>
        <v>27359511</v>
      </c>
      <c r="D38" s="361">
        <f>SUM(D29:D37)</f>
        <v>0</v>
      </c>
      <c r="E38" s="361">
        <f>'Sources and Uses Budget'!S38</f>
        <v>27159511</v>
      </c>
      <c r="F38" s="367">
        <f>SUM(F29:F37)</f>
        <v>27159511</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1657539</v>
      </c>
      <c r="C40" s="362">
        <f>+B40</f>
        <v>1657539</v>
      </c>
      <c r="D40" s="362"/>
      <c r="E40" s="361">
        <f>'Sources and Uses Budget'!S40</f>
        <v>1657539</v>
      </c>
      <c r="F40" s="362">
        <f>+E40</f>
        <v>1657539</v>
      </c>
      <c r="G40" s="362"/>
      <c r="H40" s="361">
        <f>'Sources and Uses Budget'!T40</f>
        <v>0</v>
      </c>
      <c r="I40" s="362"/>
      <c r="J40" s="362"/>
      <c r="K40" s="359"/>
    </row>
    <row r="41" spans="1:11" s="360" customFormat="1" ht="13">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ht="13">
      <c r="A42" s="365" t="s">
        <v>147</v>
      </c>
      <c r="B42" s="361">
        <f>'Sources and Uses Budget'!C42</f>
        <v>1657539</v>
      </c>
      <c r="C42" s="361">
        <f>SUM(C39:C41)</f>
        <v>1657539</v>
      </c>
      <c r="D42" s="361">
        <f>SUM(D39:D41)</f>
        <v>0</v>
      </c>
      <c r="E42" s="361">
        <f>'Sources and Uses Budget'!S42</f>
        <v>1657539</v>
      </c>
      <c r="F42" s="367">
        <f>SUM(F40:F41)</f>
        <v>1657539</v>
      </c>
      <c r="G42" s="367">
        <f>SUM(G40:G41)</f>
        <v>0</v>
      </c>
      <c r="H42" s="361">
        <f>'Sources and Uses Budget'!T42</f>
        <v>0</v>
      </c>
      <c r="I42" s="367">
        <f>SUM(I40:I41)</f>
        <v>0</v>
      </c>
      <c r="J42" s="367">
        <f>SUM(J40:J41)</f>
        <v>0</v>
      </c>
      <c r="K42" s="359"/>
    </row>
    <row r="43" spans="1:11" s="360" customFormat="1" ht="13">
      <c r="A43" s="365" t="s">
        <v>148</v>
      </c>
      <c r="B43" s="361">
        <f>'Sources and Uses Budget'!C43</f>
        <v>149835</v>
      </c>
      <c r="C43" s="362">
        <f>+B43</f>
        <v>149835</v>
      </c>
      <c r="D43" s="362"/>
      <c r="E43" s="361">
        <f>'Sources and Uses Budget'!S43</f>
        <v>149835</v>
      </c>
      <c r="F43" s="362">
        <f>+E43</f>
        <v>149835</v>
      </c>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2382000</v>
      </c>
      <c r="C45" s="362">
        <f>+B45</f>
        <v>2382000</v>
      </c>
      <c r="D45" s="362"/>
      <c r="E45" s="361">
        <f>'Sources and Uses Budget'!S45</f>
        <v>1107000</v>
      </c>
      <c r="F45" s="362">
        <f>+E45</f>
        <v>1107000</v>
      </c>
      <c r="G45" s="362"/>
      <c r="H45" s="361">
        <f>'Sources and Uses Budget'!T45</f>
        <v>0</v>
      </c>
      <c r="I45" s="362"/>
      <c r="J45" s="362"/>
      <c r="K45" s="359"/>
    </row>
    <row r="46" spans="1:11" s="360" customFormat="1" ht="13">
      <c r="A46" s="364" t="s">
        <v>151</v>
      </c>
      <c r="B46" s="361">
        <f>'Sources and Uses Budget'!C46</f>
        <v>194560</v>
      </c>
      <c r="C46" s="362">
        <f>+B46</f>
        <v>194560</v>
      </c>
      <c r="D46" s="362"/>
      <c r="E46" s="361">
        <f>'Sources and Uses Budget'!S46</f>
        <v>194560</v>
      </c>
      <c r="F46" s="362">
        <f>+E46</f>
        <v>194560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161630</v>
      </c>
      <c r="C49" s="362">
        <v>105060</v>
      </c>
      <c r="D49" s="362"/>
      <c r="E49" s="361">
        <f>'Sources and Uses Budget'!S49</f>
        <v>105059.5</v>
      </c>
      <c r="F49" s="362">
        <f>+E49</f>
        <v>105059.5</v>
      </c>
      <c r="G49" s="362"/>
      <c r="H49" s="361">
        <f>'Sources and Uses Budget'!T49</f>
        <v>0</v>
      </c>
      <c r="I49" s="362"/>
      <c r="J49" s="362"/>
      <c r="K49" s="359"/>
    </row>
    <row r="50" spans="1:11" s="360" customFormat="1" ht="13">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ht="13">
      <c r="A51" s="364" t="s">
        <v>154</v>
      </c>
      <c r="B51" s="361">
        <f>'Sources and Uses Budget'!C51</f>
        <v>5000</v>
      </c>
      <c r="C51" s="362">
        <v>0</v>
      </c>
      <c r="D51" s="362"/>
      <c r="E51" s="361">
        <f>'Sources and Uses Budget'!S51</f>
        <v>0</v>
      </c>
      <c r="F51" s="362"/>
      <c r="G51" s="362"/>
      <c r="H51" s="361">
        <f>'Sources and Uses Budget'!T51</f>
        <v>0</v>
      </c>
      <c r="I51" s="362"/>
      <c r="J51" s="362"/>
      <c r="K51" s="359"/>
    </row>
    <row r="52" spans="1:11" s="360" customFormat="1" ht="13">
      <c r="A52" s="364" t="s">
        <v>155</v>
      </c>
      <c r="B52" s="361">
        <f>'Sources and Uses Budget'!C52</f>
        <v>784474</v>
      </c>
      <c r="C52" s="362">
        <f>+B52</f>
        <v>784474</v>
      </c>
      <c r="D52" s="362"/>
      <c r="E52" s="361">
        <f>'Sources and Uses Budget'!S52</f>
        <v>784474</v>
      </c>
      <c r="F52" s="362">
        <f>+E52</f>
        <v>784474</v>
      </c>
      <c r="G52" s="362"/>
      <c r="H52" s="361">
        <f>'Sources and Uses Budget'!T52</f>
        <v>0</v>
      </c>
      <c r="I52" s="362"/>
      <c r="J52" s="362"/>
      <c r="K52" s="359"/>
    </row>
    <row r="53" spans="1:11" s="360" customFormat="1" ht="13">
      <c r="A53" s="364" t="str">
        <f>'Sources and Uses Budget'!$A53</f>
        <v>Lender 3rd Party Reports</v>
      </c>
      <c r="B53" s="361">
        <f>'Sources and Uses Budget'!C53</f>
        <v>77500</v>
      </c>
      <c r="C53" s="362">
        <f>+B53</f>
        <v>77500</v>
      </c>
      <c r="D53" s="362"/>
      <c r="E53" s="361">
        <f>'Sources and Uses Budget'!S53</f>
        <v>77500</v>
      </c>
      <c r="F53" s="362">
        <f>+E53</f>
        <v>77500</v>
      </c>
      <c r="G53" s="362"/>
      <c r="H53" s="361">
        <f>'Sources and Uses Budget'!T53</f>
        <v>0</v>
      </c>
      <c r="I53" s="362"/>
      <c r="J53" s="362"/>
      <c r="K53" s="359"/>
    </row>
    <row r="54" spans="1:11" s="369" customFormat="1" ht="13">
      <c r="A54" s="365" t="s">
        <v>157</v>
      </c>
      <c r="B54" s="361">
        <f>'Sources and Uses Budget'!C54</f>
        <v>3605164</v>
      </c>
      <c r="C54" s="367">
        <f>SUM(C45:C53)</f>
        <v>3543594</v>
      </c>
      <c r="D54" s="367">
        <f>SUM(D45:D53)</f>
        <v>0</v>
      </c>
      <c r="E54" s="361">
        <f>'Sources and Uses Budget'!S54</f>
        <v>2268593.5</v>
      </c>
      <c r="F54" s="367">
        <f>SUM(F45:F53)</f>
        <v>2268593.5</v>
      </c>
      <c r="G54" s="367">
        <f>SUM(G45:G53)</f>
        <v>0</v>
      </c>
      <c r="H54" s="361">
        <f>'Sources and Uses Budget'!T54</f>
        <v>0</v>
      </c>
      <c r="I54" s="367">
        <f>SUM(I45:I53)</f>
        <v>0</v>
      </c>
      <c r="J54" s="367">
        <f>SUM(J45:J53)</f>
        <v>0</v>
      </c>
      <c r="K54" s="368"/>
    </row>
    <row r="55" spans="1:11" s="360" customFormat="1" ht="13">
      <c r="A55" s="357" t="s">
        <v>418</v>
      </c>
      <c r="B55" s="358"/>
      <c r="C55" s="358"/>
      <c r="D55" s="358"/>
      <c r="E55" s="358"/>
      <c r="F55" s="358"/>
      <c r="G55" s="358"/>
      <c r="H55" s="358"/>
      <c r="I55" s="358"/>
      <c r="J55" s="358"/>
      <c r="K55" s="359"/>
    </row>
    <row r="56" spans="1:11" s="360" customFormat="1" ht="13">
      <c r="A56" s="364" t="s">
        <v>158</v>
      </c>
      <c r="B56" s="361">
        <f>'Sources and Uses Budget'!C56</f>
        <v>10000</v>
      </c>
      <c r="C56" s="362">
        <f>+B56</f>
        <v>10000</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58368</v>
      </c>
      <c r="C58" s="362">
        <f>+B58</f>
        <v>58368</v>
      </c>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CLHFA Perm Closing costs</v>
      </c>
      <c r="B61" s="361">
        <f>'Sources and Uses Budget'!C61</f>
        <v>15000</v>
      </c>
      <c r="C61" s="362">
        <f>+B61</f>
        <v>15000</v>
      </c>
      <c r="D61" s="362"/>
      <c r="E61" s="363"/>
      <c r="F61" s="363"/>
      <c r="G61" s="363"/>
      <c r="H61" s="363"/>
      <c r="I61" s="363"/>
      <c r="J61" s="363"/>
      <c r="K61" s="359"/>
    </row>
    <row r="62" spans="1:11" s="360" customFormat="1" ht="14" customHeight="1">
      <c r="A62" s="365" t="s">
        <v>301</v>
      </c>
      <c r="B62" s="361">
        <f>'Sources and Uses Budget'!C62</f>
        <v>83368</v>
      </c>
      <c r="C62" s="361">
        <f>SUM(C56:C61)</f>
        <v>83368</v>
      </c>
      <c r="D62" s="361">
        <f>SUM(D56:D61)</f>
        <v>0</v>
      </c>
      <c r="E62" s="363"/>
      <c r="F62" s="363"/>
      <c r="G62" s="363"/>
      <c r="H62" s="363"/>
      <c r="I62" s="363"/>
      <c r="J62" s="363"/>
      <c r="K62" s="359"/>
    </row>
    <row r="63" spans="1:11" s="360" customFormat="1" ht="13">
      <c r="A63" s="370" t="s">
        <v>302</v>
      </c>
      <c r="B63" s="361">
        <f>'Sources and Uses Budget'!C63</f>
        <v>33120902</v>
      </c>
      <c r="C63" s="361">
        <f>SUM(C8+C11+C13+C14+C15+C26+C27+C38+C42+C43+C54+C62)</f>
        <v>33059332</v>
      </c>
      <c r="D63" s="361">
        <f>SUM(D8+D11+D13+D14+D15+D26+D27+D38+D42+D43+D54+D62)</f>
        <v>0</v>
      </c>
      <c r="E63" s="361">
        <f>'Sources and Uses Budget'!S63</f>
        <v>31235478.5</v>
      </c>
      <c r="F63" s="361">
        <f>SUM(F10+F13+F14+F15+F26+F27+F38+F42+F43+F54)</f>
        <v>31235478.5</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1645</v>
      </c>
      <c r="B64" s="358"/>
      <c r="C64" s="358"/>
      <c r="D64" s="358"/>
      <c r="E64" s="358"/>
      <c r="F64" s="358"/>
      <c r="G64" s="358"/>
      <c r="H64" s="358"/>
      <c r="I64" s="358"/>
      <c r="J64" s="358"/>
      <c r="K64" s="359"/>
    </row>
    <row r="65" spans="1:11" s="360" customFormat="1" ht="13">
      <c r="A65" s="145" t="s">
        <v>171</v>
      </c>
      <c r="B65" s="361">
        <f>'Sources and Uses Budget'!C65</f>
        <v>80000</v>
      </c>
      <c r="C65" s="362">
        <f>+B65</f>
        <v>80000</v>
      </c>
      <c r="D65" s="362"/>
      <c r="E65" s="361">
        <f>'Sources and Uses Budget'!S65</f>
        <v>80000</v>
      </c>
      <c r="F65" s="362">
        <f>+E65</f>
        <v>80000</v>
      </c>
      <c r="G65" s="362"/>
      <c r="H65" s="361">
        <f>'Sources and Uses Budget'!T65</f>
        <v>0</v>
      </c>
      <c r="I65" s="362"/>
      <c r="J65" s="362"/>
      <c r="K65" s="359"/>
    </row>
    <row r="66" spans="1:11" s="360" customFormat="1" ht="26">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1649</v>
      </c>
      <c r="B68" s="361">
        <f>'Sources and Uses Budget'!C68</f>
        <v>50000</v>
      </c>
      <c r="C68" s="362">
        <f>+B68</f>
        <v>50000</v>
      </c>
      <c r="D68" s="362"/>
      <c r="E68" s="361">
        <f>'Sources and Uses Budget'!S68</f>
        <v>50000</v>
      </c>
      <c r="F68" s="362">
        <f>+E68</f>
        <v>50000</v>
      </c>
      <c r="G68" s="362"/>
      <c r="H68" s="361">
        <f>'Sources and Uses Budget'!T68</f>
        <v>0</v>
      </c>
      <c r="I68" s="362"/>
      <c r="J68" s="362"/>
      <c r="K68" s="359"/>
    </row>
    <row r="69" spans="1:11" s="360" customFormat="1" ht="13">
      <c r="A69" s="364" t="str">
        <f>'Sources and Uses Budget'!$A69</f>
        <v>Borrower Legal</v>
      </c>
      <c r="B69" s="361">
        <f>'Sources and Uses Budget'!C69</f>
        <v>361602</v>
      </c>
      <c r="C69" s="362">
        <f>+B69</f>
        <v>361602</v>
      </c>
      <c r="D69" s="362"/>
      <c r="E69" s="361">
        <f>'Sources and Uses Budget'!S69</f>
        <v>100000</v>
      </c>
      <c r="F69" s="362">
        <f>+E69</f>
        <v>100000</v>
      </c>
      <c r="G69" s="362"/>
      <c r="H69" s="361">
        <f>'Sources and Uses Budget'!T69</f>
        <v>0</v>
      </c>
      <c r="I69" s="362"/>
      <c r="J69" s="362"/>
      <c r="K69" s="359"/>
    </row>
    <row r="70" spans="1:11" s="360" customFormat="1" ht="13">
      <c r="A70" s="365" t="s">
        <v>602</v>
      </c>
      <c r="B70" s="361">
        <f>'Sources and Uses Budget'!C70</f>
        <v>491602</v>
      </c>
      <c r="C70" s="361">
        <f>SUM(C64:C69)</f>
        <v>491602</v>
      </c>
      <c r="D70" s="361">
        <f>SUM(D64:D69)</f>
        <v>0</v>
      </c>
      <c r="E70" s="361">
        <f>'Sources and Uses Budget'!S70</f>
        <v>230000</v>
      </c>
      <c r="F70" s="367">
        <f>SUM(F65:F69)</f>
        <v>230000</v>
      </c>
      <c r="G70" s="367">
        <f>SUM(G65:G69)</f>
        <v>0</v>
      </c>
      <c r="H70" s="361">
        <f>'Sources and Uses Budget'!T70</f>
        <v>0</v>
      </c>
      <c r="I70" s="367">
        <f>SUM(I65:I69)</f>
        <v>0</v>
      </c>
      <c r="J70" s="367">
        <f>SUM(J65:J69)</f>
        <v>0</v>
      </c>
      <c r="K70" s="359"/>
    </row>
    <row r="71" spans="1:11" s="360" customFormat="1" ht="13">
      <c r="A71" s="357" t="s">
        <v>603</v>
      </c>
      <c r="B71" s="358"/>
      <c r="C71" s="358"/>
      <c r="D71" s="358"/>
      <c r="E71" s="358"/>
      <c r="F71" s="358"/>
      <c r="G71" s="358"/>
      <c r="H71" s="358"/>
      <c r="I71" s="358"/>
      <c r="J71" s="358"/>
      <c r="K71" s="359"/>
    </row>
    <row r="72" spans="1:11" s="360" customFormat="1" ht="13">
      <c r="A72" s="364" t="s">
        <v>604</v>
      </c>
      <c r="B72" s="361">
        <f>'Sources and Uses Budget'!C72</f>
        <v>0</v>
      </c>
      <c r="C72" s="362"/>
      <c r="D72" s="362"/>
      <c r="E72" s="363"/>
      <c r="F72" s="363"/>
      <c r="G72" s="363"/>
      <c r="H72" s="363"/>
      <c r="I72" s="363"/>
      <c r="J72" s="363"/>
      <c r="K72" s="359"/>
    </row>
    <row r="73" spans="1:11" s="360" customFormat="1" ht="13">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ht="13">
      <c r="A75" s="364" t="s">
        <v>606</v>
      </c>
      <c r="B75" s="361">
        <f>'Sources and Uses Budget'!C75</f>
        <v>422671</v>
      </c>
      <c r="C75" s="362">
        <f t="shared" ref="C75:C76" si="0">+B75</f>
        <v>422671</v>
      </c>
      <c r="D75" s="362"/>
      <c r="E75" s="363"/>
      <c r="F75" s="363"/>
      <c r="G75" s="363"/>
      <c r="H75" s="363"/>
      <c r="I75" s="363"/>
      <c r="J75" s="363"/>
      <c r="K75" s="359"/>
    </row>
    <row r="76" spans="1:11" s="360" customFormat="1" ht="13">
      <c r="A76" s="364" t="str">
        <f>'Sources and Uses Budget'!$A76</f>
        <v>Other: (Specify)</v>
      </c>
      <c r="B76" s="361">
        <f>'Sources and Uses Budget'!C76</f>
        <v>0</v>
      </c>
      <c r="C76" s="362">
        <f t="shared" si="0"/>
        <v>0</v>
      </c>
      <c r="D76" s="362"/>
      <c r="E76" s="363"/>
      <c r="F76" s="363"/>
      <c r="G76" s="363"/>
      <c r="H76" s="363"/>
      <c r="I76" s="363"/>
      <c r="J76" s="363"/>
      <c r="K76" s="359"/>
    </row>
    <row r="77" spans="1:11" s="360" customFormat="1" ht="13">
      <c r="A77" s="365" t="s">
        <v>607</v>
      </c>
      <c r="B77" s="361">
        <f>'Sources and Uses Budget'!C77</f>
        <v>422671</v>
      </c>
      <c r="C77" s="361">
        <f>SUM(C72:C76)</f>
        <v>422671</v>
      </c>
      <c r="D77" s="361">
        <f>SUM(D72:D76)</f>
        <v>0</v>
      </c>
      <c r="E77" s="363"/>
      <c r="F77" s="363"/>
      <c r="G77" s="363"/>
      <c r="H77" s="363"/>
      <c r="I77" s="363"/>
      <c r="J77" s="363"/>
      <c r="K77" s="359"/>
    </row>
    <row r="78" spans="1:11" s="360" customFormat="1" ht="13">
      <c r="A78" s="357" t="s">
        <v>1211</v>
      </c>
      <c r="B78" s="358"/>
      <c r="C78" s="358"/>
      <c r="D78" s="358"/>
      <c r="E78" s="358"/>
      <c r="F78" s="358"/>
      <c r="G78" s="358"/>
      <c r="H78" s="358"/>
      <c r="I78" s="358"/>
      <c r="J78" s="358"/>
      <c r="K78" s="359"/>
    </row>
    <row r="79" spans="1:11" s="360" customFormat="1" ht="13">
      <c r="A79" s="364" t="s">
        <v>1213</v>
      </c>
      <c r="B79" s="361">
        <f>'Sources and Uses Budget'!C79</f>
        <v>1418451</v>
      </c>
      <c r="C79" s="362">
        <f t="shared" ref="C79:C80" si="1">+B79</f>
        <v>1418451</v>
      </c>
      <c r="D79" s="362"/>
      <c r="E79" s="361">
        <f>'Sources and Uses Budget'!S79</f>
        <v>1418451</v>
      </c>
      <c r="F79" s="362">
        <f>+E79</f>
        <v>1418451</v>
      </c>
      <c r="G79" s="362"/>
      <c r="H79" s="361">
        <f>'Sources and Uses Budget'!T79</f>
        <v>0</v>
      </c>
      <c r="I79" s="362"/>
      <c r="J79" s="362"/>
      <c r="K79" s="359"/>
    </row>
    <row r="80" spans="1:11" s="360" customFormat="1" ht="13">
      <c r="A80" s="364" t="s">
        <v>58</v>
      </c>
      <c r="B80" s="361">
        <f>'Sources and Uses Budget'!C80</f>
        <v>650590</v>
      </c>
      <c r="C80" s="362">
        <f t="shared" si="1"/>
        <v>650590</v>
      </c>
      <c r="D80" s="362"/>
      <c r="E80" s="361">
        <f>'Sources and Uses Budget'!S80</f>
        <v>575590</v>
      </c>
      <c r="F80" s="362">
        <f>+E80</f>
        <v>575590</v>
      </c>
      <c r="G80" s="362"/>
      <c r="H80" s="361">
        <f>'Sources and Uses Budget'!T80</f>
        <v>0</v>
      </c>
      <c r="I80" s="362"/>
      <c r="J80" s="362"/>
      <c r="K80" s="359"/>
    </row>
    <row r="81" spans="1:11" s="360" customFormat="1" ht="13">
      <c r="A81" s="365" t="s">
        <v>1210</v>
      </c>
      <c r="B81" s="361">
        <f>'Sources and Uses Budget'!C81</f>
        <v>2069041</v>
      </c>
      <c r="C81" s="361">
        <f>SUM(C79:C80)</f>
        <v>2069041</v>
      </c>
      <c r="D81" s="361">
        <f>SUM(D79:D80)</f>
        <v>0</v>
      </c>
      <c r="E81" s="361">
        <f>'Sources and Uses Budget'!S81</f>
        <v>1994041</v>
      </c>
      <c r="F81" s="361">
        <f>SUM(F79:F80)</f>
        <v>1994041</v>
      </c>
      <c r="G81" s="361">
        <f>SUM(G79:G80)</f>
        <v>0</v>
      </c>
      <c r="H81" s="361">
        <f>'Sources and Uses Budget'!T81</f>
        <v>0</v>
      </c>
      <c r="I81" s="361">
        <f>SUM(I79:I80)</f>
        <v>0</v>
      </c>
      <c r="J81" s="361">
        <f>SUM(J79:J80)</f>
        <v>0</v>
      </c>
      <c r="K81" s="359"/>
    </row>
    <row r="82" spans="1:11" s="360" customFormat="1" ht="13">
      <c r="A82" s="357" t="s">
        <v>766</v>
      </c>
      <c r="B82" s="358"/>
      <c r="C82" s="358"/>
      <c r="D82" s="358"/>
      <c r="E82" s="358"/>
      <c r="F82" s="358"/>
      <c r="G82" s="358"/>
      <c r="H82" s="358"/>
      <c r="I82" s="358"/>
      <c r="J82" s="358"/>
      <c r="K82" s="359"/>
    </row>
    <row r="83" spans="1:11" s="360" customFormat="1" ht="14" customHeight="1">
      <c r="A83" s="145" t="s">
        <v>2095</v>
      </c>
      <c r="B83" s="361">
        <f>'Sources and Uses Budget'!C83</f>
        <v>76905</v>
      </c>
      <c r="C83" s="362">
        <f t="shared" ref="C83:C95" si="2">+B83</f>
        <v>76905</v>
      </c>
      <c r="D83" s="362"/>
      <c r="E83" s="363"/>
      <c r="F83" s="363"/>
      <c r="G83" s="363"/>
      <c r="H83" s="363"/>
      <c r="I83" s="363"/>
      <c r="J83" s="363"/>
      <c r="K83" s="359"/>
    </row>
    <row r="84" spans="1:11" s="360" customFormat="1" ht="13">
      <c r="A84" s="145" t="s">
        <v>768</v>
      </c>
      <c r="B84" s="361">
        <f>'Sources and Uses Budget'!C84</f>
        <v>112642</v>
      </c>
      <c r="C84" s="362">
        <f t="shared" si="2"/>
        <v>112642</v>
      </c>
      <c r="D84" s="362"/>
      <c r="E84" s="361">
        <f>'Sources and Uses Budget'!S84</f>
        <v>112642</v>
      </c>
      <c r="F84" s="362">
        <f>+E84</f>
        <v>112642</v>
      </c>
      <c r="G84" s="362"/>
      <c r="H84" s="361">
        <f>'Sources and Uses Budget'!T84</f>
        <v>0</v>
      </c>
      <c r="I84" s="362"/>
      <c r="J84" s="362"/>
      <c r="K84" s="359"/>
    </row>
    <row r="85" spans="1:11" s="360" customFormat="1" ht="13">
      <c r="A85" s="145" t="s">
        <v>769</v>
      </c>
      <c r="B85" s="361">
        <f>'Sources and Uses Budget'!C85</f>
        <v>1832385</v>
      </c>
      <c r="C85" s="362">
        <f t="shared" si="2"/>
        <v>1832385</v>
      </c>
      <c r="D85" s="362"/>
      <c r="E85" s="361">
        <f>'Sources and Uses Budget'!S85</f>
        <v>1832385</v>
      </c>
      <c r="F85" s="362">
        <f>+E85</f>
        <v>1832385</v>
      </c>
      <c r="G85" s="362"/>
      <c r="H85" s="361">
        <f>'Sources and Uses Budget'!T85</f>
        <v>0</v>
      </c>
      <c r="I85" s="362"/>
      <c r="J85" s="362"/>
      <c r="K85" s="359"/>
    </row>
    <row r="86" spans="1:11" s="360" customFormat="1" ht="13">
      <c r="A86" s="145" t="s">
        <v>770</v>
      </c>
      <c r="B86" s="361">
        <f>'Sources and Uses Budget'!C86</f>
        <v>283928</v>
      </c>
      <c r="C86" s="362">
        <f t="shared" si="2"/>
        <v>283928</v>
      </c>
      <c r="D86" s="362"/>
      <c r="E86" s="361">
        <f>'Sources and Uses Budget'!S86</f>
        <v>283928</v>
      </c>
      <c r="F86" s="362">
        <f>+E86</f>
        <v>283928</v>
      </c>
      <c r="G86" s="362"/>
      <c r="H86" s="361">
        <f>'Sources and Uses Budget'!T86</f>
        <v>0</v>
      </c>
      <c r="I86" s="362"/>
      <c r="J86" s="362"/>
      <c r="K86" s="359"/>
    </row>
    <row r="87" spans="1:11" s="360" customFormat="1" ht="13">
      <c r="A87" s="145" t="s">
        <v>771</v>
      </c>
      <c r="B87" s="361">
        <f>'Sources and Uses Budget'!C87</f>
        <v>0</v>
      </c>
      <c r="C87" s="362">
        <f t="shared" si="2"/>
        <v>0</v>
      </c>
      <c r="D87" s="362"/>
      <c r="E87" s="361">
        <f>'Sources and Uses Budget'!S87</f>
        <v>0</v>
      </c>
      <c r="F87" s="362"/>
      <c r="G87" s="362"/>
      <c r="H87" s="361">
        <f>'Sources and Uses Budget'!T87</f>
        <v>0</v>
      </c>
      <c r="I87" s="362"/>
      <c r="J87" s="362"/>
      <c r="K87" s="359"/>
    </row>
    <row r="88" spans="1:11" s="360" customFormat="1" ht="13">
      <c r="A88" s="145" t="s">
        <v>772</v>
      </c>
      <c r="B88" s="361">
        <f>'Sources and Uses Budget'!C88</f>
        <v>125000</v>
      </c>
      <c r="C88" s="362">
        <f t="shared" si="2"/>
        <v>125000</v>
      </c>
      <c r="D88" s="362"/>
      <c r="E88" s="363"/>
      <c r="F88" s="363"/>
      <c r="G88" s="363"/>
      <c r="H88" s="363"/>
      <c r="I88" s="363"/>
      <c r="J88" s="363"/>
      <c r="K88" s="359"/>
    </row>
    <row r="89" spans="1:11" s="360" customFormat="1" ht="13">
      <c r="A89" s="145" t="s">
        <v>773</v>
      </c>
      <c r="B89" s="361">
        <f>'Sources and Uses Budget'!C89</f>
        <v>150000</v>
      </c>
      <c r="C89" s="362">
        <f t="shared" si="2"/>
        <v>150000</v>
      </c>
      <c r="D89" s="362"/>
      <c r="E89" s="361">
        <f>'Sources and Uses Budget'!S89</f>
        <v>150000</v>
      </c>
      <c r="F89" s="362">
        <f>+E89</f>
        <v>150000</v>
      </c>
      <c r="G89" s="362"/>
      <c r="H89" s="361">
        <f>'Sources and Uses Budget'!T89</f>
        <v>0</v>
      </c>
      <c r="I89" s="362"/>
      <c r="J89" s="362"/>
      <c r="K89" s="359"/>
    </row>
    <row r="90" spans="1:11" s="360" customFormat="1" ht="13">
      <c r="A90" s="145" t="s">
        <v>774</v>
      </c>
      <c r="B90" s="361">
        <f>'Sources and Uses Budget'!C90</f>
        <v>8500</v>
      </c>
      <c r="C90" s="362">
        <f t="shared" si="2"/>
        <v>8500</v>
      </c>
      <c r="D90" s="362"/>
      <c r="E90" s="361">
        <f>'Sources and Uses Budget'!S90</f>
        <v>8500</v>
      </c>
      <c r="F90" s="362">
        <f>+E90</f>
        <v>8500</v>
      </c>
      <c r="G90" s="362"/>
      <c r="H90" s="361">
        <f>'Sources and Uses Budget'!T90</f>
        <v>0</v>
      </c>
      <c r="I90" s="362"/>
      <c r="J90" s="362"/>
      <c r="K90" s="359"/>
    </row>
    <row r="91" spans="1:11" s="360" customFormat="1" ht="13">
      <c r="A91" s="155" t="s">
        <v>372</v>
      </c>
      <c r="B91" s="361">
        <f>'Sources and Uses Budget'!C91</f>
        <v>35000</v>
      </c>
      <c r="C91" s="362">
        <f t="shared" si="2"/>
        <v>35000</v>
      </c>
      <c r="D91" s="362"/>
      <c r="E91" s="361">
        <f>'Sources and Uses Budget'!S91</f>
        <v>5000</v>
      </c>
      <c r="F91" s="362">
        <f>+E91</f>
        <v>5000</v>
      </c>
      <c r="G91" s="362"/>
      <c r="H91" s="361">
        <f>'Sources and Uses Budget'!T91</f>
        <v>0</v>
      </c>
      <c r="I91" s="362"/>
      <c r="J91" s="362"/>
      <c r="K91" s="359"/>
    </row>
    <row r="92" spans="1:11" s="360" customFormat="1" ht="13">
      <c r="A92" s="508" t="s">
        <v>1212</v>
      </c>
      <c r="B92" s="361">
        <f>'Sources and Uses Budget'!C92</f>
        <v>7500</v>
      </c>
      <c r="C92" s="362">
        <f t="shared" si="2"/>
        <v>7500</v>
      </c>
      <c r="D92" s="362"/>
      <c r="E92" s="361">
        <f>'Sources and Uses Budget'!S92</f>
        <v>0</v>
      </c>
      <c r="F92" s="362"/>
      <c r="G92" s="362"/>
      <c r="H92" s="361">
        <f>'Sources and Uses Budget'!T92</f>
        <v>0</v>
      </c>
      <c r="I92" s="362"/>
      <c r="J92" s="362"/>
      <c r="K92" s="359"/>
    </row>
    <row r="93" spans="1:11" s="360" customFormat="1" ht="13">
      <c r="A93" s="364" t="str">
        <f>'Sources and Uses Budget'!$A93</f>
        <v>Rate CAP Fee</v>
      </c>
      <c r="B93" s="361">
        <f>'Sources and Uses Budget'!C93</f>
        <v>400000</v>
      </c>
      <c r="C93" s="362">
        <f t="shared" si="2"/>
        <v>400000</v>
      </c>
      <c r="D93" s="362"/>
      <c r="E93" s="361">
        <f>'Sources and Uses Budget'!S93</f>
        <v>260000</v>
      </c>
      <c r="F93" s="362">
        <f>+E93</f>
        <v>260000</v>
      </c>
      <c r="G93" s="362"/>
      <c r="H93" s="361">
        <f>'Sources and Uses Budget'!T93</f>
        <v>0</v>
      </c>
      <c r="I93" s="362"/>
      <c r="J93" s="362"/>
      <c r="K93" s="359"/>
    </row>
    <row r="94" spans="1:11" s="360" customFormat="1" ht="13">
      <c r="A94" s="364" t="str">
        <f>'Sources and Uses Budget'!$A94</f>
        <v>Feasibility Studies</v>
      </c>
      <c r="B94" s="361">
        <f>'Sources and Uses Budget'!C94</f>
        <v>5000</v>
      </c>
      <c r="C94" s="362">
        <f t="shared" si="2"/>
        <v>5000</v>
      </c>
      <c r="D94" s="362"/>
      <c r="E94" s="361">
        <f>'Sources and Uses Budget'!S94</f>
        <v>5000</v>
      </c>
      <c r="F94" s="362">
        <f>+E94</f>
        <v>5000</v>
      </c>
      <c r="G94" s="362"/>
      <c r="H94" s="361">
        <f>'Sources and Uses Budget'!T94</f>
        <v>0</v>
      </c>
      <c r="I94" s="362"/>
      <c r="J94" s="362"/>
      <c r="K94" s="359"/>
    </row>
    <row r="95" spans="1:11" s="360" customFormat="1" ht="13">
      <c r="A95" s="364" t="str">
        <f>'Sources and Uses Budget'!$A95</f>
        <v xml:space="preserve">Broker Fees </v>
      </c>
      <c r="B95" s="361">
        <f>'Sources and Uses Budget'!C95</f>
        <v>276000</v>
      </c>
      <c r="C95" s="362">
        <f t="shared" si="2"/>
        <v>276000</v>
      </c>
      <c r="D95" s="362"/>
      <c r="E95" s="361">
        <f>'Sources and Uses Budget'!S95</f>
        <v>0</v>
      </c>
      <c r="F95" s="362"/>
      <c r="G95" s="362"/>
      <c r="H95" s="361">
        <f>'Sources and Uses Budget'!T95</f>
        <v>0</v>
      </c>
      <c r="I95" s="362"/>
      <c r="J95" s="362"/>
      <c r="K95" s="359"/>
    </row>
    <row r="96" spans="1:11" s="360" customFormat="1" ht="13">
      <c r="A96" s="365" t="s">
        <v>775</v>
      </c>
      <c r="B96" s="361">
        <f>'Sources and Uses Budget'!C96</f>
        <v>3312860</v>
      </c>
      <c r="C96" s="361">
        <f>SUM(C83:C95)</f>
        <v>3312860</v>
      </c>
      <c r="D96" s="361">
        <f>SUM(D83:D95)</f>
        <v>0</v>
      </c>
      <c r="E96" s="361">
        <f>'Sources and Uses Budget'!S96</f>
        <v>2657455</v>
      </c>
      <c r="F96" s="367">
        <f>SUM(F84:F87,F89:F95)</f>
        <v>2657455</v>
      </c>
      <c r="G96" s="367">
        <f>SUM(G84:G87,G89:G95)</f>
        <v>0</v>
      </c>
      <c r="H96" s="361">
        <f>'Sources and Uses Budget'!T96</f>
        <v>0</v>
      </c>
      <c r="I96" s="361">
        <f>SUM(I84:I87,I89:I95)</f>
        <v>0</v>
      </c>
      <c r="J96" s="361">
        <f>SUM(J84:J87,J89:J95)</f>
        <v>0</v>
      </c>
      <c r="K96" s="359"/>
    </row>
    <row r="97" spans="1:11" s="360" customFormat="1" ht="13">
      <c r="A97" s="365" t="s">
        <v>1030</v>
      </c>
      <c r="B97" s="361">
        <f>'Sources and Uses Budget'!C97</f>
        <v>39417076</v>
      </c>
      <c r="C97" s="361">
        <f>SUM(C63+C70+C77+C81+C96)</f>
        <v>39355506</v>
      </c>
      <c r="D97" s="361">
        <f>SUM(D63+D70+D77+D81+D96)</f>
        <v>0</v>
      </c>
      <c r="E97" s="361">
        <f>'Sources and Uses Budget'!S97</f>
        <v>36116974.5</v>
      </c>
      <c r="F97" s="367">
        <f>SUM(+F63+F70+F81+F96)</f>
        <v>36116974.5</v>
      </c>
      <c r="G97" s="367">
        <f>SUM(+G63+G70+G81+G96)</f>
        <v>0</v>
      </c>
      <c r="H97" s="361">
        <f>'Sources and Uses Budget'!T97</f>
        <v>0</v>
      </c>
      <c r="I97" s="367">
        <f>SUM(I63+I70+I81+I96)</f>
        <v>0</v>
      </c>
      <c r="J97" s="367">
        <f>SUM(J63+J70+J81+J96)</f>
        <v>0</v>
      </c>
      <c r="K97" s="359"/>
    </row>
    <row r="98" spans="1:11" s="360" customFormat="1" ht="13">
      <c r="A98" s="357" t="s">
        <v>777</v>
      </c>
      <c r="B98" s="358"/>
      <c r="C98" s="358"/>
      <c r="D98" s="358"/>
      <c r="E98" s="358"/>
      <c r="F98" s="358"/>
      <c r="G98" s="358"/>
      <c r="H98" s="358"/>
      <c r="I98" s="358"/>
      <c r="J98" s="358"/>
      <c r="K98" s="359"/>
    </row>
    <row r="99" spans="1:11" s="360" customFormat="1" ht="13">
      <c r="A99" s="145" t="s">
        <v>778</v>
      </c>
      <c r="B99" s="361">
        <f>'Sources and Uses Budget'!C99</f>
        <v>5417546</v>
      </c>
      <c r="C99" s="362">
        <f>+B99</f>
        <v>5417546</v>
      </c>
      <c r="D99" s="362"/>
      <c r="E99" s="361">
        <f>'Sources and Uses Budget'!S99</f>
        <v>5417546</v>
      </c>
      <c r="F99" s="362">
        <f>+E99</f>
        <v>5417546</v>
      </c>
      <c r="G99" s="362"/>
      <c r="H99" s="361">
        <f>'Sources and Uses Budget'!T99</f>
        <v>0</v>
      </c>
      <c r="I99" s="362"/>
      <c r="J99" s="362"/>
      <c r="K99" s="359"/>
    </row>
    <row r="100" spans="1:11" s="360" customFormat="1" ht="13">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780</v>
      </c>
      <c r="B104" s="361">
        <f>'Sources and Uses Budget'!C104</f>
        <v>5417546</v>
      </c>
      <c r="C104" s="361">
        <f>SUM(C99:C103)</f>
        <v>5417546</v>
      </c>
      <c r="D104" s="361">
        <f>SUM(D99:D103)</f>
        <v>0</v>
      </c>
      <c r="E104" s="361">
        <f>'Sources and Uses Budget'!S104</f>
        <v>5417546</v>
      </c>
      <c r="F104" s="367">
        <f>SUM(F99:F103)</f>
        <v>5417546</v>
      </c>
      <c r="G104" s="367">
        <f>SUM(G99:G103)</f>
        <v>0</v>
      </c>
      <c r="H104" s="361">
        <f>'Sources and Uses Budget'!T104</f>
        <v>0</v>
      </c>
      <c r="I104" s="367">
        <f>SUM(I99:I103)</f>
        <v>0</v>
      </c>
      <c r="J104" s="367">
        <f>SUM(J99:J103)</f>
        <v>0</v>
      </c>
      <c r="K104" s="359"/>
    </row>
    <row r="105" spans="1:11" s="360" customFormat="1" ht="13">
      <c r="A105" s="365" t="s">
        <v>1031</v>
      </c>
      <c r="B105" s="361">
        <f>'Sources and Uses Budget'!C105</f>
        <v>44834622</v>
      </c>
      <c r="C105" s="367">
        <f>SUM(C97+C104)</f>
        <v>44773052</v>
      </c>
      <c r="D105" s="367">
        <f>SUM(D97+D104)</f>
        <v>0</v>
      </c>
      <c r="E105" s="361">
        <f>'Sources and Uses Budget'!S105</f>
        <v>41534520.5</v>
      </c>
      <c r="F105" s="367">
        <f>F97+F104</f>
        <v>41534520.5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41534520.5</v>
      </c>
      <c r="F107" s="367">
        <f>F105+F106</f>
        <v>41534520.5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3">
      <c r="A125" s="385"/>
      <c r="B125" s="384"/>
      <c r="C125" s="385"/>
      <c r="D125" s="1312"/>
      <c r="E125" s="1312"/>
      <c r="F125" s="1312"/>
      <c r="G125" s="1312"/>
      <c r="H125" s="1312"/>
      <c r="I125" s="1312"/>
      <c r="J125" s="376"/>
      <c r="K125" s="359"/>
    </row>
    <row r="126" spans="1:11" s="360" customFormat="1" ht="13">
      <c r="A126" s="385"/>
      <c r="B126" s="384"/>
      <c r="C126" s="385"/>
      <c r="D126" s="1312"/>
      <c r="E126" s="1312"/>
      <c r="F126" s="1312"/>
      <c r="G126" s="1312"/>
      <c r="H126" s="1312"/>
      <c r="I126" s="1312"/>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97" workbookViewId="0">
      <selection activeCell="B52" sqref="B52:I52"/>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33203125" style="1256" customWidth="1"/>
    <col min="72" max="76" width="5.5" style="1256" customWidth="1"/>
    <col min="77" max="77" width="6.33203125" style="1256" bestFit="1" customWidth="1"/>
    <col min="78" max="78" width="5.5" style="1187" bestFit="1" customWidth="1"/>
    <col min="79" max="16384" width="2.664062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5th Ave &amp; Robinson</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Rise Urban Partners, LLC</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6"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3">
        <f>Application!AO627</f>
        <v>12456000</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6" thickBot="1">
      <c r="A13" s="1190"/>
      <c r="B13" s="1891" t="s">
        <v>2440</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12</v>
      </c>
      <c r="AP13" s="1899"/>
      <c r="AQ13" s="1899"/>
      <c r="AR13" s="1899"/>
      <c r="AS13" s="1899"/>
      <c r="AT13" s="1193"/>
      <c r="AU13" s="1193"/>
      <c r="AV13" s="1193"/>
      <c r="AW13" s="1193"/>
      <c r="AX13" s="1193"/>
      <c r="AY13" s="1193"/>
      <c r="AZ13" s="1193"/>
      <c r="BA13" s="1193"/>
      <c r="BB13" s="1193"/>
      <c r="BC13" s="1193"/>
      <c r="BD13" s="1193"/>
      <c r="BE13" s="1194"/>
      <c r="BM13" s="1187" t="s">
        <v>2438</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6"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9</v>
      </c>
      <c r="K19" s="1923"/>
      <c r="L19" s="1923"/>
      <c r="M19" s="1923"/>
      <c r="N19" s="1923"/>
      <c r="O19" s="1924"/>
      <c r="P19" s="1922" cm="1">
        <f t="array" ref="P19">SUMPRODUCT((Application!$B$718:$B$752 = 'CalHFA Addendum'!P$18)*(Application!$AC$718:$AC$752 = 'CalHFA Addendum'!$B19),Application!$G$718:$G$752)</f>
        <v>2</v>
      </c>
      <c r="Q19" s="1923"/>
      <c r="R19" s="1923"/>
      <c r="S19" s="1923"/>
      <c r="T19" s="1923"/>
      <c r="U19" s="1924"/>
      <c r="V19" s="1922" cm="1">
        <f t="array" ref="V19">SUMPRODUCT((Application!$B$714:$B$738 = 'CalHFA Addendum'!V$18)*(Application!$AC$714:$AC$738 = 'CalHFA Addendum'!$B19),Application!$G$714:$G$738)</f>
        <v>3</v>
      </c>
      <c r="W19" s="1923"/>
      <c r="X19" s="1923"/>
      <c r="Y19" s="1923"/>
      <c r="Z19" s="1923"/>
      <c r="AA19" s="1924"/>
      <c r="AB19" s="1922" cm="1">
        <f t="array" ref="AB19">SUMPRODUCT((Application!$B$714:$B$738 = 'CalHFA Addendum'!AB$18)*(Application!$AC$714:$AC$738 = 'CalHFA Addendum'!$B19),Application!$G$714:$G$738)</f>
        <v>2</v>
      </c>
      <c r="AC19" s="1923"/>
      <c r="AD19" s="1923"/>
      <c r="AE19" s="1923"/>
      <c r="AF19" s="1923"/>
      <c r="AG19" s="1924"/>
      <c r="AH19" s="1922" cm="1">
        <f t="array" ref="AH19">SUMPRODUCT((Application!$B$714:$B$738 = 'CalHFA Addendum'!AH$18)*(Application!$AC$714:$AC$738 = 'CalHFA Addendum'!$B19),Application!$G$714:$G$738)</f>
        <v>2</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0.11538461538461539</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35</v>
      </c>
      <c r="K21" s="1923"/>
      <c r="L21" s="1923"/>
      <c r="M21" s="1923"/>
      <c r="N21" s="1923"/>
      <c r="O21" s="1924"/>
      <c r="P21" s="1922" cm="1">
        <f t="array" ref="P21">SUMPRODUCT((Application!$B$714:$B$738 = 'CalHFA Addendum'!P$18)*(Application!$AC$714:$AC$738 = 'CalHFA Addendum'!$B21),Application!$G$714:$G$738)</f>
        <v>4</v>
      </c>
      <c r="Q21" s="1923"/>
      <c r="R21" s="1923"/>
      <c r="S21" s="1923"/>
      <c r="T21" s="1923"/>
      <c r="U21" s="1924"/>
      <c r="V21" s="1922" cm="1">
        <f t="array" ref="V21">SUMPRODUCT((Application!$B$714:$B$738 = 'CalHFA Addendum'!V$18)*(Application!$AC$714:$AC$738 = 'CalHFA Addendum'!$B21),Application!$G$714:$G$738)</f>
        <v>12</v>
      </c>
      <c r="W21" s="1923"/>
      <c r="X21" s="1923"/>
      <c r="Y21" s="1923"/>
      <c r="Z21" s="1923"/>
      <c r="AA21" s="1924"/>
      <c r="AB21" s="1922" cm="1">
        <f t="array" ref="AB21">SUMPRODUCT((Application!$B$714:$B$738 = 'CalHFA Addendum'!AB$18)*(Application!$AC$714:$AC$738 = 'CalHFA Addendum'!$B21),Application!$G$714:$G$738)</f>
        <v>16</v>
      </c>
      <c r="AC21" s="1923"/>
      <c r="AD21" s="1923"/>
      <c r="AE21" s="1923"/>
      <c r="AF21" s="1923"/>
      <c r="AG21" s="1924"/>
      <c r="AH21" s="1922" cm="1">
        <f t="array" ref="AH21">SUMPRODUCT((Application!$B$714:$B$738 = 'CalHFA Addendum'!AH$18)*(Application!$AC$714:$AC$738 = 'CalHFA Addendum'!$B21),Application!$G$714:$G$738)</f>
        <v>3</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0.44871794871794873</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7</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2</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5</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8.9743589743589744E-2</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26</v>
      </c>
      <c r="K24" s="1923"/>
      <c r="L24" s="1923"/>
      <c r="M24" s="1923"/>
      <c r="N24" s="1923"/>
      <c r="O24" s="1924"/>
      <c r="P24" s="1922" cm="1">
        <f t="array" ref="P24">SUMPRODUCT((Application!$B$714:$B$738 = 'CalHFA Addendum'!P$18)*(Application!$AC$714:$AC$738 = 'CalHFA Addendum'!$B24),Application!$G$714:$G$738)</f>
        <v>6</v>
      </c>
      <c r="Q24" s="1923"/>
      <c r="R24" s="1923"/>
      <c r="S24" s="1923"/>
      <c r="T24" s="1923"/>
      <c r="U24" s="1924"/>
      <c r="V24" s="1922" cm="1">
        <f t="array" ref="V24">SUMPRODUCT((Application!$B$714:$B$738 = 'CalHFA Addendum'!V$18)*(Application!$AC$714:$AC$738 = 'CalHFA Addendum'!$B24),Application!$G$714:$G$738)</f>
        <v>12</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8</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0.33333333333333331</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6" thickBot="1">
      <c r="A28" s="1190"/>
      <c r="B28" s="1931" t="s">
        <v>2431</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1</v>
      </c>
      <c r="W28" s="1935"/>
      <c r="X28" s="1935"/>
      <c r="Y28" s="1935"/>
      <c r="Z28" s="1935"/>
      <c r="AA28" s="1936"/>
      <c r="AB28" s="1934">
        <f>_xlfn.IFNA(VLOOKUP(AB$18,Application!$J$773:$S$776,6,FALSE), 0)</f>
        <v>0</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1.282051282051282E-2</v>
      </c>
      <c r="AU28" s="1938"/>
      <c r="AV28" s="1938"/>
      <c r="AW28" s="1938"/>
      <c r="AX28" s="1938"/>
      <c r="AY28" s="1939"/>
      <c r="AZ28" s="1190"/>
      <c r="BA28" s="1190"/>
      <c r="BB28" s="1190"/>
      <c r="BC28" s="1190"/>
      <c r="BD28" s="1190"/>
      <c r="BE28" s="1194"/>
    </row>
    <row r="29" spans="1:58" ht="16" thickBot="1">
      <c r="A29" s="1190"/>
      <c r="B29" s="1968" t="s">
        <v>1587</v>
      </c>
      <c r="C29" s="1941"/>
      <c r="D29" s="1941"/>
      <c r="E29" s="1941"/>
      <c r="F29" s="1941"/>
      <c r="G29" s="1941"/>
      <c r="H29" s="1941"/>
      <c r="I29" s="1942"/>
      <c r="J29" s="1940">
        <f>SUM(J19:O28)</f>
        <v>78</v>
      </c>
      <c r="K29" s="1941"/>
      <c r="L29" s="1941"/>
      <c r="M29" s="1941"/>
      <c r="N29" s="1941"/>
      <c r="O29" s="1942"/>
      <c r="P29" s="1940">
        <f>SUM(P19:U28)</f>
        <v>12</v>
      </c>
      <c r="Q29" s="1941"/>
      <c r="R29" s="1941"/>
      <c r="S29" s="1941"/>
      <c r="T29" s="1941"/>
      <c r="U29" s="1942"/>
      <c r="V29" s="1940">
        <f>SUM(V19:AA28)</f>
        <v>30</v>
      </c>
      <c r="W29" s="1941"/>
      <c r="X29" s="1941"/>
      <c r="Y29" s="1941"/>
      <c r="Z29" s="1941"/>
      <c r="AA29" s="1942"/>
      <c r="AB29" s="1940">
        <f>SUM(AB19:AG28)</f>
        <v>18</v>
      </c>
      <c r="AC29" s="1941"/>
      <c r="AD29" s="1941"/>
      <c r="AE29" s="1941"/>
      <c r="AF29" s="1941"/>
      <c r="AG29" s="1942"/>
      <c r="AH29" s="1940">
        <f>SUM(AH19:AM28)</f>
        <v>18</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6"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 xml:space="preserve">Interfaith Development Corporation </v>
      </c>
      <c r="BR96" s="1259">
        <f>Application!AH246</f>
        <v>0</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Interfaith Housing Assistance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46016622</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589956.69230769225</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2116313</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67500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2183813</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561959.08974358975</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9" sqref="AB59:AF59"/>
    </sheetView>
  </sheetViews>
  <sheetFormatPr baseColWidth="10" defaultColWidth="0" defaultRowHeight="13.25" customHeight="1"/>
  <cols>
    <col min="1" max="1" width="1.5" style="402" customWidth="1"/>
    <col min="2" max="2" width="0.66406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66406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66406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66406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66406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66406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66406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66406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66406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66406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66406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66406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66406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66406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66406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66406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66406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66406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66406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66406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66406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66406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66406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66406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66406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66406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66406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66406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66406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66406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66406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66406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66406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66406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66406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66406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66406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66406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66406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66406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66406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66406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66406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66406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66406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66406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66406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66406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66406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66406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66406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66406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66406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66406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66406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66406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66406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66406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66406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66406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66406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66406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66406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66406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25"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2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2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25" customHeight="1">
      <c r="A4" s="404"/>
    </row>
    <row r="5" spans="1:40" ht="13.25" customHeight="1">
      <c r="A5" s="404" t="s">
        <v>319</v>
      </c>
      <c r="C5" s="404" t="s">
        <v>122</v>
      </c>
      <c r="F5" s="404"/>
    </row>
    <row r="6" spans="1:40" ht="13.25" customHeight="1">
      <c r="A6" s="404"/>
      <c r="C6" s="402" t="s">
        <v>1239</v>
      </c>
    </row>
    <row r="7" spans="1:40" ht="13.2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2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2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2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2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41534520.5</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25"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25"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25"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25"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25"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25"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25" customHeight="1">
      <c r="A18"/>
      <c r="B18" s="1150"/>
      <c r="C18" s="1810" t="s">
        <v>961</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25" customHeight="1">
      <c r="B19" s="1150"/>
      <c r="C19" s="1810" t="s">
        <v>961</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25"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25"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25"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25"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41534520.5</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25"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72127754.579999998</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25"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25"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53994876.649999999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2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25"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53994876.649999999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25"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53994876.649999999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25"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25"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2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25" customHeight="1">
      <c r="A34" s="404" t="s">
        <v>577</v>
      </c>
      <c r="C34" s="404" t="s">
        <v>569</v>
      </c>
    </row>
    <row r="35" spans="1:76" ht="13.2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3.25" customHeight="1">
      <c r="B36" s="407"/>
      <c r="X36" s="412"/>
      <c r="Y36" s="2358"/>
      <c r="Z36" s="2358"/>
      <c r="AA36" s="2358"/>
      <c r="AB36" s="2358"/>
      <c r="AC36" s="2358"/>
      <c r="AD36" s="2378"/>
      <c r="AE36" s="2378"/>
      <c r="AF36" s="2378"/>
      <c r="AG36" s="2378"/>
      <c r="AH36" s="2378"/>
    </row>
    <row r="37" spans="1:76" ht="13.2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25"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53994876.649999999</v>
      </c>
      <c r="Z38" s="2331"/>
      <c r="AA38" s="2331"/>
      <c r="AB38" s="2331"/>
      <c r="AC38" s="2331"/>
      <c r="AD38" s="2331">
        <f>IF(T24&gt;=(T23+Y23+AD23+AI23),AD28+AI28,0)</f>
        <v>0</v>
      </c>
      <c r="AE38" s="2331"/>
      <c r="AF38" s="2331"/>
      <c r="AG38" s="2331"/>
      <c r="AH38" s="2331"/>
    </row>
    <row r="39" spans="1:76" ht="13.25"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25"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2159795</v>
      </c>
      <c r="Z40" s="2331"/>
      <c r="AA40" s="2331"/>
      <c r="AB40" s="2331"/>
      <c r="AC40" s="2331"/>
      <c r="AD40" s="2330">
        <f>ROUND(AD38*AD39,0)</f>
        <v>0</v>
      </c>
      <c r="AE40" s="2331"/>
      <c r="AF40" s="2331"/>
      <c r="AG40" s="2331"/>
      <c r="AH40" s="2331"/>
    </row>
    <row r="41" spans="1:76" ht="13.2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2159795</v>
      </c>
      <c r="Z41" s="2333"/>
      <c r="AA41" s="2333"/>
      <c r="AB41" s="2333"/>
      <c r="AC41" s="2333"/>
      <c r="AD41" s="2333"/>
      <c r="AE41" s="2333"/>
      <c r="AF41" s="2333"/>
      <c r="AG41" s="2333"/>
      <c r="AH41" s="2330"/>
    </row>
    <row r="42" spans="1:76" ht="13.2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2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25"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25" customHeight="1" thickTop="1"/>
    <row r="46" spans="1:76" ht="13.25" customHeight="1">
      <c r="A46" s="404" t="s">
        <v>587</v>
      </c>
      <c r="C46" s="404" t="s">
        <v>282</v>
      </c>
    </row>
    <row r="47" spans="1:76" ht="13.25" customHeight="1">
      <c r="D47" s="404" t="s">
        <v>283</v>
      </c>
      <c r="AB47" s="2347">
        <f>'Sources and Uses Budget'!B105-MAX(IF('Sources and Uses Budget'!B15="",0,'Sources and Uses Budget'!B15),IF(Application!AG394="",0,Application!AG394))</f>
        <v>46016622</v>
      </c>
      <c r="AC47" s="2348"/>
      <c r="AD47" s="2348"/>
      <c r="AE47" s="2348"/>
      <c r="AF47" s="2349"/>
    </row>
    <row r="48" spans="1:76" ht="13.25" customHeight="1">
      <c r="D48" s="404" t="s">
        <v>21</v>
      </c>
      <c r="AB48" s="2347">
        <f>Application!AO639-MAX(IF('Sources and Uses Budget'!B15="",0,'Sources and Uses Budget'!B15),IF(Application!AG394="",0,Application!AG394))</f>
        <v>28167116</v>
      </c>
      <c r="AC48" s="2348"/>
      <c r="AD48" s="2348"/>
      <c r="AE48" s="2348"/>
      <c r="AF48" s="2349"/>
    </row>
    <row r="49" spans="1:76" ht="13.25" customHeight="1">
      <c r="D49" s="404" t="s">
        <v>91</v>
      </c>
      <c r="AB49" s="2347">
        <f>AB47-AB48</f>
        <v>17849506</v>
      </c>
      <c r="AC49" s="2348"/>
      <c r="AD49" s="2348"/>
      <c r="AE49" s="2348"/>
      <c r="AF49" s="2349"/>
    </row>
    <row r="50" spans="1:76" ht="13.25" customHeight="1">
      <c r="D50" s="404" t="s">
        <v>682</v>
      </c>
      <c r="AA50" s="415"/>
      <c r="AB50" s="2374">
        <v>0.83</v>
      </c>
      <c r="AC50" s="2375"/>
      <c r="AD50" s="2375"/>
      <c r="AE50" s="2375"/>
      <c r="AF50" s="2376"/>
    </row>
    <row r="51" spans="1:76" s="417" customFormat="1" ht="13.25" customHeight="1">
      <c r="A51" s="402"/>
      <c r="B51" s="402"/>
      <c r="C51" s="402"/>
      <c r="D51" s="402"/>
      <c r="E51" s="2377" t="s">
        <v>2612</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2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2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25" customHeight="1">
      <c r="D54" s="404" t="s">
        <v>332</v>
      </c>
      <c r="AB54" s="2347">
        <f>ROUND(IF(ISERROR((AB49/AB50)),0,(AB49/AB50)),0)</f>
        <v>21505429</v>
      </c>
      <c r="AC54" s="2348"/>
      <c r="AD54" s="2348"/>
      <c r="AE54" s="2348"/>
      <c r="AF54" s="2349"/>
    </row>
    <row r="55" spans="1:76" ht="13.25" customHeight="1">
      <c r="D55" s="404" t="s">
        <v>333</v>
      </c>
      <c r="AB55" s="2347">
        <f>(AB54/10)</f>
        <v>2150542.9</v>
      </c>
      <c r="AC55" s="2348"/>
      <c r="AD55" s="2348"/>
      <c r="AE55" s="2348"/>
      <c r="AF55" s="2349"/>
    </row>
    <row r="56" spans="1:76" ht="13.25" customHeight="1">
      <c r="D56" s="404" t="s">
        <v>757</v>
      </c>
      <c r="AB56" s="2347">
        <f>ROUND((IF((Y41&lt;AB55),Y41,AB55)),0)</f>
        <v>2150543</v>
      </c>
      <c r="AC56" s="2348"/>
      <c r="AD56" s="2348"/>
      <c r="AE56" s="2348"/>
      <c r="AF56" s="2349"/>
    </row>
    <row r="57" spans="1:76" ht="13.25" customHeight="1">
      <c r="D57" s="404" t="s">
        <v>756</v>
      </c>
      <c r="AB57" s="2347">
        <f>ROUND((10*AB56*AB50),0)</f>
        <v>17849507</v>
      </c>
      <c r="AC57" s="2348"/>
      <c r="AD57" s="2348"/>
      <c r="AE57" s="2348"/>
      <c r="AF57" s="2349"/>
    </row>
    <row r="58" spans="1:76" ht="13.25" customHeight="1">
      <c r="D58" s="404"/>
      <c r="AB58" s="423"/>
      <c r="AC58" s="423"/>
      <c r="AD58" s="423"/>
      <c r="AE58" s="423"/>
      <c r="AF58" s="423"/>
    </row>
    <row r="59" spans="1:76" ht="13.25" customHeight="1">
      <c r="D59" s="404" t="s">
        <v>755</v>
      </c>
      <c r="AB59" s="2370">
        <f>AB49-AB57</f>
        <v>-1</v>
      </c>
      <c r="AC59" s="2370"/>
      <c r="AD59" s="2370"/>
      <c r="AE59" s="2370"/>
      <c r="AF59" s="2370"/>
    </row>
    <row r="60" spans="1:76" ht="13.25" customHeight="1">
      <c r="D60" s="404"/>
      <c r="AB60" s="423"/>
      <c r="AC60" s="423"/>
      <c r="AD60" s="423"/>
      <c r="AE60" s="423"/>
      <c r="AF60" s="423"/>
    </row>
    <row r="61" spans="1:76" s="204" customFormat="1" ht="13.2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25" customHeight="1" thickTop="1"/>
    <row r="63" spans="1:76" ht="13.25" customHeight="1">
      <c r="A63" s="404" t="s">
        <v>590</v>
      </c>
      <c r="C63" s="205" t="s">
        <v>1249</v>
      </c>
      <c r="Y63" s="2371" t="s">
        <v>985</v>
      </c>
      <c r="Z63" s="2371"/>
      <c r="AA63" s="2371"/>
      <c r="AB63" s="2371"/>
      <c r="AC63" s="2371"/>
      <c r="AD63" s="2371" t="s">
        <v>369</v>
      </c>
      <c r="AE63" s="2371"/>
      <c r="AF63" s="2371"/>
      <c r="AG63" s="2371"/>
      <c r="AH63" s="2371"/>
    </row>
    <row r="64" spans="1:76" ht="13.2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41534520.5</v>
      </c>
      <c r="Z64" s="2372"/>
      <c r="AA64" s="2372"/>
      <c r="AB64" s="2372"/>
      <c r="AC64" s="2373"/>
      <c r="AD64" s="2332">
        <f>IF(AND(OR(Application!D211="At-Risk",Application!D211="At-Risk and Special Needs"),Application!M358="yes"),AD28+AI28,0)</f>
        <v>0</v>
      </c>
      <c r="AE64" s="2372"/>
      <c r="AF64" s="2372"/>
      <c r="AG64" s="2372"/>
      <c r="AH64" s="2373"/>
    </row>
    <row r="65" spans="1:36" ht="13.2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2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0.13</v>
      </c>
      <c r="Z67" s="2385"/>
      <c r="AA67" s="2385"/>
      <c r="AB67" s="2385"/>
      <c r="AC67" s="2385"/>
      <c r="AD67" s="2385">
        <f>IF(Application!Z205="15% set-aside with qualifying low value rehab", 0.95,IF(OR(Application!D211="At-Risk",'Points System'!B13="Yes"),0.13,0))</f>
        <v>0</v>
      </c>
      <c r="AE67" s="2385"/>
      <c r="AF67" s="2385"/>
      <c r="AG67" s="2385"/>
      <c r="AH67" s="2385"/>
    </row>
    <row r="68" spans="1:36" ht="13.25" customHeight="1">
      <c r="C68" s="404"/>
      <c r="D68" s="205" t="s">
        <v>2225</v>
      </c>
      <c r="Y68" s="2331">
        <f>ROUND(Y64*Y67,0)</f>
        <v>5399488</v>
      </c>
      <c r="Z68" s="2386"/>
      <c r="AA68" s="2386"/>
      <c r="AB68" s="2386"/>
      <c r="AC68" s="2386"/>
      <c r="AD68" s="2331">
        <f>ROUND(AD64*AD67,0)</f>
        <v>0</v>
      </c>
      <c r="AE68" s="2386"/>
      <c r="AF68" s="2386"/>
      <c r="AG68" s="2386"/>
      <c r="AH68" s="2386"/>
    </row>
    <row r="69" spans="1:36" ht="13.25" customHeight="1">
      <c r="C69" s="404"/>
      <c r="D69" s="205" t="s">
        <v>2226</v>
      </c>
      <c r="Y69" s="2331">
        <f>IF(OR(Application!Z205="State Farmworker Credit",Application!Z205="$500M (Farmworker Housing)"),Y68+AD68,MIN(Y68+AD68,200000*(Application!G753+Application!O777)))</f>
        <v>5399488</v>
      </c>
      <c r="Z69" s="2331"/>
      <c r="AA69" s="2331"/>
      <c r="AB69" s="2331"/>
      <c r="AC69" s="2331"/>
      <c r="AD69" s="2331"/>
      <c r="AE69" s="2331"/>
      <c r="AF69" s="2331"/>
      <c r="AG69" s="2331"/>
      <c r="AH69" s="2331"/>
    </row>
    <row r="70" spans="1:36" ht="13.25" customHeight="1">
      <c r="C70" s="404"/>
      <c r="E70" s="404"/>
      <c r="AB70" s="422"/>
      <c r="AC70" s="422"/>
      <c r="AD70" s="422"/>
      <c r="AE70" s="422"/>
      <c r="AF70" s="422"/>
    </row>
    <row r="71" spans="1:36" ht="13.25" customHeight="1">
      <c r="A71" s="404" t="s">
        <v>591</v>
      </c>
      <c r="C71" s="205" t="s">
        <v>284</v>
      </c>
    </row>
    <row r="72" spans="1:36" ht="13.25" customHeight="1">
      <c r="A72" s="404"/>
      <c r="C72" s="404"/>
      <c r="D72" s="205" t="s">
        <v>1251</v>
      </c>
      <c r="AB72" s="2374"/>
      <c r="AC72" s="2375"/>
      <c r="AD72" s="2375"/>
      <c r="AE72" s="2375"/>
      <c r="AF72" s="2376"/>
    </row>
    <row r="73" spans="1:36" ht="13.25"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2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2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2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25" customHeight="1">
      <c r="C77" s="404"/>
      <c r="D77" s="205" t="s">
        <v>1253</v>
      </c>
      <c r="AB77" s="2380">
        <f>ROUND(IF(ISERROR((AB59/AB72)),0,(AB59/AB72)),0)</f>
        <v>0</v>
      </c>
      <c r="AC77" s="2380"/>
      <c r="AD77" s="2380"/>
      <c r="AE77" s="2380"/>
      <c r="AF77" s="2380"/>
    </row>
    <row r="78" spans="1:36" ht="13.25" customHeight="1">
      <c r="C78" s="404"/>
      <c r="D78" s="205" t="s">
        <v>1254</v>
      </c>
      <c r="AB78" s="2381">
        <f>ROUNDUP(MIN(Y69,AB77),0)</f>
        <v>0</v>
      </c>
      <c r="AC78" s="2382"/>
      <c r="AD78" s="2382"/>
      <c r="AE78" s="2382"/>
      <c r="AF78" s="2383"/>
    </row>
    <row r="79" spans="1:36" ht="13.25" customHeight="1">
      <c r="C79" s="404"/>
      <c r="D79" s="205" t="s">
        <v>1255</v>
      </c>
      <c r="AB79" s="2384">
        <f>AB78*AB72</f>
        <v>0</v>
      </c>
      <c r="AC79" s="2384"/>
      <c r="AD79" s="2384"/>
      <c r="AE79" s="2384"/>
      <c r="AF79" s="2384"/>
    </row>
    <row r="80" spans="1:36" ht="13.25" customHeight="1">
      <c r="C80" s="404"/>
      <c r="D80" s="404"/>
      <c r="AB80" s="425"/>
      <c r="AC80" s="425"/>
      <c r="AD80" s="425"/>
      <c r="AE80" s="425"/>
      <c r="AF80" s="425"/>
    </row>
    <row r="81" spans="1:78" ht="13.25" customHeight="1">
      <c r="D81" s="404" t="s">
        <v>755</v>
      </c>
      <c r="AB81" s="2370">
        <f>AB49-(AB57+AB79)</f>
        <v>-1</v>
      </c>
      <c r="AC81" s="2370"/>
      <c r="AD81" s="2370"/>
      <c r="AE81" s="2370"/>
      <c r="AF81" s="2370"/>
    </row>
    <row r="82" spans="1:78" ht="13.25" customHeight="1">
      <c r="F82" s="522"/>
      <c r="J82" s="522" t="str">
        <f>IF(AB81&gt;0,"FUNDING GAP MUST NOT EXCEED ZERO","")</f>
        <v/>
      </c>
    </row>
    <row r="83" spans="1:78" ht="13.25" customHeight="1">
      <c r="D83" s="523"/>
    </row>
    <row r="84" spans="1:78" ht="13.2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25" customHeight="1" thickTop="1"/>
    <row r="86" spans="1:78" ht="13.25" customHeight="1">
      <c r="A86" s="404"/>
      <c r="C86" s="205"/>
    </row>
    <row r="87" spans="1:78" ht="13.25" customHeight="1">
      <c r="D87" s="205"/>
      <c r="AB87" s="2336"/>
      <c r="AC87" s="2336"/>
      <c r="AD87" s="2336"/>
      <c r="AE87" s="2336"/>
      <c r="AF87" s="2336"/>
    </row>
    <row r="88" spans="1:78" ht="13.2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2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49" workbookViewId="0">
      <selection activeCell="F417" sqref="F417:AE420"/>
    </sheetView>
  </sheetViews>
  <sheetFormatPr baseColWidth="10" defaultColWidth="0" defaultRowHeight="13" zeroHeight="1"/>
  <cols>
    <col min="1" max="1" width="2.6640625" style="14" customWidth="1"/>
    <col min="2" max="3" width="2.5" style="14" customWidth="1"/>
    <col min="4" max="4" width="3.33203125" style="14" customWidth="1"/>
    <col min="5" max="5" width="3.5" style="14" customWidth="1"/>
    <col min="6" max="6" width="2.6640625" style="14" customWidth="1"/>
    <col min="7" max="14" width="2.5" style="14" customWidth="1"/>
    <col min="15" max="15" width="2.6640625" style="14" customWidth="1"/>
    <col min="16" max="16" width="2.5" style="14" customWidth="1"/>
    <col min="17" max="17" width="3.66406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66406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3320312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592</v>
      </c>
      <c r="C68" s="2612"/>
      <c r="D68" s="547" t="s">
        <v>1316</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546</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546</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592</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0.58701298701298699</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1.0000000000000009E-2</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2.0000000000000018</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546</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0.58701298701298699</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0.11688311688311688</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0.45454545454545453</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SRO/Studio</v>
      </c>
      <c r="AQ112" s="536">
        <f>Application!O718</f>
        <v>796</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1375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2243</v>
      </c>
    </row>
    <row r="115" spans="1:52" s="536" customFormat="1" ht="12.75" customHeight="1">
      <c r="A115" s="540"/>
      <c r="B115" s="2612" t="s">
        <v>546</v>
      </c>
      <c r="C115" s="2612"/>
      <c r="D115" s="547" t="s">
        <v>1316</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844</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1 Bedroom</v>
      </c>
      <c r="AQ116" s="536">
        <f>Application!O722</f>
        <v>1464</v>
      </c>
      <c r="AU116" s="856" t="str">
        <f>E124</f>
        <v>Studio/SRO</v>
      </c>
      <c r="AV116" s="536">
        <f t="array" ref="AV116">SUM(IF(Application!B718:F752="SRO/Studio",Application!G718:J752))</f>
        <v>12</v>
      </c>
      <c r="AW116" s="1011">
        <f>AV116/AV122</f>
        <v>0.15584415584415584</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1 Bedroom</v>
      </c>
      <c r="AQ117" s="536">
        <f>Application!O723</f>
        <v>1774</v>
      </c>
      <c r="AU117" s="856" t="str">
        <f>J124</f>
        <v>1-bedroom</v>
      </c>
      <c r="AV117" s="536">
        <f t="array" ref="AV117">SUM(IF(Application!B718:F752="1 Bedroom",Application!G718:J752))</f>
        <v>29</v>
      </c>
      <c r="AW117" s="1011">
        <f>AV117/AV122</f>
        <v>0.37662337662337664</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1 Bedroom</v>
      </c>
      <c r="AQ118" s="536">
        <f>Application!O724</f>
        <v>2394</v>
      </c>
      <c r="AU118" s="856" t="str">
        <f>O124</f>
        <v>2-bedroom</v>
      </c>
      <c r="AV118" s="536">
        <f t="array" ref="AV118">SUM(IF(Application!B718:F752="2 Bedrooms",Application!G718:J752))</f>
        <v>18</v>
      </c>
      <c r="AW118" s="1011">
        <f>AV118/AV122</f>
        <v>0.23376623376623376</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1003</v>
      </c>
      <c r="AU119" s="856" t="str">
        <f>T124</f>
        <v>3-bedroom</v>
      </c>
      <c r="AV119" s="536">
        <f t="array" ref="AV119">SUM(IF(Application!B718:F752="3 Bedrooms",Application!G718:J752))</f>
        <v>18</v>
      </c>
      <c r="AW119" s="1011">
        <f>AV119/AV122</f>
        <v>0.23376623376623376</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2 Bedrooms</v>
      </c>
      <c r="AQ120" s="536">
        <f>Application!O726</f>
        <v>1747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1144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2004</v>
      </c>
      <c r="AV122" s="536">
        <f>SUM(AV116:AV121)</f>
        <v>77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2434</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t="str">
        <f>Application!B730</f>
        <v>3 Bedrooms</v>
      </c>
      <c r="AQ124" s="536">
        <f>Application!O730</f>
        <v>3294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v>2786</v>
      </c>
      <c r="F127" s="2603"/>
      <c r="G127" s="2603"/>
      <c r="H127" s="2603"/>
      <c r="I127" s="864"/>
      <c r="J127" s="2603">
        <v>2888</v>
      </c>
      <c r="K127" s="2603"/>
      <c r="L127" s="2603"/>
      <c r="M127" s="2603"/>
      <c r="N127" s="864"/>
      <c r="O127" s="2603">
        <v>3661</v>
      </c>
      <c r="P127" s="2603"/>
      <c r="Q127" s="2603"/>
      <c r="R127" s="2603"/>
      <c r="S127" s="864"/>
      <c r="T127" s="2603">
        <v>4136</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1712.5</v>
      </c>
      <c r="F130" s="2611"/>
      <c r="G130" s="2611"/>
      <c r="H130" s="2611"/>
      <c r="I130" s="864"/>
      <c r="J130" s="2611">
        <f>Application!EC670</f>
        <v>1806.0689655172414</v>
      </c>
      <c r="K130" s="2611"/>
      <c r="L130" s="2611"/>
      <c r="M130" s="2611"/>
      <c r="N130" s="864"/>
      <c r="O130" s="2611">
        <f>Application!EH670</f>
        <v>1664.3333333333333</v>
      </c>
      <c r="P130" s="2611"/>
      <c r="Q130" s="2611"/>
      <c r="R130" s="2611"/>
      <c r="S130" s="868"/>
      <c r="T130" s="2611">
        <f>Application!EM670</f>
        <v>2601.2222222222222</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f>(E127-E130)/E127</f>
        <v>0.38531945441493182</v>
      </c>
      <c r="F133" s="2406"/>
      <c r="G133" s="2406"/>
      <c r="H133" s="2407"/>
      <c r="I133" s="577"/>
      <c r="J133" s="2405">
        <f>(J127-J130)/J127</f>
        <v>0.3746298595854427</v>
      </c>
      <c r="K133" s="2406"/>
      <c r="L133" s="2406"/>
      <c r="M133" s="2407"/>
      <c r="N133" s="577"/>
      <c r="O133" s="2405">
        <f>(O127-O130)/O127</f>
        <v>0.54538832741509613</v>
      </c>
      <c r="P133" s="2406"/>
      <c r="Q133" s="2406"/>
      <c r="R133" s="2407"/>
      <c r="S133" s="577"/>
      <c r="T133" s="2405">
        <f>(T127-T130)/T127</f>
        <v>0.37107779926928863</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f>IF(((E133-0.1)*AW116)&gt;0,((E133-0.1)*AW116),0)</f>
        <v>4.4465369519210145E-2</v>
      </c>
      <c r="F136" s="2614"/>
      <c r="G136" s="2614"/>
      <c r="H136" s="2615"/>
      <c r="I136" s="577"/>
      <c r="J136" s="2613">
        <f>IF(((J133-0.1)*AW117)&gt;0,((J133-0.1)*AW117),0)</f>
        <v>0.10343202503867324</v>
      </c>
      <c r="K136" s="2614"/>
      <c r="L136" s="2614"/>
      <c r="M136" s="2615"/>
      <c r="N136" s="577"/>
      <c r="O136" s="2613">
        <f>IF(((O133-0.1)*AW118)&gt;0,((O133-0.1)*AW118),0)</f>
        <v>0.10411675186326923</v>
      </c>
      <c r="P136" s="2614"/>
      <c r="Q136" s="2614"/>
      <c r="R136" s="2615"/>
      <c r="S136" s="577"/>
      <c r="T136" s="2613">
        <f>IF(((T133-0.1)*AW119)&gt;0,((T133-0.1)*AW119),0)</f>
        <v>6.3368836192820729E-2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0.31</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3.2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2626</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3.2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3.2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Interfaith Housing Assistance Corporation</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1368</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1366</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2727</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4489272</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4489272</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1185</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1185</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1185</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2.5686370459787337E-2</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4373958.8963132491</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44834622</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0.09</v>
      </c>
      <c r="AH270" s="2569"/>
      <c r="AI270" s="2569"/>
      <c r="AJ270" s="2569"/>
      <c r="AK270" s="256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4" customHeight="1">
      <c r="A278" s="550"/>
      <c r="B278" s="596"/>
      <c r="C278" s="2440" t="s">
        <v>546</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4"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4"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4"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3" t="s">
        <v>1383</v>
      </c>
      <c r="B292" s="1633"/>
      <c r="C292" s="2391" t="s">
        <v>592</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3" t="s">
        <v>1387</v>
      </c>
      <c r="B302" s="1633"/>
      <c r="C302" s="2440" t="s">
        <v>546</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3" t="s">
        <v>1390</v>
      </c>
      <c r="B310" s="1633"/>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3" t="s">
        <v>1393</v>
      </c>
      <c r="B333" s="1633"/>
      <c r="C333" s="2440" t="s">
        <v>592</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9</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5"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2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7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1879</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7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5"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131</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592</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546</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592</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546</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5"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75"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592</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36613074</v>
      </c>
      <c r="AQ550" s="2417"/>
      <c r="AR550" s="2417"/>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41534520.5</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72127754.579999998</v>
      </c>
      <c r="AG552" s="2424"/>
      <c r="AH552" s="2424"/>
      <c r="AI552" s="2424"/>
      <c r="AJ552" s="2424"/>
      <c r="AK552" s="595"/>
      <c r="AL552" s="595"/>
      <c r="AM552" s="595"/>
      <c r="AN552" s="597"/>
      <c r="AP552" s="2417">
        <f>Application!AJ1045</f>
        <v>16475883.300000001</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0.42</v>
      </c>
      <c r="AG553" s="2425"/>
      <c r="AH553" s="2425"/>
      <c r="AI553" s="2425"/>
      <c r="AJ553" s="2425"/>
      <c r="AK553" s="595"/>
      <c r="AL553" s="595"/>
      <c r="AM553" s="595"/>
      <c r="AN553" s="597"/>
      <c r="AP553" s="2413">
        <f>Application!AJ1049</f>
        <v>8054876.2800000003</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0.67</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47596995</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72127754.579999998</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72127754.579999998</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688</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688</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3</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688</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77</v>
      </c>
    </row>
    <row r="691" spans="1:51" s="550" customFormat="1" ht="12.75" customHeight="1">
      <c r="A691" s="679"/>
      <c r="B691" s="536"/>
      <c r="C691" s="948"/>
      <c r="D691" s="663" t="s">
        <v>688</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2185</v>
      </c>
      <c r="AX691" s="550">
        <f>Application!DE753</f>
        <v>18</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2188</v>
      </c>
      <c r="AX694" s="550">
        <f>AX691+AX692+AX693</f>
        <v>18</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0</v>
      </c>
      <c r="AP695" s="2433"/>
      <c r="AW695" s="22" t="s">
        <v>2189</v>
      </c>
      <c r="AX695" s="550">
        <f>IFERROR(AX694/AX690,0)</f>
        <v>0.23376623376623376</v>
      </c>
      <c r="AY695" s="550">
        <f>IFERROR(AX694/(AX690-AX689),0)</f>
        <v>0.23376623376623376</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2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592</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0</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7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4"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4"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688</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688</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4"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4"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4" customHeight="1">
      <c r="A785" s="550"/>
      <c r="B785" s="616"/>
      <c r="C785" s="940"/>
      <c r="D785" s="663" t="s">
        <v>688</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4"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592</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0</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9</v>
      </c>
      <c r="U815" s="2472"/>
      <c r="V815" s="2472"/>
      <c r="W815" s="2472"/>
      <c r="X815" s="2472"/>
      <c r="Y815" s="2472"/>
      <c r="Z815" s="2481">
        <v>10</v>
      </c>
      <c r="AA815" s="2482"/>
      <c r="AB815" s="2482"/>
      <c r="AC815" s="2482"/>
      <c r="AD815" s="2482"/>
      <c r="AE815" s="2483"/>
      <c r="AF815" s="2481">
        <f>IF(T815&gt;Z815,Z815,T815)</f>
        <v>9</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9</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119</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2024-12-09T20:28:29Z</cp:lastPrinted>
  <dcterms:created xsi:type="dcterms:W3CDTF">2007-12-27T18:26:28Z</dcterms:created>
  <dcterms:modified xsi:type="dcterms:W3CDTF">2025-09-05T23:39:32Z</dcterms:modified>
</cp:coreProperties>
</file>