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Z:\2. ACTIVE PROJECTS\Greg Comanor - 21155 Califa\CDLAC-CTCAC Folder\2025 CDLAC-CTCAC E-APP ROUND 3\"/>
    </mc:Choice>
  </mc:AlternateContent>
  <xr:revisionPtr revIDLastSave="0" documentId="13_ncr:1_{CAF527E7-EB6F-4586-9F21-A3174B01372E}" xr6:coauthVersionLast="47" xr6:coauthVersionMax="47" xr10:uidLastSave="{00000000-0000-0000-0000-000000000000}"/>
  <bookViews>
    <workbookView xWindow="-28920" yWindow="-1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2" i="3" l="1"/>
  <c r="AG446" i="3"/>
  <c r="AG449" i="3"/>
  <c r="AG448" i="3"/>
  <c r="F30" i="4" l="1"/>
  <c r="F79" i="4"/>
  <c r="AF627" i="3"/>
  <c r="Z589" i="3"/>
  <c r="E27" i="7" l="1"/>
  <c r="F45" i="4"/>
  <c r="F99" i="4"/>
  <c r="F29" i="4"/>
  <c r="F33" i="4"/>
  <c r="H656" i="3"/>
  <c r="G24" i="7"/>
  <c r="I24" i="7" s="1"/>
  <c r="K24" i="7" s="1"/>
  <c r="M24" i="7" s="1"/>
  <c r="O24" i="7" s="1"/>
  <c r="Q24" i="7" s="1"/>
  <c r="S24" i="7" s="1"/>
  <c r="U24" i="7" s="1"/>
  <c r="W24" i="7" s="1"/>
  <c r="Y24" i="7" s="1"/>
  <c r="AA24" i="7" s="1"/>
  <c r="AC24" i="7" s="1"/>
  <c r="AE24" i="7" s="1"/>
  <c r="AG24" i="7" s="1"/>
  <c r="F84" i="4"/>
  <c r="F85" i="4"/>
  <c r="F86" i="4"/>
  <c r="F88" i="4"/>
  <c r="F89" i="4"/>
  <c r="F90" i="4"/>
  <c r="F91" i="4"/>
  <c r="F83" i="4"/>
  <c r="F80" i="4"/>
  <c r="F75" i="4"/>
  <c r="F66" i="4"/>
  <c r="F67" i="4"/>
  <c r="F69" i="4"/>
  <c r="F65" i="4"/>
  <c r="F57" i="4"/>
  <c r="F58" i="4"/>
  <c r="F56" i="4"/>
  <c r="F53" i="4"/>
  <c r="F52" i="4"/>
  <c r="F50" i="4"/>
  <c r="F49" i="4"/>
  <c r="F46" i="4"/>
  <c r="F43" i="4"/>
  <c r="F41" i="4"/>
  <c r="F40" i="4"/>
  <c r="F32" i="4"/>
  <c r="F35" i="4"/>
  <c r="F36" i="4"/>
  <c r="F37" i="4"/>
  <c r="F31" i="4"/>
  <c r="F27" i="4"/>
  <c r="F13" i="4"/>
  <c r="F6" i="4"/>
  <c r="S45" i="4"/>
  <c r="S90" i="4"/>
  <c r="S91" i="4"/>
  <c r="S89" i="4"/>
  <c r="S85" i="4"/>
  <c r="S86" i="4"/>
  <c r="S84" i="4"/>
  <c r="S80" i="4"/>
  <c r="S79" i="4"/>
  <c r="S66" i="4"/>
  <c r="S67" i="4"/>
  <c r="S69" i="4"/>
  <c r="S65" i="4"/>
  <c r="S52" i="4"/>
  <c r="S50" i="4"/>
  <c r="S46" i="4"/>
  <c r="S43" i="4"/>
  <c r="S40" i="4"/>
  <c r="S41" i="4"/>
  <c r="S30" i="4"/>
  <c r="S31" i="4"/>
  <c r="S32" i="4"/>
  <c r="S34" i="4"/>
  <c r="S35" i="4"/>
  <c r="S36" i="4"/>
  <c r="S37" i="4"/>
  <c r="S29" i="4"/>
  <c r="C87" i="4"/>
  <c r="F87" i="4" s="1"/>
  <c r="AC889" i="3"/>
  <c r="T627" i="3"/>
  <c r="Q627" i="3"/>
  <c r="S87" i="4" l="1"/>
  <c r="S33" i="4"/>
  <c r="W861" i="3" l="1"/>
  <c r="W849" i="3"/>
  <c r="W853" i="3"/>
  <c r="P418"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F27" i="13" s="1"/>
  <c r="E25" i="13"/>
  <c r="E23" i="13"/>
  <c r="E22" i="13"/>
  <c r="E21" i="13"/>
  <c r="E20" i="13"/>
  <c r="E19" i="13"/>
  <c r="E18" i="13"/>
  <c r="E17" i="13"/>
  <c r="E15" i="13"/>
  <c r="E14" i="13"/>
  <c r="E13" i="13"/>
  <c r="F13" i="13" s="1"/>
  <c r="E10" i="13"/>
  <c r="B99" i="13"/>
  <c r="C99" i="13" s="1"/>
  <c r="C104" i="13" s="1"/>
  <c r="B95" i="13"/>
  <c r="B94" i="13"/>
  <c r="B93" i="13"/>
  <c r="B92" i="13"/>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B60" i="13"/>
  <c r="B59" i="13"/>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C27" i="13" s="1"/>
  <c r="B25" i="13"/>
  <c r="B23" i="13"/>
  <c r="B22" i="13"/>
  <c r="B21" i="13"/>
  <c r="B20" i="13"/>
  <c r="B19" i="13"/>
  <c r="B18" i="13"/>
  <c r="B17" i="13"/>
  <c r="B5" i="13"/>
  <c r="B6" i="13"/>
  <c r="C6" i="13" s="1"/>
  <c r="C8" i="13" s="1"/>
  <c r="B7" i="13"/>
  <c r="C8" i="4"/>
  <c r="B8" i="13" s="1"/>
  <c r="B9" i="13"/>
  <c r="B10" i="13"/>
  <c r="B13" i="13"/>
  <c r="C13" i="13" s="1"/>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42" i="13" l="1"/>
  <c r="S104" i="4"/>
  <c r="E104" i="13" s="1"/>
  <c r="F96" i="13"/>
  <c r="C62" i="13"/>
  <c r="F70" i="13"/>
  <c r="C81" i="13"/>
  <c r="F38" i="13"/>
  <c r="C38" i="13"/>
  <c r="F42" i="13"/>
  <c r="C70" i="13"/>
  <c r="F81" i="13"/>
  <c r="C54" i="13"/>
  <c r="F54" i="13"/>
  <c r="C96" i="13"/>
  <c r="D35" i="1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F63" i="13"/>
  <c r="F97" i="13" s="1"/>
  <c r="F105" i="13" s="1"/>
  <c r="F107" i="13" s="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9" i="21" l="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0" i="21"/>
  <c r="P20" i="21" s="1" a="1"/>
  <c r="P20" i="21" s="1"/>
  <c r="S20"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30" i="21" a="1"/>
  <c r="P30" i="21" s="1"/>
  <c r="S3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1041" i="3"/>
  <c r="AJ1007" i="3"/>
  <c r="AJ1036" i="3"/>
  <c r="I15" i="21" s="1"/>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E62" i="7" s="1"/>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<sst xmlns="http://schemas.openxmlformats.org/spreadsheetml/2006/main" count="5008" uniqueCount="2738">
  <si>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</si>
  <si>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</si>
  <si>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</si>
  <si>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</si>
  <si>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</si>
  <si>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</si>
  <si>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</si>
  <si>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</si>
  <si>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</si>
  <si>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</si>
  <si>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</si>
  <si>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</si>
  <si>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</si>
  <si>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</si>
  <si>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</si>
  <si>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</si>
  <si>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</si>
  <si>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</si>
  <si>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</si>
  <si>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</si>
  <si>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</si>
  <si>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</si>
  <si>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</si>
  <si>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</si>
  <si>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</si>
  <si>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</si>
  <si>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</si>
  <si>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</si>
  <si>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</si>
  <si>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</si>
  <si>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</si>
  <si>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</si>
  <si>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</si>
  <si>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</si>
  <si>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</si>
  <si>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</si>
  <si>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</si>
  <si>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</si>
  <si>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</si>
  <si>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</si>
  <si>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</si>
  <si>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</si>
  <si>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</si>
  <si>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</si>
  <si>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</si>
  <si>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</si>
  <si>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</si>
  <si>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</si>
  <si>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</si>
  <si>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</si>
  <si>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</si>
  <si>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</si>
  <si>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</si>
  <si>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</si>
  <si>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</si>
  <si>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</si>
  <si>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</si>
  <si>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</si>
  <si>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</si>
  <si>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</si>
  <si>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</si>
  <si>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</si>
  <si>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</si>
  <si>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</si>
  <si>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</si>
  <si>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</si>
  <si>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</si>
  <si>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</si>
  <si>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</si>
  <si>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</si>
  <si>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</si>
  <si>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</si>
  <si>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</si>
  <si>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</si>
  <si>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</si>
  <si>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</si>
  <si>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</si>
  <si>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</si>
  <si>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</si>
  <si>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</si>
  <si>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</si>
  <si>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</si>
  <si>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</si>
  <si>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</si>
  <si>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</si>
  <si>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</si>
  <si>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</si>
  <si>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</si>
  <si>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</si>
  <si>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</si>
  <si>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</si>
  <si>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</si>
  <si>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</si>
  <si>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</si>
  <si>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</si>
  <si>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</si>
  <si>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</si>
  <si>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</si>
  <si>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</si>
  <si>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</si>
  <si>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</si>
  <si>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</si>
  <si>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</si>
  <si>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</si>
  <si>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</si>
  <si>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</si>
  <si>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</si>
  <si>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</si>
  <si>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</si>
  <si>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</si>
  <si>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</si>
  <si>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</si>
  <si>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</si>
  <si>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</si>
  <si>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</si>
  <si>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</si>
  <si>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</si>
  <si>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</si>
  <si>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</si>
  <si>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</si>
  <si>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</si>
  <si>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</si>
  <si>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</si>
  <si>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</si>
  <si>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</si>
  <si>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</si>
  <si>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</si>
  <si>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</si>
  <si>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</si>
  <si>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</si>
  <si>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</si>
  <si>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</si>
  <si>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</si>
  <si>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</si>
  <si>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</si>
  <si>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</si>
  <si>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</si>
  <si>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</si>
  <si>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</si>
  <si>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</si>
  <si>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</si>
  <si>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</si>
  <si>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</si>
  <si>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</si>
  <si>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</si>
  <si>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</si>
  <si>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</si>
  <si>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</si>
  <si>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</si>
  <si>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</si>
  <si>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</si>
  <si>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</si>
  <si>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</si>
  <si>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</si>
  <si>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</si>
  <si>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</si>
  <si>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</si>
  <si>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</si>
  <si>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</si>
  <si>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</si>
  <si>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</si>
  <si>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</si>
  <si>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</si>
  <si>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</si>
  <si>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</si>
  <si>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</si>
  <si>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</si>
  <si>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</si>
  <si>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</si>
  <si>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</si>
  <si>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</si>
  <si>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</si>
  <si>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</si>
  <si>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</si>
  <si>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</si>
  <si>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</si>
  <si>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</si>
  <si>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</si>
  <si>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</si>
  <si>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</si>
  <si>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</si>
  <si>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</si>
  <si>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</si>
  <si>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</si>
  <si>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</si>
  <si>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</si>
  <si>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</si>
  <si>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</si>
  <si>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</si>
  <si>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</si>
  <si>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</si>
  <si>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</si>
  <si>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</si>
  <si>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</si>
  <si>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</si>
  <si>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</si>
  <si>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</si>
  <si>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</si>
  <si>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</si>
  <si>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</si>
  <si>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</si>
  <si>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</si>
  <si>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</si>
  <si>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</si>
  <si>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</si>
  <si>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</si>
  <si>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</si>
  <si>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</si>
  <si>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</si>
  <si>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</si>
  <si>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</si>
  <si>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</si>
  <si>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</si>
  <si>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</si>
  <si>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</si>
  <si>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</si>
  <si>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</si>
  <si>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</si>
  <si>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</si>
  <si>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</si>
  <si>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</si>
  <si>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</si>
  <si>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</si>
  <si>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</si>
  <si>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</si>
  <si>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</si>
  <si>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</si>
  <si>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</si>
  <si>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</si>
  <si>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</si>
  <si>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</si>
  <si>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</si>
  <si>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</si>
  <si>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</si>
  <si>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</si>
  <si>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</si>
  <si>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</si>
  <si>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</si>
  <si>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</si>
  <si>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</si>
  <si>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</si>
  <si>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</si>
  <si>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</si>
  <si>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</si>
  <si>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</si>
  <si>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</si>
  <si>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</si>
  <si>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</si>
  <si>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</si>
  <si>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</si>
  <si>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</si>
  <si>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</si>
  <si>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</si>
  <si>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</si>
  <si>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</si>
  <si>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</si>
  <si>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</si>
  <si>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</si>
  <si>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</si>
  <si>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</si>
  <si>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</si>
  <si>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</si>
  <si>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</si>
  <si>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</si>
  <si>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</si>
  <si>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</si>
  <si>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</si>
  <si>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</si>
  <si>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</si>
  <si>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</si>
  <si>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</si>
  <si>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</si>
  <si>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</si>
  <si>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</si>
  <si>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</si>
  <si>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</si>
  <si>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</si>
  <si>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</si>
  <si>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</si>
  <si>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</si>
  <si>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</si>
  <si>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</si>
  <si>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</si>
  <si>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</si>
  <si>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</si>
  <si>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</si>
  <si>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</si>
  <si>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</si>
  <si>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</si>
  <si>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</si>
  <si>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</si>
  <si>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</si>
  <si>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</si>
  <si>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</si>
  <si>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</si>
  <si>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</si>
  <si>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</si>
  <si>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</si>
  <si>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</si>
  <si>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</si>
  <si>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</si>
  <si>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</si>
  <si>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</si>
  <si>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</si>
  <si>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</si>
  <si>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</si>
  <si>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</si>
  <si>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</si>
  <si>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</si>
  <si>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</si>
  <si>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</si>
  <si>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</si>
  <si>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</si>
  <si>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</si>
  <si>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</si>
  <si>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</si>
  <si>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</si>
  <si>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</si>
  <si>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</si>
  <si>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</si>
  <si>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</si>
  <si>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</si>
  <si>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</si>
  <si>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</si>
  <si>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</si>
  <si>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</si>
  <si>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</si>
  <si>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</si>
  <si>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</si>
  <si>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</si>
  <si>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</si>
  <si>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</si>
  <si>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</si>
  <si>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</si>
  <si>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</si>
  <si>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</si>
  <si>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</si>
  <si>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</si>
  <si>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</si>
  <si>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</si>
  <si>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</si>
  <si>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</si>
  <si>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</si>
  <si>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</si>
  <si>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</si>
  <si>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</si>
  <si>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</si>
  <si>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</si>
  <si>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</si>
  <si>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</si>
  <si>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</si>
  <si>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</si>
  <si>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</si>
  <si>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</si>
  <si>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</si>
  <si>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</si>
  <si>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</si>
  <si>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</si>
  <si>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</si>
  <si>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</si>
  <si>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</si>
  <si>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</si>
  <si>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</si>
  <si>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</si>
  <si>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</si>
  <si>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</si>
  <si>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</si>
  <si>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</si>
  <si>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</si>
  <si>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</si>
  <si>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</si>
  <si>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</si>
  <si>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</si>
  <si>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</si>
  <si>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</si>
  <si>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</si>
  <si>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</si>
  <si>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</si>
  <si>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</si>
  <si>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</si>
  <si>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</si>
  <si>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</si>
  <si>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</si>
  <si>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</si>
  <si>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</si>
  <si>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</si>
  <si>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</si>
  <si>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</si>
  <si>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</si>
  <si>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</si>
  <si>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</si>
  <si>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</si>
  <si>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</si>
  <si>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</si>
  <si>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</si>
  <si>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</si>
  <si>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</si>
  <si>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</si>
  <si>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</si>
  <si>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</si>
  <si>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</si>
  <si>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</si>
  <si>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</si>
  <si>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</si>
  <si>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</si>
  <si>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</si>
  <si>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</si>
  <si>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</si>
  <si>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</si>
  <si>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</si>
  <si>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</si>
  <si>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</si>
  <si>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</si>
  <si>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</si>
  <si>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</si>
  <si>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</si>
  <si>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</si>
  <si>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</si>
  <si>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</si>
  <si>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</si>
  <si>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</si>
  <si>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</si>
  <si>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</si>
  <si>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</si>
  <si>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</si>
  <si>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</si>
  <si>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</si>
  <si>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</si>
  <si>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</si>
  <si>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</si>
  <si>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</si>
  <si>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</si>
  <si>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</si>
  <si>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</si>
  <si>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</si>
  <si>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</si>
  <si>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</si>
  <si>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</si>
  <si>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</si>
  <si>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</si>
  <si>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</si>
  <si>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</si>
  <si>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</si>
  <si>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</si>
  <si>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</si>
  <si>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</si>
  <si>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</si>
  <si>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</si>
  <si>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</si>
  <si>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</si>
  <si>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</si>
  <si>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</si>
  <si>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</si>
  <si>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</si>
  <si>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</si>
  <si>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</si>
  <si>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</si>
  <si>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</si>
  <si>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</si>
  <si>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</si>
  <si>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</si>
  <si>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</si>
  <si>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</si>
  <si>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</si>
  <si>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</si>
  <si>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</si>
  <si>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</si>
  <si>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</si>
  <si>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</si>
  <si>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</si>
  <si>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</si>
  <si>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</si>
  <si>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</si>
  <si>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</si>
  <si>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</si>
  <si>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</si>
  <si>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</si>
  <si>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</si>
  <si>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</si>
  <si>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</si>
  <si>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</si>
  <si>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</si>
  <si>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</si>
  <si>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</si>
  <si>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</si>
  <si>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</si>
  <si>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</si>
  <si>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</si>
  <si>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</si>
  <si>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</si>
  <si>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</si>
  <si>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</si>
  <si>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</si>
  <si>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</si>
  <si>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</si>
  <si>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</si>
  <si>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</si>
  <si>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</si>
  <si>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</si>
  <si>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</si>
  <si>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</si>
  <si>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</si>
  <si>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</si>
  <si>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</si>
  <si>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</si>
  <si>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</si>
  <si>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</si>
  <si>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</si>
  <si>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</si>
  <si>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</si>
  <si>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</si>
  <si>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</si>
  <si>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</si>
  <si>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</si>
  <si>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</si>
  <si>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</si>
  <si>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</si>
  <si>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</si>
  <si>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</si>
  <si>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</si>
  <si>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</si>
  <si>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</si>
  <si>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</si>
  <si>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</si>
  <si>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</si>
  <si>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</si>
  <si>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</si>
  <si>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</si>
  <si>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</si>
  <si>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</si>
  <si>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</si>
  <si>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</si>
  <si>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</si>
  <si>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</si>
  <si>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</si>
  <si>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</si>
  <si>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</si>
  <si>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</si>
  <si>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</si>
  <si>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</si>
  <si>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</si>
  <si>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</si>
  <si>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</si>
  <si>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</si>
  <si>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</si>
  <si>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</si>
  <si>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</si>
  <si>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</si>
  <si>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</si>
  <si>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</si>
  <si>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</si>
  <si>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</si>
  <si>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</si>
  <si>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</si>
  <si>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</si>
  <si>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</si>
  <si>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</si>
  <si>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</si>
  <si>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</si>
  <si>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</si>
  <si>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</si>
  <si>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</si>
  <si>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</si>
  <si>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</si>
  <si>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</si>
  <si>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</si>
  <si>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</si>
  <si>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</si>
  <si>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</si>
  <si>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</si>
  <si>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</si>
  <si>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</si>
  <si>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</si>
  <si>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</si>
  <si>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</si>
  <si>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</si>
  <si>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</si>
  <si>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</si>
  <si>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</si>
  <si>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</si>
  <si>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</si>
  <si>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</si>
  <si>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</si>
  <si>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</si>
  <si>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</si>
  <si>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</si>
  <si>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</si>
  <si>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</si>
  <si>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</si>
  <si>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</si>
  <si>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</si>
  <si>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</si>
  <si>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</si>
  <si>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</si>
  <si>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</si>
  <si>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</si>
  <si>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</si>
  <si>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</si>
  <si>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</si>
  <si>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</si>
  <si>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</si>
  <si>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</si>
  <si>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</si>
  <si>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</si>
  <si>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</si>
  <si>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</si>
  <si>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</si>
  <si>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</si>
  <si>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</si>
  <si>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</si>
  <si>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</si>
  <si>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</si>
  <si>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</si>
  <si>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</si>
  <si>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</si>
  <si>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</si>
  <si>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</si>
  <si>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</si>
  <si>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</si>
  <si>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</si>
  <si>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</si>
  <si>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</si>
  <si>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</si>
  <si>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</si>
  <si>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</si>
  <si>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</si>
  <si>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</si>
  <si>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</si>
  <si>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</si>
  <si>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</si>
  <si>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</si>
  <si>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</si>
  <si>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</si>
  <si>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</si>
  <si>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</si>
  <si>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</si>
  <si>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</si>
  <si>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</si>
  <si>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</si>
  <si>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</si>
  <si>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</si>
  <si>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</si>
  <si>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</si>
  <si>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</si>
  <si>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</si>
  <si>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</si>
  <si>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</si>
  <si>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</si>
  <si>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</si>
  <si>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</si>
  <si>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</si>
  <si>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</si>
  <si>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</si>
  <si>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</si>
  <si>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</si>
  <si>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</si>
  <si>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</si>
  <si>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</si>
  <si>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</si>
  <si>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</si>
  <si>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</si>
  <si>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</si>
  <si>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</si>
  <si>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</si>
  <si>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</si>
  <si>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</si>
  <si>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</si>
  <si>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</si>
  <si>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</si>
  <si>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</si>
  <si>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</si>
  <si>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</si>
  <si>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</si>
  <si>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</si>
  <si>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</si>
  <si>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</si>
  <si>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</si>
  <si>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</si>
  <si>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</si>
  <si>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</si>
  <si>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</si>
  <si>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</si>
  <si>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</si>
  <si>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</si>
  <si>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</si>
  <si>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</si>
  <si>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</si>
  <si>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</si>
  <si>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</si>
  <si>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</si>
  <si>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</si>
  <si>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</si>
  <si>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</si>
  <si>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</si>
  <si>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</si>
  <si>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</si>
  <si>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</si>
  <si>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</si>
  <si>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</si>
  <si>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</si>
  <si>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</si>
  <si>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</si>
  <si>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</si>
  <si>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</si>
  <si>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</si>
  <si>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</si>
  <si>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</si>
  <si>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</si>
  <si>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</si>
  <si>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</si>
  <si>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</si>
  <si>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</si>
  <si>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</si>
  <si>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</si>
  <si>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</si>
  <si>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</si>
  <si>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</si>
  <si>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</si>
  <si>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</si>
  <si>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</si>
  <si>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</si>
  <si>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</si>
  <si>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</si>
  <si>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</si>
  <si>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</si>
  <si>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</si>
  <si>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</si>
  <si>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</si>
  <si>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</si>
  <si>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</si>
  <si>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</si>
  <si>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</si>
  <si>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</si>
  <si>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</si>
  <si>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</si>
  <si>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</si>
  <si>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</si>
  <si>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</si>
  <si>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</si>
  <si>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</si>
  <si>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</si>
  <si>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</si>
  <si>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</si>
  <si>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</si>
  <si>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</si>
  <si>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</si>
  <si>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</si>
  <si>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</si>
  <si>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</si>
  <si>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</si>
  <si>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</si>
  <si>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</si>
  <si>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</si>
  <si>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</si>
  <si>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</si>
  <si>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</si>
  <si>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</si>
  <si>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</si>
  <si>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</si>
  <si>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</si>
  <si>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</si>
  <si>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</si>
  <si>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</si>
  <si>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</si>
  <si>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</si>
  <si>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</si>
  <si>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</si>
  <si>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</si>
  <si>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</si>
  <si>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</si>
  <si>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</si>
  <si>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</si>
  <si>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</si>
  <si>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</si>
  <si>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</si>
  <si>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</si>
  <si>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</si>
  <si>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</si>
  <si>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</si>
  <si>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</si>
  <si>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</si>
  <si>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</si>
  <si>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</si>
  <si>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</si>
  <si>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</si>
  <si>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</si>
  <si>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</si>
  <si>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</si>
  <si>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</si>
  <si>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</si>
  <si>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</si>
  <si>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</si>
  <si>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</si>
  <si>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</si>
  <si>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</si>
  <si>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</si>
  <si>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</si>
  <si>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</si>
  <si>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</si>
  <si>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</si>
  <si>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</si>
  <si>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</si>
  <si>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</si>
  <si>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</si>
  <si>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</si>
  <si>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</si>
  <si>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</si>
  <si>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</si>
  <si>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</si>
  <si>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</si>
  <si>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</si>
  <si>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</si>
  <si>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</si>
  <si>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</si>
  <si>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</si>
  <si>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</si>
  <si>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</si>
  <si>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</si>
  <si>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</si>
  <si>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</si>
  <si>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</si>
  <si>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</si>
  <si>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</si>
  <si>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</si>
  <si>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</si>
  <si>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</si>
  <si>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</si>
  <si>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</si>
  <si>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</si>
  <si>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</si>
  <si>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</si>
  <si>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</si>
  <si>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</si>
  <si>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</si>
  <si>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</si>
  <si>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</si>
  <si>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</si>
  <si>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</si>
  <si>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</si>
  <si>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</si>
  <si>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</si>
  <si>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</si>
  <si>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</si>
  <si>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</si>
  <si>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</si>
  <si>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</si>
  <si>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</si>
  <si>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</si>
  <si>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</si>
  <si>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</si>
  <si>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</si>
  <si>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</si>
  <si>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</si>
  <si>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</si>
  <si>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</si>
  <si>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</si>
  <si>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</si>
  <si>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</si>
  <si>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</si>
  <si>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</si>
  <si>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</si>
  <si>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</si>
  <si>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</si>
  <si>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</si>
  <si>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</si>
  <si>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</si>
  <si>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</si>
  <si>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</si>
  <si>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</si>
  <si>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</si>
  <si>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</si>
  <si>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</si>
  <si>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</si>
  <si>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</si>
  <si>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</si>
  <si>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</si>
  <si>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</si>
  <si>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</si>
  <si>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</si>
  <si>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</si>
  <si>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</si>
  <si>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</si>
  <si>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</si>
  <si>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</si>
  <si>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</si>
  <si>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</si>
  <si>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</si>
  <si>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</si>
  <si>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</si>
  <si>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</si>
  <si>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</si>
  <si>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</si>
  <si>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</si>
  <si>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</si>
  <si>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</si>
  <si>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</si>
  <si>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</si>
  <si>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</si>
  <si>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</si>
  <si>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</si>
  <si>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</si>
  <si>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</si>
  <si>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</si>
  <si>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</si>
  <si>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</si>
  <si>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</si>
  <si>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</si>
  <si>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</si>
  <si>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</si>
  <si>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</si>
  <si>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</si>
  <si>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</si>
  <si>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</si>
  <si>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</si>
  <si>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</si>
  <si>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</si>
  <si>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</si>
  <si>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</si>
  <si>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</si>
  <si>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</si>
  <si>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</si>
  <si>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</si>
  <si>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</si>
  <si>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</si>
  <si>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</si>
  <si>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</si>
  <si>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</si>
  <si>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</si>
  <si>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</si>
  <si>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</si>
  <si>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</si>
  <si>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</si>
  <si>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</si>
  <si>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</si>
  <si>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</si>
  <si>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</si>
  <si>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</si>
  <si>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</si>
  <si>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</si>
  <si>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</si>
  <si>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</si>
  <si>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</si>
  <si>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</si>
  <si>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</si>
  <si>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</si>
  <si>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</si>
  <si>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</si>
  <si>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</si>
  <si>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</si>
  <si>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</si>
  <si>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</si>
  <si>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</si>
  <si>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</si>
  <si>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</si>
  <si>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</si>
  <si>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</si>
  <si>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</si>
  <si>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</si>
  <si>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</si>
  <si>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</si>
  <si>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</si>
  <si>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</si>
  <si>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</si>
  <si>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</si>
  <si>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</si>
  <si>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</si>
  <si>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</si>
  <si>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</si>
  <si>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</si>
  <si>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</si>
  <si>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</si>
  <si>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</si>
  <si>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</si>
  <si>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</si>
  <si>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</si>
  <si>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</si>
  <si>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</si>
  <si>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</si>
  <si>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</si>
  <si>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</si>
  <si>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</si>
  <si>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</si>
  <si>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</si>
  <si>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</si>
  <si>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</si>
  <si>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</si>
  <si>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</si>
  <si>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</si>
  <si>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</si>
  <si>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</si>
  <si>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</si>
  <si>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</si>
  <si>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</si>
  <si>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</si>
  <si>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</si>
  <si>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</si>
  <si>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</si>
  <si>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</si>
  <si>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</si>
  <si>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</si>
  <si>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</si>
  <si>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</si>
  <si>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</si>
  <si>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</si>
  <si>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</si>
  <si>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</si>
  <si>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</si>
  <si>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</si>
  <si>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</si>
  <si>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</si>
  <si>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</si>
  <si>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</si>
  <si>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</si>
  <si>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</si>
  <si>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</si>
  <si>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</si>
  <si>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</si>
  <si>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</si>
  <si>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</si>
  <si>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</si>
  <si>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</si>
  <si>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</si>
  <si>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</si>
  <si>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</si>
  <si>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</si>
  <si>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</si>
  <si>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</si>
  <si>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</si>
  <si>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</si>
  <si>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</si>
  <si>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</si>
  <si>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</si>
  <si>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</si>
  <si>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</si>
  <si>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</si>
  <si>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</si>
  <si>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</si>
  <si>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</si>
  <si>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</si>
  <si>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</si>
  <si>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</si>
  <si>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</si>
  <si>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</si>
  <si>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</si>
  <si>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</si>
  <si>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</si>
  <si>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</si>
  <si>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</si>
  <si>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</si>
  <si>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</si>
  <si>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</si>
  <si>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</si>
  <si>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</si>
  <si>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</si>
  <si>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</si>
  <si>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</si>
  <si>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</si>
  <si>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</si>
  <si>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</si>
  <si>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</si>
  <si>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</si>
  <si>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</si>
  <si>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</si>
  <si>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</si>
  <si>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</si>
  <si>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</si>
  <si>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</si>
  <si>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</si>
  <si>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</si>
  <si>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</si>
  <si>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</si>
  <si>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</si>
  <si>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</si>
  <si>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</si>
  <si>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</si>
  <si>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</si>
  <si>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</si>
  <si>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</si>
  <si>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</si>
  <si>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</si>
  <si>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</si>
  <si>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</si>
  <si>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</si>
  <si>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</si>
  <si>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</si>
  <si>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</si>
  <si>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</si>
  <si>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</si>
  <si>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</si>
  <si>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</si>
  <si>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</si>
  <si>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</si>
  <si>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</si>
  <si>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</si>
  <si>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</si>
  <si>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</si>
  <si>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</si>
  <si>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</si>
  <si>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</si>
  <si>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</si>
  <si>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</si>
  <si>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</si>
  <si>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</si>
  <si>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</si>
  <si>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</si>
  <si>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</si>
  <si>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</si>
  <si>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</si>
  <si>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</si>
  <si>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</si>
  <si>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</si>
  <si>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</si>
  <si>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</si>
  <si>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</si>
  <si>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</si>
  <si>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</si>
  <si>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</si>
  <si>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</si>
  <si>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</si>
  <si>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</si>
  <si>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</si>
  <si>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</si>
  <si>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</si>
  <si>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</si>
  <si>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</si>
  <si>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</si>
  <si>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</si>
  <si>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</si>
  <si>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</si>
  <si>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</si>
  <si>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</si>
  <si>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</si>
  <si>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</si>
  <si>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</si>
  <si>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</si>
  <si>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</si>
  <si>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</si>
  <si>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</si>
  <si>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</si>
  <si>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</si>
  <si>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</si>
  <si>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</si>
  <si>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</si>
  <si>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</si>
  <si>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</si>
  <si>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</si>
  <si>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</si>
  <si>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</si>
  <si>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</si>
  <si>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</si>
  <si>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</si>
  <si>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</si>
  <si>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</si>
  <si>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</si>
  <si>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</si>
  <si>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</si>
  <si>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</si>
  <si>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</si>
  <si>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</si>
  <si>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</si>
  <si>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</si>
  <si>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</si>
  <si>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</si>
  <si>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</si>
  <si>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</si>
  <si>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</si>
  <si>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</si>
  <si>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</si>
  <si>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</si>
  <si>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</si>
  <si>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</si>
  <si>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</si>
  <si>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</si>
  <si>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</si>
  <si>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</si>
  <si>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</si>
  <si>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</si>
  <si>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</si>
  <si>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</si>
  <si>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</si>
  <si>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</si>
  <si>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</si>
  <si>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</si>
  <si>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</si>
  <si>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</si>
  <si>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</si>
  <si>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</si>
  <si>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</si>
  <si>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</si>
  <si>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</si>
  <si>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</si>
  <si>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</si>
  <si>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</si>
  <si>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</si>
  <si>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</si>
  <si>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</si>
  <si>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</si>
  <si>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</si>
  <si>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</si>
  <si>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</si>
  <si>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</si>
  <si>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</si>
  <si>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</si>
  <si>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</si>
  <si>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</si>
  <si>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</si>
  <si>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</si>
  <si>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</si>
  <si>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</si>
  <si>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</si>
  <si>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</si>
  <si>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</si>
  <si>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</si>
  <si>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</si>
  <si>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</si>
  <si>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</si>
  <si>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</si>
  <si>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</si>
  <si>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</si>
  <si>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</si>
  <si>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</si>
  <si>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</si>
  <si>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</si>
  <si>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</si>
  <si>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</si>
  <si>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</si>
  <si>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</si>
  <si>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</si>
  <si>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</si>
  <si>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</si>
  <si>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</si>
  <si>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</si>
  <si>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</si>
  <si>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</si>
  <si>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</si>
  <si>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</si>
  <si>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</si>
  <si>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</si>
  <si>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</si>
  <si>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</si>
  <si>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</si>
  <si>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</si>
  <si>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</si>
  <si>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</si>
  <si>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</si>
  <si>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</si>
  <si>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</si>
  <si>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</si>
  <si>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</si>
  <si>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</si>
  <si>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</si>
  <si>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</si>
  <si>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</si>
  <si>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</si>
  <si>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</si>
  <si>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</si>
  <si>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</si>
  <si>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</si>
  <si>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</si>
  <si>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</si>
  <si>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</si>
  <si>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</si>
  <si>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</si>
  <si>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</si>
  <si>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</si>
  <si>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</si>
  <si>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</si>
  <si>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</si>
  <si>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</si>
  <si>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</si>
  <si>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</si>
  <si>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</si>
  <si>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</si>
  <si>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</si>
  <si>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</si>
  <si>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</si>
  <si>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</si>
  <si>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</si>
  <si>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</si>
  <si>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</si>
  <si>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</si>
  <si>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</si>
  <si>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</si>
  <si>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</si>
  <si>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</si>
  <si>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</si>
  <si>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</si>
  <si>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</si>
  <si>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</si>
  <si>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</si>
  <si>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</si>
  <si>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</si>
  <si>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</si>
  <si>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</si>
  <si>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</si>
  <si>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</si>
  <si>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</si>
  <si>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</si>
  <si>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</si>
  <si>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</si>
  <si>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</si>
  <si>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</si>
  <si>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</si>
  <si>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</si>
  <si>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</si>
  <si>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</si>
  <si>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</si>
  <si>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</si>
  <si>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</si>
  <si>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</si>
  <si>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</si>
  <si>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</si>
  <si>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</si>
  <si>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</si>
  <si>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</si>
  <si>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</si>
  <si>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</si>
  <si>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</si>
  <si>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</si>
  <si>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</si>
  <si>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</si>
  <si>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</si>
  <si>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</si>
  <si>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</si>
  <si>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</si>
  <si>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</si>
  <si>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</si>
  <si>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</si>
  <si>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</si>
  <si>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</si>
  <si>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</si>
  <si>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</si>
  <si>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</si>
  <si>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</si>
  <si>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</si>
  <si>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</si>
  <si>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</si>
  <si>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</si>
  <si>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</si>
  <si>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</si>
  <si>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</si>
  <si>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</si>
  <si>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</si>
  <si>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</si>
  <si>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</si>
  <si>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</si>
  <si>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</si>
  <si>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</si>
  <si>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</si>
  <si>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</si>
  <si>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</si>
  <si>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</si>
  <si>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</si>
  <si>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</si>
  <si>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</si>
  <si>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</si>
  <si>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</si>
  <si>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</si>
  <si>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</si>
  <si>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</si>
  <si>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</si>
  <si>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</si>
  <si>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</si>
  <si>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</si>
  <si>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</si>
  <si>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</si>
  <si>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</si>
  <si>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</si>
  <si>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</si>
  <si>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</si>
  <si>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</si>
  <si>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</si>
  <si>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</si>
  <si>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</si>
  <si>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</si>
  <si>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</si>
  <si>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</si>
  <si>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</si>
  <si>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</si>
  <si>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</si>
  <si>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</si>
  <si>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</si>
  <si>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</si>
  <si>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</si>
  <si>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</si>
  <si>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</si>
  <si>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</si>
  <si>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</si>
  <si>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</si>
  <si>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</si>
  <si>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</si>
  <si>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</si>
  <si>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</si>
  <si>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</si>
  <si>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</si>
  <si>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</si>
  <si>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</si>
  <si>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</si>
  <si>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</si>
  <si>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</si>
  <si>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</si>
  <si>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</si>
  <si>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</si>
  <si>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</si>
  <si>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</si>
  <si>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</si>
  <si>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</si>
  <si>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</si>
  <si>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</si>
  <si>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</si>
  <si>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</si>
  <si>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</si>
  <si>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</si>
  <si>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</si>
  <si>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</si>
  <si>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</si>
  <si>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</si>
  <si>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</si>
  <si>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</si>
  <si>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</si>
  <si>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</si>
  <si>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</si>
  <si>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</si>
  <si>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</si>
  <si>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</si>
  <si>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</si>
  <si>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</si>
  <si>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</si>
  <si>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</si>
  <si>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</si>
  <si>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</si>
  <si>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</si>
  <si>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</si>
  <si>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</si>
  <si>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</si>
  <si>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</si>
  <si>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</si>
  <si>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</si>
  <si>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</si>
  <si>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</si>
  <si>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</si>
  <si>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</si>
  <si>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</si>
  <si>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</si>
  <si>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</si>
  <si>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</si>
  <si>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</si>
  <si>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</si>
  <si>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</si>
  <si>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</si>
  <si>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</si>
  <si>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</si>
  <si>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</si>
  <si>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</si>
  <si>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</si>
  <si>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</si>
  <si>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</si>
  <si>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</si>
  <si>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</si>
  <si>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</si>
  <si>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</si>
  <si>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</si>
  <si>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</si>
  <si>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</si>
  <si>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</si>
  <si>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</si>
  <si>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</si>
  <si>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</si>
  <si>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</si>
  <si>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</si>
  <si>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</si>
  <si>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</si>
  <si>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</si>
  <si>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</si>
  <si>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</si>
  <si>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</si>
  <si>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</si>
  <si>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</si>
  <si>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</si>
  <si>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</si>
  <si>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</si>
  <si>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</si>
  <si>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</si>
  <si>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</si>
  <si>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</si>
  <si>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</si>
  <si>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</si>
  <si>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</si>
  <si>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</si>
  <si>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</si>
  <si>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</si>
  <si>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</si>
  <si>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</si>
  <si>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</si>
  <si>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</si>
  <si>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</si>
  <si>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</si>
  <si>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</si>
  <si>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</si>
  <si>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</si>
  <si>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</si>
  <si>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</si>
  <si>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</si>
  <si>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</si>
  <si>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</si>
  <si>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</si>
  <si>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</si>
  <si>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</si>
  <si>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</si>
  <si>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</si>
  <si>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</si>
  <si>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</si>
  <si>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</si>
  <si>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</si>
  <si>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</si>
  <si>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</si>
  <si>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</si>
  <si>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</si>
  <si>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</si>
  <si>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</si>
  <si>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</si>
  <si>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</si>
  <si>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</si>
  <si>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</si>
  <si>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</si>
  <si>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</si>
  <si>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</si>
  <si>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</si>
  <si>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</si>
  <si>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</si>
  <si>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</si>
  <si>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</si>
  <si>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</si>
  <si>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</si>
  <si>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</si>
  <si>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</si>
  <si>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</si>
  <si>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</si>
  <si>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</si>
  <si>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</si>
  <si>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</si>
  <si>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</si>
  <si>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</si>
  <si>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</si>
  <si>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</si>
  <si>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</si>
  <si>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</si>
  <si>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</si>
  <si>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</si>
  <si>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</si>
  <si>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</si>
  <si>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</si>
  <si>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</si>
  <si>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</si>
  <si>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</si>
  <si>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</si>
  <si>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</si>
  <si>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</si>
  <si>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</si>
  <si>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</si>
  <si>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</si>
  <si>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</si>
  <si>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</si>
  <si>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</si>
  <si>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</si>
  <si>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</si>
  <si>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</si>
  <si>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</si>
  <si>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</si>
  <si>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</si>
  <si>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</si>
  <si>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</si>
  <si>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</si>
  <si>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</si>
  <si>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</si>
  <si>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</si>
  <si>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</si>
  <si>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</si>
  <si>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</si>
  <si>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</si>
  <si>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</si>
  <si>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</si>
  <si>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</si>
  <si>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</si>
  <si>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</si>
  <si>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</si>
  <si>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</si>
  <si>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</si>
  <si>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</si>
  <si>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</si>
  <si>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</si>
  <si>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</si>
  <si>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</si>
  <si>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</si>
  <si>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</si>
  <si>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</si>
  <si>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</si>
  <si>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</si>
  <si>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</si>
  <si>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</si>
  <si>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</si>
  <si>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</si>
  <si>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</si>
  <si>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</si>
  <si>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</si>
  <si>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</si>
  <si>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</si>
  <si>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</si>
  <si>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</si>
  <si>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</si>
  <si>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</si>
  <si>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</si>
  <si>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</si>
  <si>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</si>
  <si>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</si>
  <si>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</si>
  <si>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</si>
  <si>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</si>
  <si>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</si>
  <si>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</si>
  <si>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</si>
  <si>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</si>
  <si>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</si>
  <si>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</si>
  <si>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</si>
  <si>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</si>
  <si>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</si>
  <si>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</si>
  <si>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</si>
  <si>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</si>
  <si>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</si>
  <si>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</si>
  <si>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</si>
  <si>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</si>
  <si>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</si>
  <si>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</si>
  <si>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</si>
  <si>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</si>
  <si>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</si>
  <si>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</si>
  <si>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</si>
  <si>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</si>
  <si>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</si>
  <si>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</si>
  <si>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</si>
  <si>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</si>
  <si>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</si>
  <si>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</si>
  <si>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</si>
  <si>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</si>
  <si>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</si>
  <si>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</si>
  <si>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</si>
  <si>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</si>
  <si>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</si>
  <si>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</si>
  <si>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</si>
  <si>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</si>
  <si>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</si>
  <si>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</si>
  <si>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</si>
  <si>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</si>
  <si>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</si>
  <si>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</si>
  <si>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</si>
  <si>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</si>
  <si>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</si>
  <si>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</si>
  <si>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</si>
  <si>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</si>
  <si>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</si>
  <si>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</si>
  <si>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</si>
  <si>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</si>
  <si>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</si>
  <si>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</si>
  <si>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</si>
  <si>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</si>
  <si>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</si>
  <si>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</si>
  <si>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</si>
  <si>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</si>
  <si>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</si>
  <si>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</si>
  <si>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</si>
  <si>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</si>
  <si>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</si>
  <si>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</si>
  <si>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</si>
  <si>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</si>
  <si>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</si>
  <si>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</si>
  <si>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</si>
  <si>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</si>
  <si>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</si>
  <si>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</si>
  <si>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</si>
  <si>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</si>
  <si>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</si>
  <si>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</si>
  <si>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</si>
  <si>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</si>
  <si>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</si>
  <si>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</si>
  <si>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</si>
  <si>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</si>
  <si>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</si>
  <si>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</si>
  <si>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</si>
  <si>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</si>
  <si>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</si>
  <si>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</si>
  <si>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</si>
  <si>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</si>
  <si>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</si>
  <si>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</si>
  <si>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</si>
  <si>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</si>
  <si>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</si>
  <si>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</si>
  <si>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</si>
  <si>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</si>
  <si>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</si>
  <si>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</si>
  <si>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</si>
  <si>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</si>
  <si>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</si>
  <si>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</si>
  <si>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</si>
  <si>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</si>
  <si>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</si>
  <si>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</si>
  <si>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</si>
  <si>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</si>
  <si>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</si>
  <si>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</si>
  <si>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</si>
  <si>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</si>
  <si>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</si>
  <si>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</si>
  <si>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</si>
  <si>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</si>
  <si>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</si>
  <si>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</si>
  <si>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</si>
  <si>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</si>
  <si>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</si>
  <si>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</si>
  <si>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</si>
  <si>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</si>
  <si>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</si>
  <si>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</si>
  <si>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</si>
  <si>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</si>
  <si>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</si>
  <si>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</si>
  <si>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</si>
  <si>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</si>
  <si>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</si>
  <si>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</si>
  <si>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</si>
  <si>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</si>
  <si>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</si>
  <si>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</si>
  <si>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</si>
  <si>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</si>
  <si>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</si>
  <si>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</si>
  <si>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</si>
  <si>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</si>
  <si>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</si>
  <si>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</si>
  <si>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</si>
  <si>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</si>
  <si>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</si>
  <si>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</si>
  <si>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</si>
  <si>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</si>
  <si>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</si>
  <si>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</si>
  <si>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</si>
  <si>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</si>
  <si>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</si>
  <si>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</si>
  <si>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</si>
  <si>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</si>
  <si>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</si>
  <si>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</si>
  <si>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</si>
  <si>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</si>
  <si>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</si>
  <si>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</si>
  <si>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</si>
  <si>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</si>
  <si>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</si>
  <si>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</si>
  <si>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</si>
  <si>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</si>
  <si>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</si>
  <si>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</si>
  <si>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</si>
  <si>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</si>
  <si>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</si>
  <si>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</si>
  <si>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</si>
  <si>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</si>
  <si>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</si>
  <si>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</si>
  <si>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</si>
  <si>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</si>
  <si>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</si>
  <si>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</si>
  <si>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</si>
  <si>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</si>
  <si>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</si>
  <si>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</si>
  <si>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</si>
  <si>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</si>
  <si>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</si>
  <si>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</si>
  <si>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</si>
  <si>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</si>
  <si>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</si>
  <si>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</si>
  <si>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</si>
  <si>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</si>
  <si>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</si>
  <si>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</si>
  <si>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</si>
  <si>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</si>
  <si>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</si>
  <si>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</si>
  <si>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</si>
  <si>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</si>
  <si>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</si>
  <si>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</si>
  <si>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</si>
  <si>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</si>
  <si>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</si>
  <si>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</si>
  <si>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</si>
  <si>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</si>
  <si>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</si>
  <si>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</si>
  <si>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</si>
  <si>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</si>
  <si>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</si>
  <si>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</si>
  <si>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</si>
  <si>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</si>
  <si>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</si>
  <si>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</si>
  <si>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</si>
  <si>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</si>
  <si>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</si>
  <si>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</si>
  <si>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</si>
  <si>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</si>
  <si>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</si>
  <si>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</si>
  <si>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</si>
  <si>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</si>
  <si>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</si>
  <si>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</si>
  <si>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</si>
  <si>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</si>
  <si>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</si>
  <si>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</si>
  <si>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</si>
  <si>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</si>
  <si>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</si>
  <si>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</si>
  <si>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</si>
  <si>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</si>
  <si>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</si>
  <si>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</si>
  <si>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</si>
  <si>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</si>
  <si>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</si>
  <si>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</si>
  <si>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</si>
  <si>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</si>
  <si>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</si>
  <si>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</si>
  <si>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</si>
  <si>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</si>
  <si>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</si>
  <si>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</si>
  <si>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</si>
  <si>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</si>
  <si>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</si>
  <si>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</si>
  <si>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</si>
  <si>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</si>
  <si>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</si>
  <si>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</si>
  <si>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</si>
  <si>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</si>
  <si>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</si>
  <si>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</si>
  <si>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</si>
  <si>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</si>
  <si>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</si>
  <si>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</si>
  <si>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</si>
  <si>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</si>
  <si>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</si>
  <si>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</si>
  <si>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</si>
  <si>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</si>
  <si>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</si>
  <si>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</si>
  <si>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</si>
  <si>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</si>
  <si>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</si>
  <si>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</si>
  <si>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</si>
  <si>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</si>
  <si>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</si>
  <si>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</si>
  <si>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</si>
  <si>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</si>
  <si>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</si>
  <si>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</si>
  <si>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</si>
  <si>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</si>
  <si>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</si>
  <si>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</si>
  <si>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</si>
  <si>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</si>
  <si>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</si>
  <si>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</si>
  <si>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</si>
  <si>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</si>
  <si>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</si>
  <si>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</si>
  <si>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</si>
  <si>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</si>
  <si>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</si>
  <si>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</si>
  <si>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</si>
  <si>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</si>
  <si>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</si>
  <si>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</si>
  <si>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</si>
  <si>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</si>
  <si>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</si>
  <si>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</si>
  <si>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</si>
  <si>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</si>
  <si>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</si>
  <si>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</si>
  <si>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</si>
  <si>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</si>
  <si>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</si>
  <si>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</si>
  <si>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</si>
  <si>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</si>
  <si>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</si>
  <si>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</si>
  <si>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</si>
  <si>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</si>
  <si>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</si>
  <si>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</si>
  <si>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</si>
  <si>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</si>
  <si>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</si>
  <si>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</si>
  <si>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</si>
  <si>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</si>
  <si>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</si>
  <si>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</si>
  <si>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</si>
  <si>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</si>
  <si>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</si>
  <si>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</si>
  <si>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</si>
  <si>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</si>
  <si>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</si>
  <si>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</si>
  <si>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</si>
  <si>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</si>
  <si>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</si>
  <si>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</si>
  <si>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</si>
  <si>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</si>
  <si>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</si>
  <si>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</si>
  <si>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</si>
  <si>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</si>
  <si>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</si>
  <si>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</si>
  <si>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</si>
  <si>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</si>
  <si>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</si>
  <si>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</si>
  <si>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</si>
  <si>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</si>
  <si>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</si>
  <si>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</si>
  <si>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</si>
  <si>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</si>
  <si>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</si>
  <si>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</si>
  <si>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</si>
  <si>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</si>
  <si>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</si>
  <si>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</si>
  <si>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</si>
  <si>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</si>
  <si>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</si>
  <si>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</si>
  <si>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</si>
  <si>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</si>
  <si>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</si>
  <si>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</si>
  <si>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</si>
  <si>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</si>
  <si>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</si>
  <si>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</si>
  <si>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</si>
  <si>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</si>
  <si>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</si>
  <si>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</si>
  <si>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</si>
  <si>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</si>
  <si>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</si>
  <si>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</si>
  <si>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</si>
  <si>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</si>
  <si>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</si>
  <si>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</si>
  <si>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</si>
  <si>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</si>
  <si>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</si>
  <si>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</si>
  <si>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</si>
  <si>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</si>
  <si>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</si>
  <si>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</si>
  <si>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</si>
  <si>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</si>
  <si>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</si>
  <si>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</si>
  <si>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</si>
  <si>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</si>
  <si>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</si>
  <si>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</si>
  <si>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</si>
  <si>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</si>
  <si>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</si>
  <si>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</si>
  <si>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</si>
  <si>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</si>
  <si>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</si>
  <si>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</si>
  <si>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</si>
  <si>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</si>
  <si>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</si>
  <si>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</si>
  <si>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</si>
  <si>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</si>
  <si>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</si>
  <si>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</si>
  <si>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</si>
  <si>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</si>
  <si>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</si>
  <si>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</si>
  <si>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</si>
  <si>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</si>
  <si>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</si>
  <si>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</si>
  <si>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</si>
  <si>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</si>
  <si>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</si>
  <si>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</si>
  <si>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</si>
  <si>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</si>
  <si>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</si>
  <si>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</si>
  <si>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</si>
  <si>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</si>
  <si>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</si>
  <si>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</si>
  <si>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</si>
  <si>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</si>
  <si>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</si>
  <si>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</si>
  <si>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</si>
  <si>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</si>
  <si>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</si>
  <si>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</si>
  <si>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</si>
  <si>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</si>
  <si>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</si>
  <si>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</si>
  <si>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</si>
  <si>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</si>
  <si>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</si>
  <si>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</si>
  <si>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</si>
  <si>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</si>
  <si>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</si>
  <si>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</si>
  <si>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</si>
  <si>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</si>
  <si>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</si>
  <si>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</si>
  <si>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</si>
  <si>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</si>
  <si>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</si>
  <si>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</si>
  <si>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</si>
  <si>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</si>
  <si>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</si>
  <si>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</si>
  <si>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</si>
  <si>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</si>
  <si>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</si>
  <si>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</si>
  <si>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</si>
  <si>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</si>
  <si>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</si>
  <si>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</si>
  <si>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</si>
  <si>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</si>
  <si>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</si>
  <si>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</si>
  <si>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</si>
  <si>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</si>
  <si>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</si>
  <si>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</si>
  <si>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</si>
  <si>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</si>
  <si>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</si>
  <si>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</si>
  <si>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</si>
  <si>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</si>
  <si>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</si>
  <si>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</si>
  <si>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</si>
  <si>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</si>
  <si>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</si>
  <si>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</si>
  <si>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</si>
  <si>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</si>
  <si>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</si>
  <si>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</si>
  <si>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</si>
  <si>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</si>
  <si>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</si>
  <si>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</si>
  <si>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</si>
  <si>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</si>
  <si>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</si>
  <si>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</si>
  <si>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</si>
  <si>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</si>
  <si>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</si>
  <si>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</si>
  <si>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</si>
  <si>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</si>
  <si>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</si>
  <si>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</si>
  <si>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</si>
  <si>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</si>
  <si>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</si>
  <si>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</si>
  <si>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</si>
  <si>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</si>
  <si>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</si>
  <si>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</si>
  <si>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</si>
  <si>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</si>
  <si>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</si>
  <si>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</si>
  <si>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</si>
  <si>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</si>
  <si>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</si>
  <si>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</si>
  <si>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</si>
  <si>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</si>
  <si>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</si>
  <si>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</si>
  <si>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</si>
  <si>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</si>
  <si>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</si>
  <si>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</si>
  <si>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</si>
  <si>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</si>
  <si>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</si>
  <si>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</si>
  <si>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</si>
  <si>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</si>
  <si>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</si>
  <si>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</si>
  <si>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</si>
  <si>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</si>
  <si>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</si>
  <si>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</si>
  <si>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</si>
  <si>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</si>
  <si>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</si>
  <si>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</si>
  <si>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</si>
  <si>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</si>
  <si>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</si>
  <si>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</si>
  <si>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</si>
  <si>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</si>
  <si>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</si>
  <si>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</si>
  <si>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</si>
  <si>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</si>
  <si>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</si>
  <si>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</si>
  <si>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</si>
  <si>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</si>
  <si>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</si>
  <si>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</si>
  <si>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</si>
  <si>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</si>
  <si>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</si>
  <si>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</si>
  <si>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</si>
  <si>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</si>
  <si>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</si>
  <si>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</si>
  <si>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</si>
  <si>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</si>
  <si>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</si>
  <si>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</si>
  <si>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</si>
  <si>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</si>
  <si>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</si>
  <si>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</si>
  <si>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</si>
  <si>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</si>
  <si>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</si>
  <si>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</si>
  <si>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</si>
  <si>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</si>
  <si>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</si>
  <si>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</si>
  <si>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</si>
  <si>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</si>
  <si>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</si>
  <si>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</si>
  <si>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</si>
  <si>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</si>
  <si>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</si>
  <si>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</si>
  <si>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</si>
  <si>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</si>
  <si>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</si>
  <si>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</si>
  <si>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</si>
  <si>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</si>
  <si>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</si>
  <si>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</si>
  <si>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</si>
  <si>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</si>
  <si>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</si>
  <si>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</si>
  <si>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</si>
  <si>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</si>
  <si>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</si>
  <si>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</si>
  <si>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</si>
  <si>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</si>
  <si>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</si>
  <si>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</si>
  <si>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</si>
  <si>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</si>
  <si>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</si>
  <si>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</si>
  <si>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</si>
  <si>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</si>
  <si>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</si>
  <si>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</si>
  <si>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</si>
  <si>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</si>
  <si>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</si>
  <si>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</si>
  <si>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</si>
  <si>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</si>
  <si>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</si>
  <si>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</si>
  <si>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</si>
  <si>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</si>
  <si>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</si>
  <si>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</si>
  <si>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</si>
  <si>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</si>
  <si>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</si>
  <si>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</si>
  <si>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</si>
  <si>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</si>
  <si>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</si>
  <si>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</si>
  <si>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</si>
  <si>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</si>
  <si>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</si>
  <si>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</si>
  <si>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</si>
  <si>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</si>
  <si>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</si>
  <si>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</si>
  <si>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</si>
  <si>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</si>
  <si>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</si>
  <si>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</si>
  <si>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</si>
  <si>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</si>
  <si>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</si>
  <si>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</si>
  <si>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</si>
  <si>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</si>
  <si>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</si>
  <si>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</si>
  <si>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</si>
  <si>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</si>
  <si>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</si>
  <si>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</si>
  <si>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</si>
  <si>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</si>
  <si>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</si>
  <si>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</si>
  <si>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</si>
  <si>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</si>
  <si>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</si>
  <si>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</si>
  <si>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</si>
  <si>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</si>
  <si>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</si>
  <si>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</si>
  <si>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</si>
  <si>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</si>
  <si>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</si>
  <si>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</si>
  <si>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</si>
  <si>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</si>
  <si>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</si>
  <si>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</si>
  <si>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</si>
  <si>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</si>
  <si>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</si>
  <si>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</si>
  <si>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</si>
  <si>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</si>
  <si>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</si>
  <si>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</si>
  <si>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</si>
  <si>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</si>
  <si>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</si>
  <si>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</si>
  <si>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</si>
  <si>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</si>
  <si>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</si>
  <si>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</si>
  <si>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</si>
  <si>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</si>
  <si>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</si>
  <si>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</si>
  <si>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</si>
  <si>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</si>
  <si>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</si>
  <si>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</si>
  <si>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</si>
  <si>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</si>
  <si>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</si>
  <si>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</si>
  <si>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</si>
  <si>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</si>
  <si>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</si>
  <si>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</si>
  <si>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</si>
  <si>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</si>
  <si>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</si>
  <si>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</si>
  <si>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</si>
  <si>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</si>
  <si>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</si>
  <si>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</si>
  <si>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</si>
  <si>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</si>
  <si>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</si>
  <si>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</si>
  <si>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</si>
  <si>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</si>
  <si>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</si>
  <si>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</si>
  <si>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</si>
  <si>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</si>
  <si>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</si>
  <si>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</si>
  <si>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</si>
  <si>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</si>
  <si>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</si>
  <si>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</si>
  <si>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</si>
  <si>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</si>
  <si>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</si>
  <si>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</si>
  <si>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</si>
  <si>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</si>
  <si>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</si>
  <si>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</si>
  <si>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</si>
  <si>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</si>
  <si>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</si>
  <si>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</si>
  <si>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</si>
  <si>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</si>
  <si>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</si>
  <si>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</si>
  <si>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</si>
  <si>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</si>
  <si>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</si>
  <si>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</si>
  <si>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</si>
  <si>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</si>
  <si>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</si>
  <si>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</si>
  <si>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</si>
  <si>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</si>
  <si>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</si>
  <si>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</si>
  <si>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</si>
  <si>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</si>
  <si>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</si>
  <si>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</si>
  <si>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</si>
  <si>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</si>
  <si>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</si>
  <si>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</si>
  <si>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</si>
  <si>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</si>
  <si>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</si>
  <si>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</si>
  <si>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</si>
  <si>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</si>
  <si>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</si>
  <si>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</si>
  <si>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</si>
  <si>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</si>
  <si>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</si>
  <si>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</si>
  <si>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</si>
  <si>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</si>
  <si>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</si>
  <si>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</si>
  <si>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</si>
  <si>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</si>
  <si>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</si>
  <si>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</si>
  <si>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</si>
  <si>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</si>
  <si>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</si>
  <si>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</si>
  <si>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</si>
  <si>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</si>
  <si>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</si>
  <si>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</si>
  <si>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</si>
  <si>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</si>
  <si>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</si>
  <si>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</si>
  <si>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</si>
  <si>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</si>
  <si>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</si>
  <si>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</si>
  <si>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</si>
  <si>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</si>
  <si>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</si>
  <si>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</si>
  <si>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</si>
  <si>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</si>
  <si>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</si>
  <si>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</si>
  <si>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</si>
  <si>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</si>
  <si>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</si>
  <si>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</si>
  <si>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</si>
  <si>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</si>
  <si>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</si>
  <si>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</si>
  <si>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</si>
  <si>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</si>
  <si>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</si>
  <si>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</si>
  <si>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</si>
  <si>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</si>
  <si>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</si>
  <si>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</si>
  <si>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</si>
  <si>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</si>
  <si>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</si>
  <si>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</si>
  <si>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</si>
  <si>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</si>
  <si>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</si>
  <si>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</si>
  <si>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</si>
  <si>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</si>
  <si>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</si>
  <si>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</si>
  <si>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</si>
  <si>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</si>
  <si>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</si>
  <si>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</si>
  <si>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</si>
  <si>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</si>
  <si>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</si>
  <si>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</si>
  <si>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</si>
  <si>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</si>
  <si>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</si>
  <si>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</si>
  <si>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</si>
  <si>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</si>
  <si>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</si>
  <si>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</si>
  <si>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</si>
  <si>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</si>
  <si>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</si>
  <si>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</si>
  <si>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</si>
  <si>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</si>
  <si>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</si>
  <si>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</si>
  <si>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</si>
  <si>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</si>
  <si>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</si>
  <si>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</si>
  <si>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</si>
  <si>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</si>
  <si>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</si>
  <si>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</si>
  <si>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</si>
  <si>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</si>
  <si>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</si>
  <si>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</si>
  <si>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</si>
  <si>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</si>
  <si>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</si>
  <si>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</si>
  <si>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</si>
  <si>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</si>
  <si>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</si>
  <si>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</si>
  <si>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</si>
  <si>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</si>
  <si>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</si>
  <si>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</si>
  <si>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</si>
  <si>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</si>
  <si>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</si>
  <si>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</si>
  <si>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</si>
  <si>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</si>
  <si>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</si>
  <si>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</si>
  <si>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</si>
  <si>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</si>
  <si>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</si>
  <si>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</si>
  <si>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</si>
  <si>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</si>
  <si>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</si>
  <si>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</si>
  <si>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</si>
  <si>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</si>
  <si>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</si>
  <si>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</si>
  <si>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</si>
  <si>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</si>
  <si>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</si>
  <si>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</si>
  <si>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</si>
  <si>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</si>
  <si>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</si>
  <si>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</si>
  <si>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</si>
  <si>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</si>
  <si>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</si>
  <si>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</si>
  <si>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</si>
  <si>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</si>
  <si>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</si>
  <si>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</si>
  <si>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</si>
  <si>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</si>
  <si>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</si>
  <si>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</si>
  <si>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</si>
  <si>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</si>
  <si>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</si>
  <si>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</si>
  <si>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</si>
  <si>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</si>
  <si>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</si>
  <si>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</si>
  <si>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</si>
  <si>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</si>
  <si>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</si>
  <si>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</si>
  <si>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</si>
  <si>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</si>
  <si>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</si>
  <si>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</si>
  <si>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21155 Califa Street</t>
  </si>
  <si>
    <t>2149-002-026</t>
  </si>
  <si>
    <t>Managing GP</t>
  </si>
  <si>
    <t>531 Encinitas Boulevard #206</t>
  </si>
  <si>
    <t xml:space="preserve">Encinitas </t>
  </si>
  <si>
    <t>CA</t>
  </si>
  <si>
    <t>Noami Pines</t>
  </si>
  <si>
    <t>760-944-9050</t>
  </si>
  <si>
    <t>npines@laspalmashousing.com</t>
  </si>
  <si>
    <t>Aperto Property Management</t>
  </si>
  <si>
    <t>2 Venture, Suite 545</t>
  </si>
  <si>
    <t>Irvine, CA 92618</t>
  </si>
  <si>
    <t xml:space="preserve">Ed  Quigley </t>
  </si>
  <si>
    <t>949-873-0160</t>
  </si>
  <si>
    <t>equigley@apertopm.com</t>
  </si>
  <si>
    <t>Matthew W. Szabo</t>
  </si>
  <si>
    <t>200 N Main Street, Suite 1500</t>
  </si>
  <si>
    <t>Los Angeles, CA</t>
  </si>
  <si>
    <t>213-473-7565</t>
  </si>
  <si>
    <t>matthew.szabo@lacity.org</t>
  </si>
  <si>
    <t>40%/60% Average Income</t>
  </si>
  <si>
    <t>Administrative GP</t>
  </si>
  <si>
    <t>584 1/2 N Larchmont Blvd</t>
  </si>
  <si>
    <t>310-666-6860</t>
  </si>
  <si>
    <t>Brian Mikail</t>
  </si>
  <si>
    <t>bmikail@capstoneequities.com</t>
  </si>
  <si>
    <t>Capstone Equities, LLC / Elysian Housing, LLC</t>
  </si>
  <si>
    <t>Sabelhaus &amp; Strain PC</t>
  </si>
  <si>
    <t>1724 10th Street, Suite 110</t>
  </si>
  <si>
    <t>Steve Strain</t>
  </si>
  <si>
    <t>916-444-0286</t>
  </si>
  <si>
    <t>sstrain@sabelhauslaw.com</t>
  </si>
  <si>
    <t xml:space="preserve">Financial Consultant &amp; Attorney </t>
  </si>
  <si>
    <t>Sacramento, CA 95811</t>
  </si>
  <si>
    <t>Bernard E. Rea, CPA</t>
  </si>
  <si>
    <t>PO Box 492</t>
  </si>
  <si>
    <t>Aubrey, TX 76227</t>
  </si>
  <si>
    <t>Bernie Rea</t>
  </si>
  <si>
    <t>209-933-9113</t>
  </si>
  <si>
    <t>breacpa@aol.com</t>
  </si>
  <si>
    <t xml:space="preserve">Steve Strain </t>
  </si>
  <si>
    <t>The Concord Group</t>
  </si>
  <si>
    <t>140 Newport Center Drive, Suite 210</t>
  </si>
  <si>
    <t>Newport Beach, CA 92660</t>
  </si>
  <si>
    <t>Michael Reynolds</t>
  </si>
  <si>
    <t>949-717-6450</t>
  </si>
  <si>
    <t>mdr@theconcordgroup.com</t>
  </si>
  <si>
    <t>Inner City Infill Site</t>
  </si>
  <si>
    <t>The Green at Warner Center</t>
  </si>
  <si>
    <t>Las Palmas Foundation</t>
  </si>
  <si>
    <t>Elysian Califa, LLC (a To-be-formed LLC)</t>
  </si>
  <si>
    <t>Herdlich Tax Credit</t>
  </si>
  <si>
    <t>TBD</t>
  </si>
  <si>
    <t>Koning Eizenberg Architecture</t>
  </si>
  <si>
    <t>Brian Lane</t>
  </si>
  <si>
    <t>California Municipal Finance Authority</t>
  </si>
  <si>
    <t>12430 Tesson Ferry Road, Suite 350</t>
  </si>
  <si>
    <t>Saint Louis, MO 63128</t>
  </si>
  <si>
    <t>David Herdlick</t>
  </si>
  <si>
    <t>314-540-0890</t>
  </si>
  <si>
    <t>daveherdlick@herdlicktaxcreditllc.com</t>
  </si>
  <si>
    <t>Red Stone Equity Partners</t>
  </si>
  <si>
    <t>Andy Markenson</t>
  </si>
  <si>
    <t>1454 25th St</t>
  </si>
  <si>
    <t>Santa Monica, CA 94040</t>
  </si>
  <si>
    <t>310-828-6131</t>
  </si>
  <si>
    <t>blane@kearch.com</t>
  </si>
  <si>
    <t>2111 Palomar Road, Suite 320</t>
  </si>
  <si>
    <t>Carlsbad, CA 92011</t>
  </si>
  <si>
    <t>Benjamin Barker</t>
  </si>
  <si>
    <t>760-930-1266</t>
  </si>
  <si>
    <t>bbarker@cmfa-ca.com</t>
  </si>
  <si>
    <t>Zenith Insurance Company</t>
  </si>
  <si>
    <t>21255 Califa St, Woodland Hills, CA 91367</t>
  </si>
  <si>
    <t>21155 Califa Lessor, LP</t>
  </si>
  <si>
    <t>(WC) COMMERCE-SN</t>
  </si>
  <si>
    <t>Unlimited</t>
  </si>
  <si>
    <t>(WC) COMMERCE-SN // Unlimited</t>
  </si>
  <si>
    <t>City will require Land Use Covenant per AB1763</t>
  </si>
  <si>
    <t>None</t>
  </si>
  <si>
    <t>Citi - Tax Exempt Construction</t>
  </si>
  <si>
    <t>Citi - Recycled Bond</t>
  </si>
  <si>
    <t>Citi - Taxable Construction</t>
  </si>
  <si>
    <t>Deferred Costs</t>
  </si>
  <si>
    <t>LIHTC Equity</t>
  </si>
  <si>
    <t>Fixed</t>
  </si>
  <si>
    <t>Mike Hemmens</t>
  </si>
  <si>
    <t>SOFR</t>
  </si>
  <si>
    <t>16601 Ventura Blvd, Suite 200</t>
  </si>
  <si>
    <t>Encino, CA</t>
  </si>
  <si>
    <t>415-658-3118</t>
  </si>
  <si>
    <t>Tax Exempt Construction Loan</t>
  </si>
  <si>
    <t>Taxable Construction Loan</t>
  </si>
  <si>
    <t>584 1/2 N. Larchmont Blvd</t>
  </si>
  <si>
    <t>Los Angeles, CA 90004</t>
  </si>
  <si>
    <t>Los Angeles CA 90004</t>
  </si>
  <si>
    <t>Deferred Costs During Construction</t>
  </si>
  <si>
    <t>LIHTC Equity Contribution</t>
  </si>
  <si>
    <t>Citi - Permanent Loan</t>
  </si>
  <si>
    <t>16601 Ventura Blvd</t>
  </si>
  <si>
    <t>Encino, CA 91436</t>
  </si>
  <si>
    <t>Permanent Loan</t>
  </si>
  <si>
    <t>Housing Authority of the City of Los Angeles</t>
  </si>
  <si>
    <t>Benefits</t>
  </si>
  <si>
    <t>Low Income Families</t>
  </si>
  <si>
    <t>CMFA Recycled Bonds</t>
  </si>
  <si>
    <t>Secured by Leasehold Interest</t>
  </si>
  <si>
    <t>Other: Utility Costs</t>
  </si>
  <si>
    <t>Other: Construction Interest Rate Cap Premium</t>
  </si>
  <si>
    <t>Other: Borrrower Legal</t>
  </si>
  <si>
    <t>Above residual receipts line for cash flow</t>
  </si>
  <si>
    <t>Cash Flow From Operations</t>
  </si>
  <si>
    <t>7130 Avenida Encinas, Suite 201</t>
  </si>
  <si>
    <t>314-913-0551</t>
  </si>
  <si>
    <t>Andy.Markenson@RedstoneEquity.com</t>
  </si>
  <si>
    <t>Cash Flow During Lease Up</t>
  </si>
  <si>
    <t>CEO</t>
  </si>
  <si>
    <t>Davidson Pattiz</t>
  </si>
  <si>
    <t>Provided</t>
  </si>
  <si>
    <t>Not Applicable</t>
  </si>
  <si>
    <t>Capstone Equities, LLC</t>
  </si>
  <si>
    <t>5455 Wilshire Blvd, Suite 1012</t>
  </si>
  <si>
    <t>bmikail@capstonequities.com</t>
  </si>
  <si>
    <t>Los Angeles, CA 90036</t>
  </si>
  <si>
    <t xml:space="preserve">Capstone Equities </t>
  </si>
  <si>
    <t>Woodland Hills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</si>
</sst>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0" fillId="0" borderId="0" xfId="0" applyAlignment="1">
      <alignment horizontal="center"/>
    </xf>
    <xf numFmtId="0" fontId="0" fillId="0" borderId="12" xfId="0" applyBorder="1" applyAlignment="1">
      <alignment horizontal="center"/>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6" fillId="5" borderId="11" xfId="0" applyFont="1" applyFill="1" applyBorder="1" applyAlignment="1" applyProtection="1">
      <alignment vertical="center" wrapText="1"/>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3" fillId="0" borderId="6" xfId="0" applyFont="1" applyBorder="1" applyAlignment="1">
      <alignment horizontal="center"/>
    </xf>
    <xf numFmtId="0" fontId="23" fillId="0" borderId="10" xfId="0" applyFont="1" applyBorder="1" applyAlignment="1">
      <alignment horizontal="center"/>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3" fontId="25" fillId="0" borderId="11" xfId="0" applyNumberFormat="1"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5" fillId="5" borderId="4" xfId="0" applyFont="1" applyFill="1" applyBorder="1" applyAlignment="1" applyProtection="1">
      <alignment wrapText="1"/>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1" fontId="0" fillId="5" borderId="6" xfId="0" applyNumberFormat="1" applyFill="1" applyBorder="1" applyAlignment="1" applyProtection="1">
      <alignment horizontal="center"/>
      <protection locked="0"/>
    </xf>
    <xf numFmtId="168"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0" borderId="0" xfId="0"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25" fillId="0" borderId="4"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0" fillId="5" borderId="6" xfId="0" applyFill="1" applyBorder="1" applyProtection="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0" fillId="0" borderId="0" xfId="0" applyAlignment="1">
      <alignment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25" fillId="0" borderId="6" xfId="0" applyFont="1" applyBorder="1" applyAlignment="1">
      <alignment horizontal="left"/>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4" fontId="25" fillId="5" borderId="4" xfId="0" applyNumberFormat="1" applyFont="1" applyFill="1" applyBorder="1" applyAlignment="1" applyProtection="1">
      <alignment horizontal="right"/>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43" borderId="10" xfId="0" applyFill="1" applyBorder="1" applyAlignment="1" applyProtection="1">
      <alignment horizontal="left"/>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3" fillId="0" borderId="9" xfId="0" applyFont="1" applyBorder="1" applyAlignment="1">
      <alignment horizontal="center"/>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68" fontId="0" fillId="5" borderId="11"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8" fontId="16" fillId="5" borderId="11" xfId="0" applyNumberFormat="1" applyFont="1" applyFill="1" applyBorder="1" applyAlignment="1" applyProtection="1">
      <alignment horizontal="center"/>
      <protection locked="0"/>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23" fillId="0" borderId="6" xfId="0" applyFont="1" applyBorder="1" applyAlignment="1">
      <alignment horizontal="right"/>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3/contacts.pdf" TargetMode="External"/><Relationship Id="rId7" Type="http://schemas.openxmlformats.org/officeDocument/2006/relationships/table" Target="../tables/table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653</v>
      </c>
      <c r="F40" s="1260" t="s">
        <v>1164</v>
      </c>
    </row>
    <row r="41" spans="1:38" s="1260"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9" sqref="I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0" t="s">
        <v>1585</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85628108</v>
      </c>
      <c r="I3" s="1105"/>
    </row>
    <row r="4" spans="1:13" s="1051" customFormat="1" ht="20.100000000000001" customHeight="1">
      <c r="B4" s="1094"/>
      <c r="D4" s="1108"/>
      <c r="F4" s="1092" t="s">
        <v>1991</v>
      </c>
      <c r="G4" s="1091" t="s">
        <v>1990</v>
      </c>
      <c r="H4" s="1093">
        <f>I18</f>
        <v>36009926.470588237</v>
      </c>
      <c r="I4" s="1095"/>
      <c r="K4" s="1055"/>
    </row>
    <row r="5" spans="1:13" s="1051" customFormat="1" ht="20.100000000000001" customHeight="1" thickBot="1">
      <c r="B5" s="1096"/>
      <c r="C5" s="1097"/>
      <c r="D5" s="1109"/>
      <c r="E5" s="1098"/>
      <c r="F5" s="1109" t="s">
        <v>1941</v>
      </c>
      <c r="G5" s="1110"/>
      <c r="H5" s="1106">
        <f>IFERROR(H3/H4,0)</f>
        <v>2.3779028838045062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1939</v>
      </c>
      <c r="C8" s="2674"/>
      <c r="D8" s="2674"/>
      <c r="E8" s="2675"/>
      <c r="G8" s="2650" t="s">
        <v>1940</v>
      </c>
      <c r="H8" s="2651"/>
      <c r="I8" s="2652"/>
      <c r="K8" s="1057"/>
    </row>
    <row r="9" spans="1:13" ht="15" customHeight="1">
      <c r="A9" s="1046"/>
      <c r="B9" s="2671" t="s">
        <v>1973</v>
      </c>
      <c r="C9" s="2671"/>
      <c r="D9" s="2671"/>
      <c r="E9" s="1059">
        <f>G33</f>
        <v>18975000</v>
      </c>
      <c r="G9" s="2663" t="s">
        <v>1971</v>
      </c>
      <c r="H9" s="2663"/>
      <c r="I9" s="1060">
        <f>SUMIF(Application!M554:M565,"Loan, Tax-Exempt",Application!AM554:AM565)</f>
        <v>40500000</v>
      </c>
      <c r="K9" s="1061"/>
      <c r="M9" s="1062"/>
    </row>
    <row r="10" spans="1:13" ht="15" customHeight="1" thickBot="1">
      <c r="A10" s="1046"/>
      <c r="B10" s="2671" t="s">
        <v>1974</v>
      </c>
      <c r="C10" s="2671"/>
      <c r="D10" s="2671"/>
      <c r="E10" s="1060">
        <f>G47</f>
        <v>31837608</v>
      </c>
      <c r="G10" s="2677" t="s">
        <v>1942</v>
      </c>
      <c r="H10" s="2677"/>
      <c r="I10" s="1140">
        <f>'Basis &amp; Credits'!AB78</f>
        <v>0</v>
      </c>
      <c r="M10" s="1062"/>
    </row>
    <row r="11" spans="1:13" ht="15" customHeight="1">
      <c r="A11" s="1046"/>
      <c r="B11" s="2664" t="s">
        <v>2262</v>
      </c>
      <c r="C11" s="2665"/>
      <c r="D11" s="2666"/>
      <c r="E11" s="1060">
        <f>SUM(E12,E13)</f>
        <v>1040000</v>
      </c>
      <c r="G11" s="2662" t="s">
        <v>1982</v>
      </c>
      <c r="H11" s="2662"/>
      <c r="I11" s="1139">
        <f>I9+I10</f>
        <v>40500000</v>
      </c>
      <c r="M11" s="1062"/>
    </row>
    <row r="12" spans="1:13" ht="15" customHeight="1">
      <c r="A12" s="1063"/>
      <c r="B12" s="2672" t="s">
        <v>2264</v>
      </c>
      <c r="C12" s="2672"/>
      <c r="D12" s="2672"/>
      <c r="E12" s="1165">
        <f>G56</f>
        <v>0</v>
      </c>
      <c r="M12" s="1062"/>
    </row>
    <row r="13" spans="1:13" ht="15" customHeight="1">
      <c r="A13" s="1049"/>
      <c r="B13" s="2672" t="s">
        <v>2265</v>
      </c>
      <c r="C13" s="2672"/>
      <c r="D13" s="2672"/>
      <c r="E13" s="1165">
        <f>G65</f>
        <v>1040000</v>
      </c>
      <c r="G13" s="2650" t="s">
        <v>2005</v>
      </c>
      <c r="H13" s="2651"/>
      <c r="I13" s="2652"/>
      <c r="M13" s="1062"/>
    </row>
    <row r="14" spans="1:13" ht="15" customHeight="1">
      <c r="A14" s="1049"/>
      <c r="B14" s="2664" t="s">
        <v>2263</v>
      </c>
      <c r="C14" s="2665"/>
      <c r="D14" s="2666"/>
      <c r="E14" s="1167">
        <f>MAX(E15,E16)+E17</f>
        <v>33775500</v>
      </c>
      <c r="G14" s="2663" t="s">
        <v>139</v>
      </c>
      <c r="H14" s="2663"/>
      <c r="I14" s="1064">
        <f>15%*(AND(G120="Yes",G122&lt;&gt;""))</f>
        <v>0</v>
      </c>
      <c r="M14" s="1062"/>
    </row>
    <row r="15" spans="1:13" ht="15" customHeight="1">
      <c r="A15" s="1049"/>
      <c r="B15" s="2647" t="s">
        <v>2269</v>
      </c>
      <c r="C15" s="2648"/>
      <c r="D15" s="2649"/>
      <c r="E15" s="1165">
        <f>G80</f>
        <v>7590000</v>
      </c>
      <c r="G15" s="1137" t="s">
        <v>1983</v>
      </c>
      <c r="H15" s="1137"/>
      <c r="I15" s="1064">
        <f>IF(Application!AJ1032&gt;0,10%,IF(Application!AJ1036&gt;0,5%,0))</f>
        <v>0.05</v>
      </c>
      <c r="M15" s="1062"/>
    </row>
    <row r="16" spans="1:13" ht="15" customHeight="1">
      <c r="A16" s="1049"/>
      <c r="B16" s="2647" t="s">
        <v>2268</v>
      </c>
      <c r="C16" s="2648"/>
      <c r="D16" s="2649"/>
      <c r="E16" s="1165">
        <f>G90</f>
        <v>0</v>
      </c>
      <c r="G16" s="2663" t="s">
        <v>1984</v>
      </c>
      <c r="H16" s="2663"/>
      <c r="I16" s="1064">
        <f>G132</f>
        <v>6.0866013071895424E-2</v>
      </c>
    </row>
    <row r="17" spans="1:21" ht="15" customHeight="1" thickBot="1">
      <c r="A17" s="1049"/>
      <c r="B17" s="2647" t="s">
        <v>2267</v>
      </c>
      <c r="C17" s="2648"/>
      <c r="D17" s="2649"/>
      <c r="E17" s="1165">
        <f>G115</f>
        <v>26185500</v>
      </c>
      <c r="G17" s="2663" t="s">
        <v>2277</v>
      </c>
      <c r="H17" s="2663"/>
      <c r="I17" s="1064">
        <f>IF(AND(G139="Yes",OR(G136,G137)),IF(G143&gt;15%,15%,G143),0)</f>
        <v>0</v>
      </c>
    </row>
    <row r="18" spans="1:21" ht="15" customHeight="1">
      <c r="A18" s="1046"/>
      <c r="B18" s="2676" t="s">
        <v>1938</v>
      </c>
      <c r="C18" s="2676"/>
      <c r="D18" s="2676"/>
      <c r="E18" s="1111">
        <f>SUM(E9:E11,E14)</f>
        <v>85628108</v>
      </c>
      <c r="G18" s="1138" t="s">
        <v>1972</v>
      </c>
      <c r="H18" s="1138"/>
      <c r="I18" s="1112">
        <f>I11-((I11*I14)+(I11*I15)+(I11*I16)+(I11*I17))</f>
        <v>36009926.470588237</v>
      </c>
      <c r="M18" s="1065">
        <f>SUM(Cdlac[Quantity])</f>
        <v>314</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40</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82</v>
      </c>
      <c r="N21" s="1071">
        <f>Application!AC719</f>
        <v>0.6</v>
      </c>
      <c r="O21" s="1071">
        <f>IF(Cdlac[[#This Row],[Quantity]]&gt;0,IF(Cdlac[[#This Row],[Federal]],30%,IF(AND(OR(NOT($G$38),$G$38=""),$G$43),40%,Cdlac[[#This Row],[iAMI]])),"")</f>
        <v>0.6</v>
      </c>
      <c r="P21" s="1065" cm="1">
        <f t="array" ref="P21">IF(Cdlac[[#This Row],[Quantity]]&gt;0,INDEX(TcacRents,$P$18,Cdlac[[#This Row],[Bedrooms]]+1)*Cdlac[[#This Row],[AMI]],"")</f>
        <v>1704</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377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1986</v>
      </c>
      <c r="D22" s="2654" t="s">
        <v>1987</v>
      </c>
      <c r="E22" s="2654" t="s">
        <v>1988</v>
      </c>
      <c r="F22" s="2654" t="s">
        <v>2608</v>
      </c>
      <c r="G22" s="2654" t="s">
        <v>1985</v>
      </c>
      <c r="H22" s="1070"/>
      <c r="I22" s="1069"/>
      <c r="L22" s="1044">
        <f>IFERROR(MIN(4,MATCH(Application!B720,UnitSizes,0)-1),"")</f>
        <v>1</v>
      </c>
      <c r="M22" s="1065">
        <f>Application!G720</f>
        <v>20</v>
      </c>
      <c r="N22" s="1071">
        <f>Application!AC720</f>
        <v>0.7</v>
      </c>
      <c r="O22" s="1071">
        <f>IF(Cdlac[[#This Row],[Quantity]]&gt;0,IF(Cdlac[[#This Row],[Federal]],30%,IF(AND(OR(NOT($G$38),$G$38=""),$G$43),40%,Cdlac[[#This Row],[iAMI]])),"")</f>
        <v>0.7</v>
      </c>
      <c r="P22" s="1065" cm="1">
        <f t="array" ref="P22">IF(Cdlac[[#This Row],[Quantity]]&gt;0,INDEX(TcacRents,$P$18,Cdlac[[#This Row],[Bedrooms]]+1)*Cdlac[[#This Row],[AMI]],"")</f>
        <v>1987.9999999999998</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93.000000000000227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2</v>
      </c>
      <c r="M23" s="1065">
        <f>Application!G721</f>
        <v>4</v>
      </c>
      <c r="N23" s="1071">
        <f>Application!AC721</f>
        <v>0.3</v>
      </c>
      <c r="O23" s="1071">
        <f>IF(Cdlac[[#This Row],[Quantity]]&gt;0,IF(Cdlac[[#This Row],[Federal]],30%,IF(AND(OR(NOT($G$38),$G$38=""),$G$43),40%,Cdlac[[#This Row],[iAMI]])),"")</f>
        <v>0.3</v>
      </c>
      <c r="P23" s="1065" cm="1">
        <f t="array" ref="P23">IF(Cdlac[[#This Row],[Quantity]]&gt;0,INDEX(TcacRents,$P$18,Cdlac[[#This Row],[Bedrooms]]+1)*Cdlac[[#This Row],[AMI]],"")</f>
        <v>1021.8</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1603.2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4</v>
      </c>
      <c r="N24" s="1071">
        <f>Application!AC722</f>
        <v>0.5</v>
      </c>
      <c r="O24" s="1071">
        <f>IF(Cdlac[[#This Row],[Quantity]]&gt;0,IF(Cdlac[[#This Row],[Federal]],30%,IF(AND(OR(NOT($G$38),$G$38=""),$G$43),40%,Cdlac[[#This Row],[iAMI]])),"")</f>
        <v>0.5</v>
      </c>
      <c r="P24" s="1065" cm="1">
        <f t="array" ref="P24">IF(Cdlac[[#This Row],[Quantity]]&gt;0,INDEX(TcacRents,$P$18,Cdlac[[#This Row],[Bedrooms]]+1)*Cdlac[[#This Row],[AMI]],"")</f>
        <v>1703</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922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142</v>
      </c>
      <c r="F25" s="1072">
        <f>E25</f>
        <v>142</v>
      </c>
      <c r="G25" s="1072">
        <f>D25*F25</f>
        <v>142</v>
      </c>
      <c r="L25" s="1044">
        <f>IFERROR(MIN(4,MATCH(Application!B723,UnitSizes,0)-1),"")</f>
        <v>2</v>
      </c>
      <c r="M25" s="1065">
        <f>Application!G723</f>
        <v>74</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82</v>
      </c>
      <c r="F26" s="1075">
        <f>SUM(E26:E28)-SUM(F27:F28)</f>
        <v>82</v>
      </c>
      <c r="G26" s="1072">
        <f>D26*F26</f>
        <v>102.5</v>
      </c>
      <c r="H26" s="1074"/>
      <c r="I26" s="1074"/>
      <c r="L26" s="1044">
        <f>IFERROR(MIN(4,MATCH(Application!B724,UnitSizes,0)-1),"")</f>
        <v>3</v>
      </c>
      <c r="M26" s="1065">
        <f>Application!G724</f>
        <v>8</v>
      </c>
      <c r="N26" s="1071">
        <f>Application!AC724</f>
        <v>0.3</v>
      </c>
      <c r="O26" s="1071">
        <f>IF(Cdlac[[#This Row],[Quantity]]&gt;0,IF(Cdlac[[#This Row],[Federal]],30%,IF(AND(OR(NOT($G$38),$G$38=""),$G$43),40%,Cdlac[[#This Row],[iAMI]])),"")</f>
        <v>0.3</v>
      </c>
      <c r="P26" s="1065" cm="1">
        <f t="array" ref="P26">IF(Cdlac[[#This Row],[Quantity]]&gt;0,INDEX(TcacRents,$P$18,Cdlac[[#This Row],[Bedrooms]]+1)*Cdlac[[#This Row],[AMI]],"")</f>
        <v>1181.3999999999999</v>
      </c>
      <c r="Q26" s="1164"/>
      <c r="R26" s="1065" cm="1">
        <f t="array" ref="R26">IF(Cdlac[[#This Row],[Quantity]]&gt;0,INDEX(HudFmrs,$P$18,Cdlac[[#This Row],[Bedrooms]]+1),"")</f>
        <v>3335</v>
      </c>
      <c r="S26" s="1065">
        <f>IF(Cdlac[[#This Row],[Quantity]]&gt;0,MAX(0,Cdlac[[#This Row],[Fair Market Rent]]-IF(AND($G$37,$G$38,$G$38&lt;&gt;"",NOT(Cdlac[[#This Row],[Federal]]),Cdlac[[#This Row],[Preservation Rent]]&lt;&gt;""),Cdlac[[#This Row],[Preservation Rent]],Cdlac[[#This Row],[Restricted Rent]])),"")</f>
        <v>2153.6000000000004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90</v>
      </c>
      <c r="F27" s="1075">
        <f>MIN(E27,ROUNDDOWN(E29*30%,0))</f>
        <v>90</v>
      </c>
      <c r="G27" s="1072">
        <f>D27*F27</f>
        <v>135</v>
      </c>
      <c r="H27" s="1074"/>
      <c r="I27" s="1074"/>
      <c r="L27" s="1044">
        <f>IFERROR(MIN(4,MATCH(Application!B725,UnitSizes,0)-1),"")</f>
        <v>3</v>
      </c>
      <c r="M27" s="1065">
        <f>Application!G725</f>
        <v>8</v>
      </c>
      <c r="N27" s="1071">
        <f>Application!AC725</f>
        <v>0.5</v>
      </c>
      <c r="O27" s="1071">
        <f>IF(Cdlac[[#This Row],[Quantity]]&gt;0,IF(Cdlac[[#This Row],[Federal]],30%,IF(AND(OR(NOT($G$38),$G$38=""),$G$43),40%,Cdlac[[#This Row],[iAMI]])),"")</f>
        <v>0.5</v>
      </c>
      <c r="P27" s="1065" cm="1">
        <f t="array" ref="P27">IF(Cdlac[[#This Row],[Quantity]]&gt;0,INDEX(TcacRents,$P$18,Cdlac[[#This Row],[Bedrooms]]+1)*Cdlac[[#This Row],[AMI]],"")</f>
        <v>1969</v>
      </c>
      <c r="Q27" s="1164"/>
      <c r="R27" s="1065" cm="1">
        <f t="array" ref="R27">IF(Cdlac[[#This Row],[Quantity]]&gt;0,INDEX(HudFmrs,$P$18,Cdlac[[#This Row],[Bedrooms]]+1),"")</f>
        <v>3335</v>
      </c>
      <c r="S27" s="1065">
        <f>IF(Cdlac[[#This Row],[Quantity]]&gt;0,MAX(0,Cdlac[[#This Row],[Fair Market Rent]]-IF(AND($G$37,$G$38,$G$38&lt;&gt;"",NOT(Cdlac[[#This Row],[Federal]]),Cdlac[[#This Row],[Preservation Rent]]&lt;&gt;""),Cdlac[[#This Row],[Preservation Rent]],Cdlac[[#This Row],[Restricted Rent]])),"")</f>
        <v>1366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74</v>
      </c>
      <c r="N28" s="1071">
        <f>Application!AC726</f>
        <v>0.8</v>
      </c>
      <c r="O28" s="1071">
        <f>IF(Cdlac[[#This Row],[Quantity]]&gt;0,IF(Cdlac[[#This Row],[Federal]],30%,IF(AND(OR(NOT($G$38),$G$38=""),$G$43),40%,Cdlac[[#This Row],[iAMI]])),"")</f>
        <v>0.8</v>
      </c>
      <c r="P28" s="1065" cm="1">
        <f t="array" ref="P28">IF(Cdlac[[#This Row],[Quantity]]&gt;0,INDEX(TcacRents,$P$18,Cdlac[[#This Row],[Bedrooms]]+1)*Cdlac[[#This Row],[AMI]],"")</f>
        <v>3150.4</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184.59999999999991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1586</v>
      </c>
      <c r="D29" s="2657"/>
      <c r="E29" s="1089">
        <f>SUM(E24:E28)</f>
        <v>314</v>
      </c>
      <c r="F29" s="1089">
        <f>SUM(F24:F28)</f>
        <v>314</v>
      </c>
      <c r="G29" s="1090">
        <f>SUMPRODUCT(D24:D28,F24:F28)</f>
        <v>379.5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379.5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18975000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176875.6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31837608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157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52</v>
      </c>
    </row>
    <row r="61" spans="2:21" ht="15" customHeight="1">
      <c r="E61" s="1117" t="s">
        <v>1994</v>
      </c>
      <c r="G61" s="1079">
        <f>ROUNDDOWN(E29*50%,0)</f>
        <v>157</v>
      </c>
    </row>
    <row r="62" spans="2:21" ht="15" customHeight="1">
      <c r="E62" s="1117"/>
      <c r="G62" s="1079"/>
    </row>
    <row r="63" spans="2:21" ht="15" customHeight="1">
      <c r="E63" s="1117" t="s">
        <v>1954</v>
      </c>
      <c r="G63" s="1114">
        <f>MIN(G60:G61)</f>
        <v>52</v>
      </c>
    </row>
    <row r="64" spans="2:21" ht="15" customHeight="1">
      <c r="E64" s="1117" t="s">
        <v>1944</v>
      </c>
      <c r="F64" s="1113" t="s">
        <v>1992</v>
      </c>
      <c r="G64" s="1124">
        <v>20000</v>
      </c>
    </row>
    <row r="65" spans="2:14" ht="15" customHeight="1">
      <c r="E65" s="1118" t="s">
        <v>1976</v>
      </c>
      <c r="F65" s="1046"/>
      <c r="G65" s="1123">
        <f>G63*G64</f>
        <v>1040000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 Resource</v>
      </c>
      <c r="L72" s="2667" t="s">
        <v>1969</v>
      </c>
      <c r="M72" s="2668"/>
      <c r="N72" s="1131">
        <v>30000</v>
      </c>
    </row>
    <row r="73" spans="2:14" ht="15" customHeight="1">
      <c r="C73" s="2669" t="s">
        <v>2261</v>
      </c>
      <c r="D73" s="2669"/>
      <c r="E73" s="2669"/>
      <c r="F73" s="2669"/>
      <c r="G73" s="1043" t="s">
        <v>669</v>
      </c>
      <c r="L73" s="2678" t="s">
        <v>1937</v>
      </c>
      <c r="M73" s="2679"/>
      <c r="N73" s="1132">
        <v>20000</v>
      </c>
    </row>
    <row r="74" spans="2:14" ht="15" customHeight="1" thickBot="1">
      <c r="C74" s="2669"/>
      <c r="D74" s="2669"/>
      <c r="E74" s="2669"/>
      <c r="F74" s="2669"/>
      <c r="L74" s="2680" t="s">
        <v>1970</v>
      </c>
      <c r="M74" s="2681"/>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379.5</v>
      </c>
    </row>
    <row r="80" spans="2:14" ht="15" customHeight="1">
      <c r="D80" s="1046"/>
      <c r="E80" s="1118" t="s">
        <v>2266</v>
      </c>
      <c r="F80" s="1046"/>
      <c r="G80" s="1123">
        <f>G79*G78*G76</f>
        <v>7590000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379.5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379.5</v>
      </c>
    </row>
    <row r="97" spans="2:14" ht="15" customHeight="1">
      <c r="E97" s="1118" t="s">
        <v>1961</v>
      </c>
      <c r="F97" s="1046"/>
      <c r="G97" s="1123">
        <f>G94*G95*G96</f>
        <v>10626000</v>
      </c>
      <c r="L97" s="1127" t="str">
        <f>'Points System'!H638</f>
        <v>(i)</v>
      </c>
      <c r="M97" s="2686" t="s">
        <v>1405</v>
      </c>
      <c r="N97" s="2687"/>
    </row>
    <row r="98" spans="2:14" ht="15" customHeight="1">
      <c r="C98" s="1077"/>
      <c r="G98" s="1114"/>
      <c r="L98" s="1128" t="str">
        <f>'Points System'!H650</f>
        <v>N/A</v>
      </c>
      <c r="M98" s="2682" t="s">
        <v>1956</v>
      </c>
      <c r="N98" s="2683"/>
    </row>
    <row r="99" spans="2:14" ht="15" customHeight="1">
      <c r="E99" s="1084" t="s">
        <v>1997</v>
      </c>
      <c r="G99" s="1126">
        <f>COUNTIFS(L97:L104,"(i)")</f>
        <v>4</v>
      </c>
      <c r="L99" s="1128" t="str">
        <f>'Points System'!H685</f>
        <v>(ii)</v>
      </c>
      <c r="M99" s="2682" t="s">
        <v>1957</v>
      </c>
      <c r="N99" s="2683"/>
    </row>
    <row r="100" spans="2:14" ht="15" customHeight="1">
      <c r="E100" s="1084" t="s">
        <v>1944</v>
      </c>
      <c r="F100" s="1113" t="s">
        <v>1992</v>
      </c>
      <c r="G100" s="1124">
        <v>4000</v>
      </c>
      <c r="L100" s="1128" t="str">
        <f>IF(OR('Points System'!H709="(ii)",'Points System'!H709="(i)"),"(i)","N/A")</f>
        <v>(i)</v>
      </c>
      <c r="M100" s="2682" t="s">
        <v>1958</v>
      </c>
      <c r="N100" s="2683"/>
    </row>
    <row r="101" spans="2:14" ht="15" customHeight="1">
      <c r="E101" s="1118" t="s">
        <v>1962</v>
      </c>
      <c r="F101" s="1046"/>
      <c r="G101" s="1123">
        <f>G96*G99*G100</f>
        <v>6072000</v>
      </c>
      <c r="L101" s="1129" t="str">
        <f>'Points System'!H723</f>
        <v>N/A</v>
      </c>
      <c r="M101" s="2682" t="s">
        <v>1431</v>
      </c>
      <c r="N101" s="2683"/>
    </row>
    <row r="102" spans="2:14" ht="15" customHeight="1">
      <c r="L102" s="1128" t="str">
        <f>'Points System'!H735</f>
        <v>N/A</v>
      </c>
      <c r="M102" s="2682" t="s">
        <v>1959</v>
      </c>
      <c r="N102" s="2683"/>
    </row>
    <row r="103" spans="2:14" ht="15" customHeight="1">
      <c r="C103" s="1080" t="s">
        <v>1964</v>
      </c>
      <c r="L103" s="1128" t="str">
        <f>'Points System'!H751</f>
        <v>(i)</v>
      </c>
      <c r="M103" s="2682" t="s">
        <v>1960</v>
      </c>
      <c r="N103" s="2683"/>
    </row>
    <row r="104" spans="2:14" ht="15" customHeight="1" thickBot="1">
      <c r="C104" s="1077" t="s">
        <v>1965</v>
      </c>
      <c r="G104" s="1043"/>
      <c r="L104" s="1130" t="str">
        <f>'Points System'!H763</f>
        <v>(i)</v>
      </c>
      <c r="M104" s="2684" t="s">
        <v>1434</v>
      </c>
      <c r="N104" s="2685"/>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379.5</v>
      </c>
    </row>
    <row r="112" spans="2:14" ht="15" customHeight="1">
      <c r="E112" s="1084" t="s">
        <v>1944</v>
      </c>
      <c r="F112" s="1113" t="s">
        <v>1992</v>
      </c>
      <c r="G112" s="1124">
        <v>25000</v>
      </c>
    </row>
    <row r="113" spans="2:9" ht="15" customHeight="1">
      <c r="E113" s="1118" t="s">
        <v>1963</v>
      </c>
      <c r="F113" s="1046"/>
      <c r="G113" s="1123">
        <f>G109*G112*G96</f>
        <v>9487500</v>
      </c>
    </row>
    <row r="114" spans="2:9" ht="15" customHeight="1">
      <c r="C114" s="1077"/>
      <c r="E114" s="1077"/>
    </row>
    <row r="115" spans="2:9" ht="15" customHeight="1">
      <c r="E115" s="1118" t="s">
        <v>2271</v>
      </c>
      <c r="G115" s="1123">
        <f>G113+G101+G97</f>
        <v>26185500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2226</v>
      </c>
      <c r="D119" s="2658"/>
      <c r="E119" s="2658"/>
      <c r="F119" s="2658"/>
    </row>
    <row r="120" spans="2:9" ht="15" customHeight="1">
      <c r="C120" s="2658"/>
      <c r="D120" s="2658"/>
      <c r="E120" s="2658"/>
      <c r="F120" s="2658"/>
      <c r="G120" s="1043"/>
    </row>
    <row r="121" spans="2:9" ht="15" customHeight="1"/>
    <row r="122" spans="2:9" ht="15" customHeight="1">
      <c r="C122" s="1044" t="s">
        <v>2228</v>
      </c>
      <c r="G122" s="2660"/>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ht="15">
      <c r="D132" s="1046"/>
      <c r="E132" s="1118" t="s">
        <v>2002</v>
      </c>
      <c r="F132" s="1134"/>
      <c r="G132" s="1135">
        <f>((G130-G131)/G131)*0.25</f>
        <v>6.0866013071895424E-2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3" t="s">
        <v>2274</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6075000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40</v>
      </c>
      <c r="C4" s="1162"/>
      <c r="D4" s="428">
        <f>Application!O718</f>
        <v>822</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82</v>
      </c>
      <c r="C5" s="1162"/>
      <c r="D5" s="428">
        <f>Application!O719</f>
        <v>1674</v>
      </c>
      <c r="E5" s="429"/>
      <c r="F5" s="1083"/>
      <c r="G5" s="428">
        <f t="shared" ref="G5:G38" si="2">F5*B5</f>
        <v>0</v>
      </c>
      <c r="H5" s="429"/>
      <c r="I5" s="428" t="str">
        <f t="shared" si="0"/>
        <v/>
      </c>
      <c r="J5" s="428" t="str">
        <f t="shared" si="1"/>
        <v/>
      </c>
      <c r="K5" s="204"/>
      <c r="L5" s="305"/>
    </row>
    <row r="6" spans="1:12">
      <c r="A6" s="428" t="str">
        <f>Application!B720</f>
        <v>1 Bedroom</v>
      </c>
      <c r="B6" s="1082">
        <f>Application!G720</f>
        <v>20</v>
      </c>
      <c r="C6" s="1162"/>
      <c r="D6" s="428">
        <f>Application!O720</f>
        <v>1957</v>
      </c>
      <c r="E6" s="429"/>
      <c r="F6" s="1083"/>
      <c r="G6" s="428">
        <f t="shared" si="2"/>
        <v>0</v>
      </c>
      <c r="H6" s="429"/>
      <c r="I6" s="428" t="str">
        <f t="shared" si="0"/>
        <v/>
      </c>
      <c r="J6" s="428" t="str">
        <f t="shared" si="1"/>
        <v/>
      </c>
      <c r="K6" s="204"/>
      <c r="L6" s="305"/>
    </row>
    <row r="7" spans="1:12">
      <c r="A7" s="428" t="str">
        <f>Application!B721</f>
        <v>2 Bedrooms</v>
      </c>
      <c r="B7" s="1082">
        <f>Application!G721</f>
        <v>4</v>
      </c>
      <c r="C7" s="1162"/>
      <c r="D7" s="428">
        <f>Application!O721</f>
        <v>983</v>
      </c>
      <c r="E7" s="429"/>
      <c r="F7" s="1083"/>
      <c r="G7" s="428">
        <f t="shared" si="2"/>
        <v>0</v>
      </c>
      <c r="H7" s="429"/>
      <c r="I7" s="428" t="str">
        <f t="shared" si="0"/>
        <v/>
      </c>
      <c r="J7" s="428" t="str">
        <f t="shared" si="1"/>
        <v/>
      </c>
      <c r="K7" s="204"/>
      <c r="L7" s="305"/>
    </row>
    <row r="8" spans="1:12">
      <c r="A8" s="428" t="str">
        <f>Application!B722</f>
        <v>2 Bedrooms</v>
      </c>
      <c r="B8" s="1082">
        <f>Application!G722</f>
        <v>4</v>
      </c>
      <c r="C8" s="1162"/>
      <c r="D8" s="428">
        <f>Application!O722</f>
        <v>1665</v>
      </c>
      <c r="E8" s="429"/>
      <c r="F8" s="1083"/>
      <c r="G8" s="428">
        <f t="shared" si="2"/>
        <v>0</v>
      </c>
      <c r="H8" s="429"/>
      <c r="I8" s="428" t="str">
        <f t="shared" si="0"/>
        <v/>
      </c>
      <c r="J8" s="428" t="str">
        <f t="shared" si="1"/>
        <v/>
      </c>
      <c r="K8" s="204"/>
      <c r="L8" s="305"/>
    </row>
    <row r="9" spans="1:12">
      <c r="A9" s="428" t="str">
        <f>Application!B723</f>
        <v>2 Bedrooms</v>
      </c>
      <c r="B9" s="1082">
        <f>Application!G723</f>
        <v>74</v>
      </c>
      <c r="C9" s="1162"/>
      <c r="D9" s="428">
        <f>Application!O723</f>
        <v>2005</v>
      </c>
      <c r="E9" s="429"/>
      <c r="F9" s="1083"/>
      <c r="G9" s="428">
        <f t="shared" si="2"/>
        <v>0</v>
      </c>
      <c r="H9" s="429"/>
      <c r="I9" s="428" t="str">
        <f t="shared" si="0"/>
        <v/>
      </c>
      <c r="J9" s="428" t="str">
        <f t="shared" si="1"/>
        <v/>
      </c>
      <c r="K9" s="204"/>
      <c r="L9" s="305"/>
    </row>
    <row r="10" spans="1:12">
      <c r="A10" s="428" t="str">
        <f>Application!B724</f>
        <v>3 Bedrooms</v>
      </c>
      <c r="B10" s="1082">
        <f>Application!G724</f>
        <v>8</v>
      </c>
      <c r="C10" s="1162"/>
      <c r="D10" s="428">
        <f>Application!O724</f>
        <v>1132</v>
      </c>
      <c r="E10" s="429"/>
      <c r="F10" s="1083"/>
      <c r="G10" s="428">
        <f t="shared" si="2"/>
        <v>0</v>
      </c>
      <c r="H10" s="429"/>
      <c r="I10" s="428" t="str">
        <f t="shared" si="0"/>
        <v/>
      </c>
      <c r="J10" s="428" t="str">
        <f t="shared" si="1"/>
        <v/>
      </c>
      <c r="K10" s="204"/>
      <c r="L10" s="305"/>
    </row>
    <row r="11" spans="1:12">
      <c r="A11" s="428" t="str">
        <f>Application!B725</f>
        <v>3 Bedrooms</v>
      </c>
      <c r="B11" s="1082">
        <f>Application!G725</f>
        <v>8</v>
      </c>
      <c r="C11" s="1162"/>
      <c r="D11" s="428">
        <f>Application!O725</f>
        <v>1921</v>
      </c>
      <c r="E11" s="429"/>
      <c r="F11" s="1083"/>
      <c r="G11" s="428">
        <f t="shared" si="2"/>
        <v>0</v>
      </c>
      <c r="H11" s="429"/>
      <c r="I11" s="428" t="str">
        <f t="shared" si="0"/>
        <v/>
      </c>
      <c r="J11" s="428" t="str">
        <f t="shared" si="1"/>
        <v/>
      </c>
      <c r="K11" s="204"/>
      <c r="L11" s="305"/>
    </row>
    <row r="12" spans="1:12">
      <c r="A12" s="428" t="str">
        <f>Application!B726</f>
        <v>3 Bedrooms</v>
      </c>
      <c r="B12" s="1082">
        <f>Application!G726</f>
        <v>74</v>
      </c>
      <c r="C12" s="1162"/>
      <c r="D12" s="428">
        <f>Application!O726</f>
        <v>3102</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622222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9" t="s">
        <v>2495</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2257</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S55" sqref="S55"/>
    </sheetView>
  </sheetViews>
  <sheetFormatPr defaultColWidth="0" defaultRowHeight="12.75" zeroHeight="1"/>
  <cols>
    <col min="1" max="1" width="3.7109375" customWidth="1"/>
    <col min="2" max="2" width="30.42578125" customWidth="1"/>
    <col min="3" max="3" width="11.8554687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7466664</v>
      </c>
      <c r="G4" s="219">
        <f>E4*$C$4</f>
        <v>7653330.5999999996</v>
      </c>
      <c r="I4" s="219">
        <f>G4*$C$4</f>
        <v>7844663.8649999993</v>
      </c>
      <c r="K4" s="219">
        <f>I4*$C$4</f>
        <v>8040780.4616249986</v>
      </c>
      <c r="M4" s="219">
        <f>K4*$C$4</f>
        <v>8241799.9731656229</v>
      </c>
      <c r="O4" s="219">
        <f>M4*$C$4</f>
        <v>8447844.9724947624</v>
      </c>
      <c r="Q4" s="219">
        <f>O4*$C$4</f>
        <v>8659041.0968071315</v>
      </c>
      <c r="S4" s="219">
        <f>Q4*$C$4</f>
        <v>8875517.1242273096</v>
      </c>
      <c r="U4" s="219">
        <f>S4*$C$4</f>
        <v>9097405.0523329917</v>
      </c>
      <c r="W4" s="219">
        <f>U4*$C$4</f>
        <v>9324840.1786413155</v>
      </c>
      <c r="Y4" s="219">
        <f>W4*$C$4</f>
        <v>9557961.1831073482</v>
      </c>
      <c r="AA4" s="219">
        <f>Y4*$C$4</f>
        <v>9796910.2126850318</v>
      </c>
      <c r="AC4" s="219">
        <f>AA4*$C$4</f>
        <v>10041832.968002157</v>
      </c>
      <c r="AE4" s="219">
        <f>AC4*$C$4</f>
        <v>10292878.79220221</v>
      </c>
      <c r="AG4" s="219">
        <f>AE4*$C$4</f>
        <v>10550200.762007264</v>
      </c>
    </row>
    <row r="5" spans="1:34" s="210" customFormat="1" ht="14.25">
      <c r="B5" s="210" t="s">
        <v>838</v>
      </c>
      <c r="C5" s="238">
        <f>IF(Application!$D$211="Special Needs",(((0.1*Application!$T$212)+(0.05*(1-Application!$T$212)))),0.05)</f>
        <v>0.05</v>
      </c>
      <c r="E5" s="221">
        <f>-E4*$C$5</f>
        <v>-373333.2</v>
      </c>
      <c r="F5" s="221"/>
      <c r="G5" s="221">
        <f>-G4*$C$5</f>
        <v>-382666.53</v>
      </c>
      <c r="H5" s="221"/>
      <c r="I5" s="221">
        <f>-I4*$C$5</f>
        <v>-392233.19325000001</v>
      </c>
      <c r="J5" s="221"/>
      <c r="K5" s="221">
        <f>-K4*$C$5</f>
        <v>-402039.02308124996</v>
      </c>
      <c r="L5" s="221"/>
      <c r="M5" s="221">
        <f>-M4*$C$5</f>
        <v>-412089.99865828117</v>
      </c>
      <c r="N5" s="221"/>
      <c r="O5" s="221">
        <f>-O4*$C$5</f>
        <v>-422392.24862473813</v>
      </c>
      <c r="P5" s="221"/>
      <c r="Q5" s="221">
        <f>-Q4*$C$5</f>
        <v>-432952.05484035658</v>
      </c>
      <c r="R5" s="221"/>
      <c r="S5" s="221">
        <f>-S4*$C$5</f>
        <v>-443775.85621136549</v>
      </c>
      <c r="T5" s="221"/>
      <c r="U5" s="221">
        <f>-U4*$C$5</f>
        <v>-454870.25261664961</v>
      </c>
      <c r="V5" s="221"/>
      <c r="W5" s="221">
        <f>-W4*$C$5</f>
        <v>-466242.0089320658</v>
      </c>
      <c r="X5" s="221"/>
      <c r="Y5" s="221">
        <f>-Y4*$C$5</f>
        <v>-477898.05915536743</v>
      </c>
      <c r="Z5" s="221"/>
      <c r="AA5" s="221">
        <f>-AA4*$C$5</f>
        <v>-489845.51063425164</v>
      </c>
      <c r="AB5" s="221"/>
      <c r="AC5" s="221">
        <f>-AC4*$C$5</f>
        <v>-502091.64840010786</v>
      </c>
      <c r="AD5" s="221"/>
      <c r="AE5" s="221">
        <f>-AE4*$C$5</f>
        <v>-514643.93961011054</v>
      </c>
      <c r="AF5" s="221"/>
      <c r="AG5" s="221">
        <f>-AG4*$C$5</f>
        <v>-527510.03810036322</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60000</v>
      </c>
      <c r="F8" s="222"/>
      <c r="G8" s="222">
        <f>E8*$C$8</f>
        <v>61499.999999999993</v>
      </c>
      <c r="H8" s="222"/>
      <c r="I8" s="222">
        <f>G8*$C$8</f>
        <v>63037.499999999985</v>
      </c>
      <c r="J8" s="222"/>
      <c r="K8" s="222">
        <f>I8*$C$8</f>
        <v>64613.437499999978</v>
      </c>
      <c r="L8" s="222"/>
      <c r="M8" s="222">
        <f>K8*$C$8</f>
        <v>66228.773437499971</v>
      </c>
      <c r="N8" s="222"/>
      <c r="O8" s="222">
        <f>M8*$C$8</f>
        <v>67884.492773437465</v>
      </c>
      <c r="P8" s="222"/>
      <c r="Q8" s="222">
        <f>O8*$C$8</f>
        <v>69581.605092773389</v>
      </c>
      <c r="R8" s="222"/>
      <c r="S8" s="222">
        <f>Q8*$C$8</f>
        <v>71321.145220092716</v>
      </c>
      <c r="T8" s="222"/>
      <c r="U8" s="222">
        <f>S8*$C$8</f>
        <v>73104.173850595034</v>
      </c>
      <c r="V8" s="222"/>
      <c r="W8" s="222">
        <f>U8*$C$8</f>
        <v>74931.778196859901</v>
      </c>
      <c r="X8" s="222"/>
      <c r="Y8" s="222">
        <f>W8*$C$8</f>
        <v>76805.072651781389</v>
      </c>
      <c r="Z8" s="222"/>
      <c r="AA8" s="222">
        <f>Y8*$C$8</f>
        <v>78725.199468075924</v>
      </c>
      <c r="AB8" s="222"/>
      <c r="AC8" s="222">
        <f>AA8*$C$8</f>
        <v>80693.329454777821</v>
      </c>
      <c r="AD8" s="222"/>
      <c r="AE8" s="222">
        <f>AC8*$C$8</f>
        <v>82710.662691147256</v>
      </c>
      <c r="AF8" s="222"/>
      <c r="AG8" s="222">
        <f>AE8*$C$8</f>
        <v>84778.429258425924</v>
      </c>
    </row>
    <row r="9" spans="1:34" s="210" customFormat="1" ht="14.25">
      <c r="B9" s="210" t="s">
        <v>838</v>
      </c>
      <c r="C9" s="238">
        <f>IF(Application!$D$211="Special Needs",(((0.1*Application!$T$212)+(0.05*(1-Application!$T$212)))),0.05)</f>
        <v>0.05</v>
      </c>
      <c r="E9" s="221">
        <f>-E8*$C$9</f>
        <v>-3000</v>
      </c>
      <c r="F9" s="221"/>
      <c r="G9" s="221">
        <f>-G8*$C$9</f>
        <v>-3075</v>
      </c>
      <c r="H9" s="221"/>
      <c r="I9" s="221">
        <f>-I8*$C$9</f>
        <v>-3151.8749999999995</v>
      </c>
      <c r="J9" s="221"/>
      <c r="K9" s="221">
        <f>-K8*$C$9</f>
        <v>-3230.6718749999991</v>
      </c>
      <c r="L9" s="221"/>
      <c r="M9" s="221">
        <f>-M8*$C$9</f>
        <v>-3311.4386718749988</v>
      </c>
      <c r="N9" s="221"/>
      <c r="O9" s="221">
        <f>-O8*$C$9</f>
        <v>-3394.2246386718734</v>
      </c>
      <c r="P9" s="221"/>
      <c r="Q9" s="221">
        <f>-Q8*$C$9</f>
        <v>-3479.0802546386694</v>
      </c>
      <c r="R9" s="221"/>
      <c r="S9" s="221">
        <f>-S8*$C$9</f>
        <v>-3566.0572610046361</v>
      </c>
      <c r="T9" s="221"/>
      <c r="U9" s="221">
        <f>-U8*$C$9</f>
        <v>-3655.2086925297517</v>
      </c>
      <c r="V9" s="221"/>
      <c r="W9" s="221">
        <f>-W8*$C$9</f>
        <v>-3746.5889098429952</v>
      </c>
      <c r="X9" s="221"/>
      <c r="Y9" s="221">
        <f>-Y8*$C$9</f>
        <v>-3840.2536325890696</v>
      </c>
      <c r="Z9" s="221"/>
      <c r="AA9" s="221">
        <f>-AA8*$C$9</f>
        <v>-3936.2599734037963</v>
      </c>
      <c r="AB9" s="221"/>
      <c r="AC9" s="221">
        <f>-AC8*$C$9</f>
        <v>-4034.6664727388911</v>
      </c>
      <c r="AD9" s="221"/>
      <c r="AE9" s="221">
        <f>-AE8*$C$9</f>
        <v>-4135.5331345573632</v>
      </c>
      <c r="AF9" s="221"/>
      <c r="AG9" s="221">
        <f>-AG8*$C$9</f>
        <v>-4238.9214629212966</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7150330.7999999998</v>
      </c>
      <c r="G11" s="223">
        <f>SUM(G4:G10)</f>
        <v>7329089.0699999994</v>
      </c>
      <c r="I11" s="223">
        <f>SUM(I4:I10)</f>
        <v>7512316.2967499997</v>
      </c>
      <c r="K11" s="223">
        <f>SUM(K4:K10)</f>
        <v>7700124.204168749</v>
      </c>
      <c r="M11" s="223">
        <f>SUM(M4:M10)</f>
        <v>7892627.3092729673</v>
      </c>
      <c r="O11" s="223">
        <f>SUM(O4:O10)</f>
        <v>8089942.9920047903</v>
      </c>
      <c r="Q11" s="223">
        <f>SUM(Q4:Q10)</f>
        <v>8292191.5668049101</v>
      </c>
      <c r="S11" s="223">
        <f>SUM(S4:S10)</f>
        <v>8499496.3559750319</v>
      </c>
      <c r="U11" s="223">
        <f>SUM(U4:U10)</f>
        <v>8711983.764874408</v>
      </c>
      <c r="W11" s="223">
        <f>SUM(W4:W10)</f>
        <v>8929783.3589962684</v>
      </c>
      <c r="Y11" s="223">
        <f>SUM(Y4:Y10)</f>
        <v>9153027.9429711737</v>
      </c>
      <c r="AA11" s="223">
        <f>SUM(AA4:AA10)</f>
        <v>9381853.641545454</v>
      </c>
      <c r="AC11" s="223">
        <f>SUM(AC4:AC10)</f>
        <v>9616399.982584089</v>
      </c>
      <c r="AE11" s="223">
        <f>SUM(AE4:AE10)</f>
        <v>9856809.9821486901</v>
      </c>
      <c r="AG11" s="223">
        <f>SUM(AG4:AG10)</f>
        <v>10103230.231702406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95000</v>
      </c>
      <c r="G15" s="219">
        <f>E15*$C$14</f>
        <v>98324.999999999985</v>
      </c>
      <c r="I15" s="219">
        <f>G15*$C$14</f>
        <v>101766.37499999997</v>
      </c>
      <c r="K15" s="219">
        <f>I15*$C$14</f>
        <v>105328.19812499997</v>
      </c>
      <c r="M15" s="219">
        <f>K15*$C$14</f>
        <v>109014.68505937496</v>
      </c>
      <c r="O15" s="219">
        <f>M15*$C$14</f>
        <v>112830.19903645306</v>
      </c>
      <c r="Q15" s="219">
        <f>O15*$C$14</f>
        <v>116779.25600272891</v>
      </c>
      <c r="S15" s="219">
        <f>Q15*$C$14</f>
        <v>120866.52996282441</v>
      </c>
      <c r="U15" s="219">
        <f>S15*$C$14</f>
        <v>125096.85851152326</v>
      </c>
      <c r="W15" s="219">
        <f>U15*$C$14</f>
        <v>129475.24855942656</v>
      </c>
      <c r="Y15" s="219">
        <f>W15*$C$14</f>
        <v>134006.88225900647</v>
      </c>
      <c r="AA15" s="219">
        <f>Y15*$C$14</f>
        <v>138697.12313807168</v>
      </c>
      <c r="AC15" s="219">
        <f>AA15*$C$14</f>
        <v>143551.52244790416</v>
      </c>
      <c r="AE15" s="219">
        <f>AC15*$C$14</f>
        <v>148575.8257335808</v>
      </c>
      <c r="AG15" s="219">
        <f>AE15*$C$14</f>
        <v>153775.97963425613</v>
      </c>
    </row>
    <row r="16" spans="1:34" s="210" customFormat="1" ht="14.25">
      <c r="A16" s="210" t="s">
        <v>343</v>
      </c>
      <c r="C16" s="233"/>
      <c r="E16" s="222">
        <f>Application!W849</f>
        <v>286200</v>
      </c>
      <c r="F16" s="222"/>
      <c r="G16" s="222">
        <f t="shared" ref="G16:AG21" si="0">E16*$C$14</f>
        <v>296217</v>
      </c>
      <c r="H16" s="222"/>
      <c r="I16" s="222">
        <f t="shared" si="0"/>
        <v>306584.59499999997</v>
      </c>
      <c r="J16" s="222"/>
      <c r="K16" s="222">
        <f t="shared" si="0"/>
        <v>317315.05582499993</v>
      </c>
      <c r="L16" s="222"/>
      <c r="M16" s="222">
        <f t="shared" si="0"/>
        <v>328421.0827788749</v>
      </c>
      <c r="N16" s="222"/>
      <c r="O16" s="222">
        <f t="shared" si="0"/>
        <v>339915.82067613548</v>
      </c>
      <c r="P16" s="222"/>
      <c r="Q16" s="222">
        <f t="shared" si="0"/>
        <v>351812.8743998002</v>
      </c>
      <c r="R16" s="222"/>
      <c r="S16" s="222">
        <f t="shared" si="0"/>
        <v>364126.32500379317</v>
      </c>
      <c r="T16" s="222"/>
      <c r="U16" s="222">
        <f t="shared" si="0"/>
        <v>376870.74637892592</v>
      </c>
      <c r="V16" s="222"/>
      <c r="W16" s="222">
        <f t="shared" si="0"/>
        <v>390061.22250218829</v>
      </c>
      <c r="X16" s="222"/>
      <c r="Y16" s="222">
        <f t="shared" si="0"/>
        <v>403713.36528976483</v>
      </c>
      <c r="Z16" s="222"/>
      <c r="AA16" s="222">
        <f t="shared" si="0"/>
        <v>417843.33307490655</v>
      </c>
      <c r="AB16" s="222"/>
      <c r="AC16" s="222">
        <f t="shared" si="0"/>
        <v>432467.84973252827</v>
      </c>
      <c r="AD16" s="222"/>
      <c r="AE16" s="222">
        <f t="shared" si="0"/>
        <v>447604.22447316675</v>
      </c>
      <c r="AF16" s="222"/>
      <c r="AG16" s="222">
        <f t="shared" si="0"/>
        <v>463270.37232972757</v>
      </c>
    </row>
    <row r="17" spans="1:33" s="210" customFormat="1" ht="14.25">
      <c r="A17" s="210" t="s">
        <v>561</v>
      </c>
      <c r="C17" s="233"/>
      <c r="E17" s="222">
        <f>Application!W855</f>
        <v>377700</v>
      </c>
      <c r="F17" s="222"/>
      <c r="G17" s="222">
        <f t="shared" si="0"/>
        <v>390919.49999999994</v>
      </c>
      <c r="H17" s="222"/>
      <c r="I17" s="222">
        <f t="shared" si="0"/>
        <v>404601.68249999994</v>
      </c>
      <c r="J17" s="222"/>
      <c r="K17" s="222">
        <f t="shared" si="0"/>
        <v>418762.7413874999</v>
      </c>
      <c r="L17" s="222"/>
      <c r="M17" s="222">
        <f t="shared" si="0"/>
        <v>433419.43733606237</v>
      </c>
      <c r="N17" s="222"/>
      <c r="O17" s="222">
        <f t="shared" si="0"/>
        <v>448589.11764282454</v>
      </c>
      <c r="P17" s="222"/>
      <c r="Q17" s="222">
        <f t="shared" si="0"/>
        <v>464289.73676032334</v>
      </c>
      <c r="R17" s="222"/>
      <c r="S17" s="222">
        <f t="shared" si="0"/>
        <v>480539.87754693464</v>
      </c>
      <c r="T17" s="222"/>
      <c r="U17" s="222">
        <f t="shared" si="0"/>
        <v>497358.77326107729</v>
      </c>
      <c r="V17" s="222"/>
      <c r="W17" s="222">
        <f t="shared" si="0"/>
        <v>514766.33032521495</v>
      </c>
      <c r="X17" s="222"/>
      <c r="Y17" s="222">
        <f t="shared" si="0"/>
        <v>532783.15188659739</v>
      </c>
      <c r="Z17" s="222"/>
      <c r="AA17" s="222">
        <f t="shared" si="0"/>
        <v>551430.56220262824</v>
      </c>
      <c r="AB17" s="222"/>
      <c r="AC17" s="222">
        <f t="shared" si="0"/>
        <v>570730.63187972014</v>
      </c>
      <c r="AD17" s="222"/>
      <c r="AE17" s="222">
        <f t="shared" si="0"/>
        <v>590706.20399551035</v>
      </c>
      <c r="AF17" s="222"/>
      <c r="AG17" s="222">
        <f t="shared" si="0"/>
        <v>611380.92113535316</v>
      </c>
    </row>
    <row r="18" spans="1:33" s="210" customFormat="1" ht="14.25">
      <c r="A18" s="210" t="s">
        <v>842</v>
      </c>
      <c r="C18" s="233"/>
      <c r="E18" s="222">
        <f>Application!W862</f>
        <v>524020</v>
      </c>
      <c r="F18" s="222"/>
      <c r="G18" s="222">
        <f t="shared" si="0"/>
        <v>542360.69999999995</v>
      </c>
      <c r="H18" s="222"/>
      <c r="I18" s="222">
        <f t="shared" si="0"/>
        <v>561343.32449999987</v>
      </c>
      <c r="J18" s="222"/>
      <c r="K18" s="222">
        <f t="shared" si="0"/>
        <v>580990.34085749986</v>
      </c>
      <c r="L18" s="222"/>
      <c r="M18" s="222">
        <f t="shared" si="0"/>
        <v>601325.00278751226</v>
      </c>
      <c r="N18" s="222"/>
      <c r="O18" s="222">
        <f t="shared" si="0"/>
        <v>622371.37788507517</v>
      </c>
      <c r="P18" s="222"/>
      <c r="Q18" s="222">
        <f t="shared" si="0"/>
        <v>644154.3761110527</v>
      </c>
      <c r="R18" s="222"/>
      <c r="S18" s="222">
        <f t="shared" si="0"/>
        <v>666699.77927493944</v>
      </c>
      <c r="T18" s="222"/>
      <c r="U18" s="222">
        <f t="shared" si="0"/>
        <v>690034.27154956223</v>
      </c>
      <c r="V18" s="222"/>
      <c r="W18" s="222">
        <f t="shared" si="0"/>
        <v>714185.47105379682</v>
      </c>
      <c r="X18" s="222"/>
      <c r="Y18" s="222">
        <f t="shared" si="0"/>
        <v>739181.96254067961</v>
      </c>
      <c r="Z18" s="222"/>
      <c r="AA18" s="222">
        <f t="shared" si="0"/>
        <v>765053.33122960338</v>
      </c>
      <c r="AB18" s="222"/>
      <c r="AC18" s="222">
        <f t="shared" si="0"/>
        <v>791830.19782263949</v>
      </c>
      <c r="AD18" s="222"/>
      <c r="AE18" s="222">
        <f t="shared" si="0"/>
        <v>819544.25474643183</v>
      </c>
      <c r="AF18" s="222"/>
      <c r="AG18" s="222">
        <f t="shared" si="0"/>
        <v>848228.30366255692</v>
      </c>
    </row>
    <row r="19" spans="1:33" s="210" customFormat="1" ht="14.25">
      <c r="A19" s="210" t="s">
        <v>155</v>
      </c>
      <c r="C19" s="233"/>
      <c r="E19" s="222">
        <f>Application!W863</f>
        <v>140000</v>
      </c>
      <c r="F19" s="222"/>
      <c r="G19" s="222">
        <f t="shared" si="0"/>
        <v>144900</v>
      </c>
      <c r="H19" s="222"/>
      <c r="I19" s="222">
        <f t="shared" si="0"/>
        <v>149971.5</v>
      </c>
      <c r="J19" s="222"/>
      <c r="K19" s="222">
        <f t="shared" si="0"/>
        <v>155220.5025</v>
      </c>
      <c r="L19" s="222"/>
      <c r="M19" s="222">
        <f t="shared" si="0"/>
        <v>160653.2200875</v>
      </c>
      <c r="N19" s="222"/>
      <c r="O19" s="222">
        <f t="shared" si="0"/>
        <v>166276.08279056248</v>
      </c>
      <c r="P19" s="222"/>
      <c r="Q19" s="222">
        <f t="shared" si="0"/>
        <v>172095.74568823216</v>
      </c>
      <c r="R19" s="222"/>
      <c r="S19" s="222">
        <f t="shared" si="0"/>
        <v>178119.09678732028</v>
      </c>
      <c r="T19" s="222"/>
      <c r="U19" s="222">
        <f t="shared" si="0"/>
        <v>184353.26517487646</v>
      </c>
      <c r="V19" s="222"/>
      <c r="W19" s="222">
        <f t="shared" si="0"/>
        <v>190805.62945599711</v>
      </c>
      <c r="X19" s="222"/>
      <c r="Y19" s="222">
        <f t="shared" si="0"/>
        <v>197483.826486957</v>
      </c>
      <c r="Z19" s="222"/>
      <c r="AA19" s="222">
        <f t="shared" si="0"/>
        <v>204395.76041400048</v>
      </c>
      <c r="AB19" s="222"/>
      <c r="AC19" s="222">
        <f t="shared" si="0"/>
        <v>211549.61202849049</v>
      </c>
      <c r="AD19" s="222"/>
      <c r="AE19" s="222">
        <f t="shared" si="0"/>
        <v>218953.84844948765</v>
      </c>
      <c r="AF19" s="222"/>
      <c r="AG19" s="222">
        <f t="shared" si="0"/>
        <v>226617.23314521971</v>
      </c>
    </row>
    <row r="20" spans="1:33" s="210" customFormat="1" ht="14.25">
      <c r="A20" s="210" t="s">
        <v>389</v>
      </c>
      <c r="C20" s="233"/>
      <c r="E20" s="222">
        <f>Application!W872</f>
        <v>242716</v>
      </c>
      <c r="F20" s="222"/>
      <c r="G20" s="222">
        <f t="shared" si="0"/>
        <v>251211.05999999997</v>
      </c>
      <c r="H20" s="222"/>
      <c r="I20" s="222">
        <f t="shared" si="0"/>
        <v>260003.44709999996</v>
      </c>
      <c r="J20" s="222"/>
      <c r="K20" s="222">
        <f t="shared" si="0"/>
        <v>269103.56774849992</v>
      </c>
      <c r="L20" s="222"/>
      <c r="M20" s="222">
        <f t="shared" si="0"/>
        <v>278522.19261969737</v>
      </c>
      <c r="N20" s="222"/>
      <c r="O20" s="222">
        <f t="shared" si="0"/>
        <v>288270.46936138673</v>
      </c>
      <c r="P20" s="222"/>
      <c r="Q20" s="222">
        <f t="shared" si="0"/>
        <v>298359.93578903523</v>
      </c>
      <c r="R20" s="222"/>
      <c r="S20" s="222">
        <f t="shared" si="0"/>
        <v>308802.53354165144</v>
      </c>
      <c r="T20" s="222"/>
      <c r="U20" s="222">
        <f t="shared" si="0"/>
        <v>319610.62221560924</v>
      </c>
      <c r="V20" s="222"/>
      <c r="W20" s="222">
        <f t="shared" si="0"/>
        <v>330796.99399315554</v>
      </c>
      <c r="X20" s="222"/>
      <c r="Y20" s="222">
        <f t="shared" si="0"/>
        <v>342374.88878291595</v>
      </c>
      <c r="Z20" s="222"/>
      <c r="AA20" s="222">
        <f t="shared" si="0"/>
        <v>354358.00989031798</v>
      </c>
      <c r="AB20" s="222"/>
      <c r="AC20" s="222">
        <f t="shared" si="0"/>
        <v>366760.54023647908</v>
      </c>
      <c r="AD20" s="222"/>
      <c r="AE20" s="222">
        <f t="shared" si="0"/>
        <v>379597.1591447558</v>
      </c>
      <c r="AF20" s="222"/>
      <c r="AG20" s="222">
        <f t="shared" si="0"/>
        <v>392883.05971482222</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1665636</v>
      </c>
      <c r="G22" s="223">
        <f>SUM(G15:G21)</f>
        <v>1723933.26</v>
      </c>
      <c r="I22" s="223">
        <f>SUM(I15:I21)</f>
        <v>1784270.9240999997</v>
      </c>
      <c r="K22" s="223">
        <f>SUM(K15:K21)</f>
        <v>1846720.4064434995</v>
      </c>
      <c r="M22" s="223">
        <f>SUM(M15:M21)</f>
        <v>1911355.620669022</v>
      </c>
      <c r="O22" s="223">
        <f>SUM(O15:O21)</f>
        <v>1978253.0673924373</v>
      </c>
      <c r="Q22" s="223">
        <f>SUM(Q15:Q21)</f>
        <v>2047491.9247511725</v>
      </c>
      <c r="S22" s="223">
        <f>SUM(S15:S21)</f>
        <v>2119154.1421174631</v>
      </c>
      <c r="U22" s="223">
        <f>SUM(U15:U21)</f>
        <v>2193324.5370915742</v>
      </c>
      <c r="W22" s="223">
        <f>SUM(W15:W21)</f>
        <v>2270090.8958897796</v>
      </c>
      <c r="Y22" s="223">
        <f>SUM(Y15:Y21)</f>
        <v>2349544.0772459214</v>
      </c>
      <c r="AA22" s="223">
        <f>SUM(AA15:AA21)</f>
        <v>2431778.1199495285</v>
      </c>
      <c r="AC22" s="223">
        <f>SUM(AC15:AC21)</f>
        <v>2516890.3541477616</v>
      </c>
      <c r="AE22" s="223">
        <f>SUM(AE15:AE21)</f>
        <v>2604981.5165429334</v>
      </c>
      <c r="AG22" s="223">
        <f>SUM(AG15:AG21)</f>
        <v>2696155.8696219353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v>700000</v>
      </c>
      <c r="F24" s="222"/>
      <c r="G24" s="222">
        <f>E24</f>
        <v>700000</v>
      </c>
      <c r="H24" s="222"/>
      <c r="I24" s="222">
        <f>G24</f>
        <v>700000</v>
      </c>
      <c r="J24" s="222"/>
      <c r="K24" s="222">
        <f>I24</f>
        <v>700000</v>
      </c>
      <c r="L24" s="222"/>
      <c r="M24" s="222">
        <f>K24</f>
        <v>700000</v>
      </c>
      <c r="N24" s="222"/>
      <c r="O24" s="222">
        <f>M24</f>
        <v>700000</v>
      </c>
      <c r="P24" s="222"/>
      <c r="Q24" s="222">
        <f>O24</f>
        <v>700000</v>
      </c>
      <c r="R24" s="222"/>
      <c r="S24" s="222">
        <f>Q24</f>
        <v>700000</v>
      </c>
      <c r="T24" s="222"/>
      <c r="U24" s="222">
        <f>S24</f>
        <v>700000</v>
      </c>
      <c r="V24" s="222"/>
      <c r="W24" s="222">
        <f>U24</f>
        <v>700000</v>
      </c>
      <c r="X24" s="222"/>
      <c r="Y24" s="222">
        <f>W24</f>
        <v>700000</v>
      </c>
      <c r="Z24" s="222"/>
      <c r="AA24" s="222">
        <f>Y24</f>
        <v>700000</v>
      </c>
      <c r="AB24" s="222"/>
      <c r="AC24" s="222">
        <f>AA24</f>
        <v>700000</v>
      </c>
      <c r="AD24" s="222"/>
      <c r="AE24" s="222">
        <f>AC24</f>
        <v>700000</v>
      </c>
      <c r="AF24" s="222"/>
      <c r="AG24" s="222">
        <f>AE24</f>
        <v>700000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31080</v>
      </c>
      <c r="F27" s="222"/>
      <c r="G27" s="222">
        <f>E27*$C$27</f>
        <v>32167.8</v>
      </c>
      <c r="H27" s="222"/>
      <c r="I27" s="222">
        <f>G27*$C$27</f>
        <v>33293.672999999995</v>
      </c>
      <c r="J27" s="222"/>
      <c r="K27" s="222">
        <f>I27*$C$27</f>
        <v>34458.951554999992</v>
      </c>
      <c r="L27" s="222"/>
      <c r="M27" s="222">
        <f>K27*$C$27</f>
        <v>35665.014859424991</v>
      </c>
      <c r="N27" s="222"/>
      <c r="O27" s="222">
        <f>M27*$C$27</f>
        <v>36913.290379504862</v>
      </c>
      <c r="P27" s="222"/>
      <c r="Q27" s="222">
        <f>O27*$C$27</f>
        <v>38205.255542787527</v>
      </c>
      <c r="R27" s="222"/>
      <c r="S27" s="222">
        <f>Q27*$C$27</f>
        <v>39542.439486785086</v>
      </c>
      <c r="T27" s="222"/>
      <c r="U27" s="222">
        <f>S27*$C$27</f>
        <v>40926.424868822563</v>
      </c>
      <c r="V27" s="222"/>
      <c r="W27" s="222">
        <f>U27*$C$27</f>
        <v>42358.849739231351</v>
      </c>
      <c r="X27" s="222"/>
      <c r="Y27" s="222">
        <f>W27*$C$27</f>
        <v>43841.409480104448</v>
      </c>
      <c r="Z27" s="222"/>
      <c r="AA27" s="222">
        <f>Y27*$C$27</f>
        <v>45375.858811908103</v>
      </c>
      <c r="AB27" s="222"/>
      <c r="AC27" s="222">
        <f>AA27*$C$27</f>
        <v>46964.013870324881</v>
      </c>
      <c r="AD27" s="222"/>
      <c r="AE27" s="222">
        <f>AC27*$C$27</f>
        <v>48607.754355786252</v>
      </c>
      <c r="AF27" s="222"/>
      <c r="AG27" s="222">
        <f>AE27*$C$27</f>
        <v>50309.025758238764</v>
      </c>
    </row>
    <row r="28" spans="1:33" s="210" customFormat="1" ht="14.25">
      <c r="A28" s="210" t="s">
        <v>846</v>
      </c>
      <c r="C28" s="237"/>
      <c r="E28" s="222">
        <f>Application!AC889</f>
        <v>79000</v>
      </c>
      <c r="F28" s="222"/>
      <c r="G28" s="222">
        <f>$E$28</f>
        <v>79000</v>
      </c>
      <c r="H28" s="222"/>
      <c r="I28" s="222">
        <f>$E$28</f>
        <v>79000</v>
      </c>
      <c r="J28" s="222"/>
      <c r="K28" s="222">
        <f>$E$28</f>
        <v>79000</v>
      </c>
      <c r="L28" s="222"/>
      <c r="M28" s="222">
        <f>$E$28</f>
        <v>79000</v>
      </c>
      <c r="N28" s="222"/>
      <c r="O28" s="222">
        <f>$E$28</f>
        <v>79000</v>
      </c>
      <c r="P28" s="222"/>
      <c r="Q28" s="222">
        <f>$E$28</f>
        <v>79000</v>
      </c>
      <c r="R28" s="222"/>
      <c r="S28" s="222">
        <f>$E$28</f>
        <v>79000</v>
      </c>
      <c r="T28" s="222"/>
      <c r="U28" s="222">
        <f>$E$28</f>
        <v>79000</v>
      </c>
      <c r="V28" s="222"/>
      <c r="W28" s="222">
        <f>$E$28</f>
        <v>79000</v>
      </c>
      <c r="X28" s="222"/>
      <c r="Y28" s="222">
        <f>$E$28</f>
        <v>79000</v>
      </c>
      <c r="Z28" s="222"/>
      <c r="AA28" s="222">
        <f>$E$28</f>
        <v>79000</v>
      </c>
      <c r="AB28" s="222"/>
      <c r="AC28" s="222">
        <f>$E$28</f>
        <v>79000</v>
      </c>
      <c r="AD28" s="222"/>
      <c r="AE28" s="222">
        <f>$E$28</f>
        <v>79000</v>
      </c>
      <c r="AF28" s="222"/>
      <c r="AG28" s="222">
        <f>$E$28</f>
        <v>79000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14600</v>
      </c>
      <c r="F30" s="222"/>
      <c r="G30" s="222">
        <f>E30*$C$30</f>
        <v>14892</v>
      </c>
      <c r="H30" s="222"/>
      <c r="I30" s="222">
        <f>G30*$C$30</f>
        <v>15189.84</v>
      </c>
      <c r="J30" s="222"/>
      <c r="K30" s="222">
        <f>I30*$C$30</f>
        <v>15493.6368</v>
      </c>
      <c r="L30" s="222"/>
      <c r="M30" s="222">
        <f>K30*$C$30</f>
        <v>15803.509536000001</v>
      </c>
      <c r="N30" s="222"/>
      <c r="O30" s="222">
        <f>M30*$C$30</f>
        <v>16119.579726720001</v>
      </c>
      <c r="P30" s="222"/>
      <c r="Q30" s="222">
        <f>O30*$C$30</f>
        <v>16441.971321254401</v>
      </c>
      <c r="R30" s="222"/>
      <c r="S30" s="222">
        <f>Q30*$C$30</f>
        <v>16770.81074767949</v>
      </c>
      <c r="T30" s="222"/>
      <c r="U30" s="222">
        <f>S30*$C$30</f>
        <v>17106.226962633082</v>
      </c>
      <c r="V30" s="222"/>
      <c r="W30" s="222">
        <f>U30*$C$30</f>
        <v>17448.351501885743</v>
      </c>
      <c r="X30" s="222"/>
      <c r="Y30" s="222">
        <f>W30*$C$30</f>
        <v>17797.318531923458</v>
      </c>
      <c r="Z30" s="222"/>
      <c r="AA30" s="222">
        <f>Y30*$C$30</f>
        <v>18153.264902561928</v>
      </c>
      <c r="AB30" s="222"/>
      <c r="AC30" s="222">
        <f>AA30*$C$30</f>
        <v>18516.330200613167</v>
      </c>
      <c r="AD30" s="222"/>
      <c r="AE30" s="222">
        <f>AC30*$C$30</f>
        <v>18886.656804625432</v>
      </c>
      <c r="AF30" s="222"/>
      <c r="AG30" s="222">
        <f>AE30*$C$30</f>
        <v>19264.389940717941</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2490316</v>
      </c>
      <c r="G35" s="223">
        <f>SUM(G22:G33)</f>
        <v>2549993.0599999996</v>
      </c>
      <c r="I35" s="223">
        <f>SUM(I22:I33)</f>
        <v>2611754.4370999993</v>
      </c>
      <c r="K35" s="223">
        <f>SUM(K22:K33)</f>
        <v>2675672.9947984996</v>
      </c>
      <c r="M35" s="223">
        <f>SUM(M22:M33)</f>
        <v>2741824.1450644471</v>
      </c>
      <c r="O35" s="223">
        <f>SUM(O22:O33)</f>
        <v>2810285.9374986622</v>
      </c>
      <c r="Q35" s="223">
        <f>SUM(Q22:Q33)</f>
        <v>2881139.151615215</v>
      </c>
      <c r="S35" s="223">
        <f>SUM(S22:S33)</f>
        <v>2954467.3923519272</v>
      </c>
      <c r="U35" s="223">
        <f>SUM(U22:U33)</f>
        <v>3030357.1889230297</v>
      </c>
      <c r="W35" s="223">
        <f>SUM(W22:W33)</f>
        <v>3108898.0971308965</v>
      </c>
      <c r="Y35" s="223">
        <f>SUM(Y22:Y33)</f>
        <v>3190182.805257949</v>
      </c>
      <c r="AA35" s="223">
        <f>SUM(AA22:AA33)</f>
        <v>3274307.2436639983</v>
      </c>
      <c r="AC35" s="223">
        <f>SUM(AC22:AC33)</f>
        <v>3361370.6982186995</v>
      </c>
      <c r="AE35" s="223">
        <f>SUM(AE22:AE33)</f>
        <v>3451475.9277033452</v>
      </c>
      <c r="AG35" s="223">
        <f>SUM(AG22:AG33)</f>
        <v>3544729.285320892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4660014.8</v>
      </c>
      <c r="G37" s="223">
        <f>G11-G35</f>
        <v>4779096.01</v>
      </c>
      <c r="I37" s="223">
        <f>I11-I35</f>
        <v>4900561.8596500009</v>
      </c>
      <c r="K37" s="223">
        <f>K11-K35</f>
        <v>5024451.2093702499</v>
      </c>
      <c r="M37" s="223">
        <f>M11-M35</f>
        <v>5150803.1642085202</v>
      </c>
      <c r="O37" s="223">
        <f>O11-O35</f>
        <v>5279657.0545061287</v>
      </c>
      <c r="Q37" s="223">
        <f>Q11-Q35</f>
        <v>5411052.4151896946</v>
      </c>
      <c r="S37" s="223">
        <f>S11-S35</f>
        <v>5545028.9636231046</v>
      </c>
      <c r="U37" s="223">
        <f>U11-U35</f>
        <v>5681626.5759513788</v>
      </c>
      <c r="W37" s="223">
        <f>W11-W35</f>
        <v>5820885.2618653718</v>
      </c>
      <c r="Y37" s="223">
        <f>Y11-Y35</f>
        <v>5962845.1377132246</v>
      </c>
      <c r="AA37" s="223">
        <f>AA11-AA35</f>
        <v>6107546.3978814557</v>
      </c>
      <c r="AC37" s="223">
        <f>AC11-AC35</f>
        <v>6255029.2843653895</v>
      </c>
      <c r="AE37" s="223">
        <f>AE11-AE35</f>
        <v>6405334.054445345</v>
      </c>
      <c r="AG37" s="223">
        <f>AG11-AG35</f>
        <v>6558500.946381514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 Permanent Loan</v>
      </c>
      <c r="B40" s="226"/>
      <c r="C40" s="220"/>
      <c r="E40" s="222">
        <f>Application!AF627</f>
        <v>3996858.8822857258</v>
      </c>
      <c r="F40" s="222"/>
      <c r="G40" s="222">
        <f>$E$40</f>
        <v>3996858.8822857258</v>
      </c>
      <c r="H40" s="222"/>
      <c r="I40" s="222">
        <f>$E$40</f>
        <v>3996858.8822857258</v>
      </c>
      <c r="J40" s="222"/>
      <c r="K40" s="222">
        <f>$E$40</f>
        <v>3996858.8822857258</v>
      </c>
      <c r="L40" s="222"/>
      <c r="M40" s="222">
        <f>$E$40</f>
        <v>3996858.8822857258</v>
      </c>
      <c r="N40" s="222"/>
      <c r="O40" s="222">
        <f>$E$40</f>
        <v>3996858.8822857258</v>
      </c>
      <c r="P40" s="222"/>
      <c r="Q40" s="222">
        <f>$E$40</f>
        <v>3996858.8822857258</v>
      </c>
      <c r="R40" s="222"/>
      <c r="S40" s="222">
        <f>$E$40</f>
        <v>3996858.8822857258</v>
      </c>
      <c r="T40" s="222"/>
      <c r="U40" s="222">
        <f>$E$40</f>
        <v>3996858.8822857258</v>
      </c>
      <c r="V40" s="222"/>
      <c r="W40" s="222">
        <f>$E$40</f>
        <v>3996858.8822857258</v>
      </c>
      <c r="X40" s="222"/>
      <c r="Y40" s="222">
        <f>$E$40</f>
        <v>3996858.8822857258</v>
      </c>
      <c r="Z40" s="222"/>
      <c r="AA40" s="222">
        <f>$E$40</f>
        <v>3996858.8822857258</v>
      </c>
      <c r="AB40" s="222"/>
      <c r="AC40" s="222">
        <f>$E$40</f>
        <v>3996858.8822857258</v>
      </c>
      <c r="AD40" s="222"/>
      <c r="AE40" s="222">
        <f>$E$40</f>
        <v>3996858.8822857258</v>
      </c>
      <c r="AF40" s="222"/>
      <c r="AG40" s="222">
        <f>$E$40</f>
        <v>3996858.8822857258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3996858.8822857258</v>
      </c>
      <c r="G43" s="223">
        <f>SUM(G40:G42)</f>
        <v>3996858.8822857258</v>
      </c>
      <c r="I43" s="223">
        <f>SUM(I40:I42)</f>
        <v>3996858.8822857258</v>
      </c>
      <c r="K43" s="223">
        <f>SUM(K40:K42)</f>
        <v>3996858.8822857258</v>
      </c>
      <c r="M43" s="223">
        <f>SUM(M40:M42)</f>
        <v>3996858.8822857258</v>
      </c>
      <c r="O43" s="223">
        <f>SUM(O40:O42)</f>
        <v>3996858.8822857258</v>
      </c>
      <c r="Q43" s="223">
        <f>SUM(Q40:Q42)</f>
        <v>3996858.8822857258</v>
      </c>
      <c r="S43" s="223">
        <f>SUM(S40:S42)</f>
        <v>3996858.8822857258</v>
      </c>
      <c r="U43" s="223">
        <f>SUM(U40:U42)</f>
        <v>3996858.8822857258</v>
      </c>
      <c r="W43" s="223">
        <f>SUM(W40:W42)</f>
        <v>3996858.8822857258</v>
      </c>
      <c r="Y43" s="223">
        <f>SUM(Y40:Y42)</f>
        <v>3996858.8822857258</v>
      </c>
      <c r="AA43" s="223">
        <f>SUM(AA40:AA42)</f>
        <v>3996858.8822857258</v>
      </c>
      <c r="AC43" s="223">
        <f>SUM(AC40:AC42)</f>
        <v>3996858.8822857258</v>
      </c>
      <c r="AE43" s="223">
        <f>SUM(AE40:AE42)</f>
        <v>3996858.8822857258</v>
      </c>
      <c r="AG43" s="223">
        <f>SUM(AG40:AG42)</f>
        <v>3996858.8822857258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663155.91771427402</v>
      </c>
      <c r="G45" s="223">
        <f>G37-G43</f>
        <v>782237.12771427399</v>
      </c>
      <c r="I45" s="223">
        <f>I37-I43</f>
        <v>903702.97736427514</v>
      </c>
      <c r="K45" s="223">
        <f>K37-K43</f>
        <v>1027592.3270845241</v>
      </c>
      <c r="M45" s="223">
        <f>M37-M43</f>
        <v>1153944.2819227944</v>
      </c>
      <c r="O45" s="223">
        <f>O37-O43</f>
        <v>1282798.1722204029</v>
      </c>
      <c r="Q45" s="223">
        <f>Q37-Q43</f>
        <v>1414193.5329039688</v>
      </c>
      <c r="S45" s="223">
        <f>S37-S43</f>
        <v>1548170.0813373788</v>
      </c>
      <c r="U45" s="223">
        <f>U37-U43</f>
        <v>1684767.693665653</v>
      </c>
      <c r="W45" s="223">
        <f>W37-W43</f>
        <v>1824026.379579646</v>
      </c>
      <c r="Y45" s="223">
        <f>Y37-Y43</f>
        <v>1965986.2554274988</v>
      </c>
      <c r="AA45" s="223">
        <f>AA37-AA43</f>
        <v>2110687.5155957299</v>
      </c>
      <c r="AC45" s="223">
        <f>AC37-AC43</f>
        <v>2258170.4020796637</v>
      </c>
      <c r="AE45" s="223">
        <f>AE37-AE43</f>
        <v>2408475.1721596192</v>
      </c>
      <c r="AG45" s="223">
        <f>AG37-AG43</f>
        <v>2561642.0640957882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8.8107549070115795E-2</v>
      </c>
      <c r="G47" s="227">
        <f>G45/(G4+G6+G8)</f>
        <v>0.10139394735566508</v>
      </c>
      <c r="I47" s="227">
        <f>I45/(I4+I6+I8)</f>
        <v>0.11428137402407776</v>
      </c>
      <c r="K47" s="227">
        <f>K45/(K4+K6+K8)</f>
        <v>0.12677882652877065</v>
      </c>
      <c r="M47" s="227">
        <f>M45/(M4+M6+M8)</f>
        <v>0.13889507572955906</v>
      </c>
      <c r="O47" s="227">
        <f>O45/(O4+O6+O8)</f>
        <v>0.15063867134957198</v>
      </c>
      <c r="Q47" s="227">
        <f>Q45/(Q4+Q6+Q8)</f>
        <v>0.16201794729839225</v>
      </c>
      <c r="S47" s="227">
        <f>S45/(S4+S6+S8)</f>
        <v>0.17304102686467818</v>
      </c>
      <c r="U47" s="227">
        <f>U45/(U4+U6+U8)</f>
        <v>0.18371582778144027</v>
      </c>
      <c r="W47" s="227">
        <f>W45/(W4+W6+W8)</f>
        <v>0.19405006716707607</v>
      </c>
      <c r="Y47" s="227">
        <f>Y45/(Y4+Y6+Y8)</f>
        <v>0.20405126634518417</v>
      </c>
      <c r="AA47" s="227">
        <f>AA45/(AA4+AA6+AA8)</f>
        <v>0.21372675554610751</v>
      </c>
      <c r="AC47" s="227">
        <f>AC45/(AC4+AC6+AC8)</f>
        <v>0.2230836784930833</v>
      </c>
      <c r="AE47" s="227">
        <f>AE45/(AE4+AE6+AE8)</f>
        <v>0.23212899687580921</v>
      </c>
      <c r="AG47" s="227">
        <f>AG45/(AG4+AG6+AG8)</f>
        <v>0.24086949471416144</v>
      </c>
    </row>
    <row r="48" spans="1:33" s="227" customFormat="1" ht="14.25">
      <c r="A48" s="227" t="s">
        <v>852</v>
      </c>
      <c r="C48" s="220"/>
      <c r="E48" s="227">
        <f>E45/E43</f>
        <v>0.16591927242000298</v>
      </c>
      <c r="G48" s="227">
        <f>G45/G43</f>
        <v>0.1957129712988335</v>
      </c>
      <c r="I48" s="227">
        <f>I45/I43</f>
        <v>0.22610329861019887</v>
      </c>
      <c r="K48" s="227">
        <f>K45/K43</f>
        <v>0.25709997709422855</v>
      </c>
      <c r="M48" s="227">
        <f>M45/M43</f>
        <v>0.28871279069599681</v>
      </c>
      <c r="O48" s="227">
        <f>O45/O43</f>
        <v>0.32095157972822785</v>
      </c>
      <c r="Q48" s="227">
        <f>Q45/Q43</f>
        <v>0.35382623569016752</v>
      </c>
      <c r="S48" s="227">
        <f>S45/S43</f>
        <v>0.38734669572622249</v>
      </c>
      <c r="U48" s="227">
        <f>U45/U43</f>
        <v>0.42152293670727931</v>
      </c>
      <c r="W48" s="227">
        <f>W45/W43</f>
        <v>0.4563649689169213</v>
      </c>
      <c r="Y48" s="227">
        <f>Y45/Y43</f>
        <v>0.49188282932400895</v>
      </c>
      <c r="AA48" s="227">
        <f>AA45/AA43</f>
        <v>0.52808657442232954</v>
      </c>
      <c r="AC48" s="227">
        <f>AC45/AC43</f>
        <v>0.56498627261722589</v>
      </c>
      <c r="AE48" s="227">
        <f>AE45/AE43</f>
        <v>0.60259199613829229</v>
      </c>
      <c r="AG48" s="227">
        <f>AG45/AG43</f>
        <v>0.64091381245635448</v>
      </c>
    </row>
    <row r="49" spans="1:34" s="228" customFormat="1" ht="14.25">
      <c r="A49" s="228" t="s">
        <v>850</v>
      </c>
      <c r="C49" s="229"/>
      <c r="E49" s="228">
        <f>E37/E43</f>
        <v>1.1659192724200029</v>
      </c>
      <c r="G49" s="228">
        <f>G37/G43</f>
        <v>1.1957129712988335</v>
      </c>
      <c r="I49" s="228">
        <f>I37/I43</f>
        <v>1.226103298610199</v>
      </c>
      <c r="K49" s="228">
        <f>K37/K43</f>
        <v>1.2570999770942286</v>
      </c>
      <c r="M49" s="228">
        <f>M37/M43</f>
        <v>1.2887127906959968</v>
      </c>
      <c r="O49" s="228">
        <f>O37/O43</f>
        <v>1.3209515797282279</v>
      </c>
      <c r="Q49" s="228">
        <f>Q37/Q43</f>
        <v>1.3538262356901676</v>
      </c>
      <c r="S49" s="228">
        <f>S37/S43</f>
        <v>1.3873466957262226</v>
      </c>
      <c r="U49" s="228">
        <f>U37/U43</f>
        <v>1.4215229367072792</v>
      </c>
      <c r="W49" s="228">
        <f>W37/W43</f>
        <v>1.4563649689169214</v>
      </c>
      <c r="Y49" s="228">
        <f>Y37/Y43</f>
        <v>1.491882829324009</v>
      </c>
      <c r="AA49" s="228">
        <f>AA37/AA43</f>
        <v>1.5280865744223295</v>
      </c>
      <c r="AC49" s="228">
        <f>AC37/AC43</f>
        <v>1.5649862726172259</v>
      </c>
      <c r="AE49" s="228">
        <f>AE37/AE43</f>
        <v>1.6025919961382922</v>
      </c>
      <c r="AG49" s="228">
        <f>AG37/AG43</f>
        <v>1.6409138124563545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1184</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45000</v>
      </c>
      <c r="G53" s="960">
        <f>E53*$C$53</f>
        <v>46350</v>
      </c>
      <c r="I53" s="960">
        <f>G53*$C$53</f>
        <v>47740.5</v>
      </c>
      <c r="K53" s="960">
        <f>I53*$C$53</f>
        <v>49172.715000000004</v>
      </c>
      <c r="M53" s="960">
        <f>K53*$C$53</f>
        <v>50647.896450000007</v>
      </c>
      <c r="O53" s="960">
        <f>M53*$C$53</f>
        <v>52167.33334350001</v>
      </c>
      <c r="Q53" s="960">
        <f>O53*$C$53</f>
        <v>53732.353343805014</v>
      </c>
      <c r="S53" s="960">
        <f>Q53*$C$53</f>
        <v>55344.323944119169</v>
      </c>
      <c r="U53" s="960">
        <f>S53*$C$53</f>
        <v>57004.653662442746</v>
      </c>
      <c r="W53" s="960">
        <f>U53*$C$53</f>
        <v>58714.793272316027</v>
      </c>
      <c r="Y53" s="960">
        <f>W53*$C$53</f>
        <v>60476.237070485506</v>
      </c>
      <c r="AA53" s="960">
        <f>Y53*$C$53</f>
        <v>62290.524182600071</v>
      </c>
      <c r="AC53" s="960">
        <f>AA53*$C$53</f>
        <v>64159.239908078074</v>
      </c>
      <c r="AE53" s="960">
        <f>AC53*$C$53</f>
        <v>66084.017105320425</v>
      </c>
      <c r="AG53" s="960">
        <f>AE53*$C$53</f>
        <v>68066.537618480041</v>
      </c>
    </row>
    <row r="54" spans="1:34" s="3" customFormat="1">
      <c r="A54" s="3" t="s">
        <v>855</v>
      </c>
      <c r="C54" s="958"/>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856</v>
      </c>
      <c r="C55" s="958"/>
      <c r="E55" s="965">
        <v>25000</v>
      </c>
      <c r="F55" s="960"/>
      <c r="G55" s="960">
        <f t="shared" si="1"/>
        <v>25750</v>
      </c>
      <c r="H55" s="960"/>
      <c r="I55" s="960">
        <f t="shared" si="1"/>
        <v>26522.5</v>
      </c>
      <c r="J55" s="960"/>
      <c r="K55" s="960">
        <f t="shared" si="1"/>
        <v>27318.174999999999</v>
      </c>
      <c r="L55" s="960"/>
      <c r="M55" s="960">
        <f t="shared" si="1"/>
        <v>28137.720249999998</v>
      </c>
      <c r="N55" s="960"/>
      <c r="O55" s="960">
        <f t="shared" si="1"/>
        <v>28981.851857499998</v>
      </c>
      <c r="P55" s="960"/>
      <c r="Q55" s="960">
        <f t="shared" si="1"/>
        <v>29851.307413225</v>
      </c>
      <c r="R55" s="960"/>
      <c r="S55" s="960">
        <f t="shared" si="1"/>
        <v>30746.84663562175</v>
      </c>
      <c r="T55" s="960"/>
      <c r="U55" s="960">
        <f t="shared" si="1"/>
        <v>31669.252034690402</v>
      </c>
      <c r="V55" s="960"/>
      <c r="W55" s="960">
        <f t="shared" si="1"/>
        <v>32619.329595731117</v>
      </c>
      <c r="X55" s="960"/>
      <c r="Y55" s="960">
        <f t="shared" si="1"/>
        <v>33597.909483603049</v>
      </c>
      <c r="Z55" s="960"/>
      <c r="AA55" s="960">
        <f t="shared" si="1"/>
        <v>34605.846768111143</v>
      </c>
      <c r="AB55" s="960"/>
      <c r="AC55" s="960">
        <f t="shared" si="1"/>
        <v>35644.02217115448</v>
      </c>
      <c r="AD55" s="960"/>
      <c r="AE55" s="960">
        <f t="shared" si="1"/>
        <v>36713.342836289114</v>
      </c>
      <c r="AF55" s="960"/>
      <c r="AG55" s="960">
        <f t="shared" si="1"/>
        <v>37814.743121377789</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85000</v>
      </c>
      <c r="F58" s="960"/>
      <c r="G58" s="960">
        <f>SUM(G53:G57)</f>
        <v>87550</v>
      </c>
      <c r="H58" s="960"/>
      <c r="I58" s="960">
        <f>SUM(I53:I57)</f>
        <v>90176.5</v>
      </c>
      <c r="J58" s="960"/>
      <c r="K58" s="960">
        <f>SUM(K53:K57)</f>
        <v>92881.794999999998</v>
      </c>
      <c r="L58" s="960"/>
      <c r="M58" s="960">
        <f>SUM(M53:M57)</f>
        <v>95668.248850000004</v>
      </c>
      <c r="N58" s="960"/>
      <c r="O58" s="960">
        <f>SUM(O53:O57)</f>
        <v>98538.296315500018</v>
      </c>
      <c r="P58" s="960"/>
      <c r="Q58" s="960">
        <f>SUM(Q53:Q57)</f>
        <v>101494.44520496501</v>
      </c>
      <c r="R58" s="960"/>
      <c r="S58" s="960">
        <f>SUM(S53:S57)</f>
        <v>104539.27856111397</v>
      </c>
      <c r="T58" s="960"/>
      <c r="U58" s="960">
        <f>SUM(U53:U57)</f>
        <v>107675.45691794739</v>
      </c>
      <c r="V58" s="960"/>
      <c r="W58" s="960">
        <f>SUM(W53:W57)</f>
        <v>110905.72062548582</v>
      </c>
      <c r="X58" s="960"/>
      <c r="Y58" s="960">
        <f>SUM(Y53:Y57)</f>
        <v>114232.8922442504</v>
      </c>
      <c r="Z58" s="960"/>
      <c r="AA58" s="960">
        <f>SUM(AA53:AA57)</f>
        <v>117659.8790115779</v>
      </c>
      <c r="AB58" s="960"/>
      <c r="AC58" s="960">
        <f>SUM(AC53:AC57)</f>
        <v>121189.67538192525</v>
      </c>
      <c r="AD58" s="960"/>
      <c r="AE58" s="960">
        <f>SUM(AE53:AE57)</f>
        <v>124825.365643383</v>
      </c>
      <c r="AF58" s="960"/>
      <c r="AG58" s="960">
        <f>SUM(AG53:AG57)</f>
        <v>128570.1266126845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v>19430074</v>
      </c>
      <c r="E60" s="962">
        <f>E45-E58</f>
        <v>578155.91771427402</v>
      </c>
      <c r="G60" s="962">
        <f>G45-G58</f>
        <v>694687.12771427399</v>
      </c>
      <c r="I60" s="962">
        <f>I45-I58</f>
        <v>813526.47736427514</v>
      </c>
      <c r="K60" s="962">
        <f>K45-K58</f>
        <v>934710.53208452405</v>
      </c>
      <c r="M60" s="962">
        <f>M45-M58</f>
        <v>1058276.0330727943</v>
      </c>
      <c r="O60" s="962">
        <f>O45-O58</f>
        <v>1184259.8759049028</v>
      </c>
      <c r="Q60" s="962">
        <f>Q45-Q58</f>
        <v>1312699.0876990038</v>
      </c>
      <c r="S60" s="962">
        <f>S45-S58</f>
        <v>1443630.802776265</v>
      </c>
      <c r="U60" s="962">
        <f>U45-U58</f>
        <v>1577092.2367477056</v>
      </c>
      <c r="W60" s="962">
        <f>W45-W58</f>
        <v>1713120.6589541603</v>
      </c>
      <c r="Y60" s="962">
        <f>Y45-Y58</f>
        <v>1851753.3631832483</v>
      </c>
      <c r="AA60" s="962">
        <f>AA45-AA58</f>
        <v>1993027.636584152</v>
      </c>
      <c r="AC60" s="962">
        <f>AC45-AC58</f>
        <v>2136980.7266977383</v>
      </c>
      <c r="AE60" s="962">
        <f>AE45-AE58</f>
        <v>2283649.8065162362</v>
      </c>
      <c r="AG60" s="962">
        <f>AG45-AG58</f>
        <v>2433071.9374831035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578155.91771427402</v>
      </c>
      <c r="G62" s="962">
        <f>G60*$C$62</f>
        <v>694687.12771427399</v>
      </c>
      <c r="I62" s="962">
        <f>I60*$C$62</f>
        <v>813526.47736427514</v>
      </c>
      <c r="K62" s="962">
        <f>K60*$C$62</f>
        <v>934710.53208452405</v>
      </c>
      <c r="M62" s="962">
        <f>M60*$C$62</f>
        <v>1058276.0330727943</v>
      </c>
      <c r="O62" s="962">
        <f>O60*$C$62</f>
        <v>1184259.8759049028</v>
      </c>
      <c r="Q62" s="962">
        <f>Q60*$C$62</f>
        <v>1312699.0876990038</v>
      </c>
      <c r="S62" s="962">
        <f>S60*$C$62</f>
        <v>1443630.802776265</v>
      </c>
      <c r="U62" s="962">
        <f>U60*$C$62</f>
        <v>1577092.2367477056</v>
      </c>
      <c r="W62" s="962">
        <f>W60*$C$62</f>
        <v>1713120.6589541603</v>
      </c>
      <c r="Y62" s="962">
        <f>Y60*$C$62</f>
        <v>1851753.3631832483</v>
      </c>
      <c r="AA62" s="962">
        <f>AA60*$C$62</f>
        <v>1993027.636584152</v>
      </c>
      <c r="AC62" s="962">
        <f>AC60*$C$62</f>
        <v>2136980.7266977383</v>
      </c>
      <c r="AE62" s="962">
        <f>C60-SUM(E62:AC62)</f>
        <v>2138153.5235026814</v>
      </c>
      <c r="AG62" s="962">
        <v>0</v>
      </c>
    </row>
    <row r="63" spans="1:34" s="962" customFormat="1">
      <c r="A63" s="2692" t="s">
        <v>2722</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145496.28301355476</v>
      </c>
      <c r="AG72" s="962">
        <f>AG60-AG62-AG70</f>
        <v>2433071.9374831035</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15000</v>
      </c>
      <c r="C9" s="270">
        <f>SUM(C5:C8)</f>
        <v>15000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15000</v>
      </c>
      <c r="C13" s="270">
        <f>SUM(C9+C12)</f>
        <v>15000</v>
      </c>
      <c r="D13" s="270">
        <f t="shared" si="0"/>
        <v>0</v>
      </c>
      <c r="E13" s="268"/>
      <c r="F13" s="267"/>
    </row>
    <row r="14" spans="1:6" s="352" customFormat="1">
      <c r="A14" s="366" t="s">
        <v>902</v>
      </c>
      <c r="B14" s="266">
        <f>'Sources and Uses Budget'!$C13</f>
        <v>125000</v>
      </c>
      <c r="C14" s="266">
        <f>'Sources and Uses Budget'!$C13</f>
        <v>125000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3500000</v>
      </c>
      <c r="C28" s="266">
        <f>'Sources and Uses Budget'!$C$27</f>
        <v>3500000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8240000</v>
      </c>
      <c r="C30" s="266">
        <f>'Sources and Uses Budget'!$C29</f>
        <v>8240000</v>
      </c>
      <c r="D30" s="270">
        <f t="shared" si="0"/>
        <v>0</v>
      </c>
      <c r="E30" s="268"/>
      <c r="F30" s="267"/>
    </row>
    <row r="31" spans="1:6" s="352" customFormat="1">
      <c r="A31" s="145" t="s">
        <v>599</v>
      </c>
      <c r="B31" s="266">
        <f>'Sources and Uses Budget'!$C30</f>
        <v>77311420</v>
      </c>
      <c r="C31" s="266">
        <f>'Sources and Uses Budget'!$C30</f>
        <v>77311420</v>
      </c>
      <c r="D31" s="270">
        <f t="shared" si="0"/>
        <v>0</v>
      </c>
      <c r="E31" s="268"/>
      <c r="F31" s="267"/>
    </row>
    <row r="32" spans="1:6" s="352" customFormat="1">
      <c r="A32" s="145" t="s">
        <v>600</v>
      </c>
      <c r="B32" s="266">
        <f>'Sources and Uses Budget'!$C31</f>
        <v>2950000</v>
      </c>
      <c r="C32" s="266">
        <f>'Sources and Uses Budget'!$C31</f>
        <v>2950000</v>
      </c>
      <c r="D32" s="270">
        <f t="shared" si="0"/>
        <v>0</v>
      </c>
      <c r="E32" s="268"/>
      <c r="F32" s="267"/>
    </row>
    <row r="33" spans="1:6" s="352" customFormat="1">
      <c r="A33" s="145" t="s">
        <v>137</v>
      </c>
      <c r="B33" s="266">
        <f>'Sources and Uses Budget'!$C32</f>
        <v>2950000</v>
      </c>
      <c r="C33" s="266">
        <f>'Sources and Uses Budget'!$C32</f>
        <v>2950000</v>
      </c>
      <c r="D33" s="270">
        <f t="shared" si="0"/>
        <v>0</v>
      </c>
      <c r="E33" s="268"/>
      <c r="F33" s="267"/>
    </row>
    <row r="34" spans="1:6" s="352" customFormat="1">
      <c r="A34" s="145" t="s">
        <v>138</v>
      </c>
      <c r="B34" s="266">
        <f>'Sources and Uses Budget'!$C33</f>
        <v>2808580</v>
      </c>
      <c r="C34" s="266">
        <f>'Sources and Uses Budget'!$C33</f>
        <v>2808580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740000</v>
      </c>
      <c r="C36" s="266">
        <f>'Sources and Uses Budget'!$C35</f>
        <v>740000</v>
      </c>
      <c r="D36" s="270">
        <f t="shared" si="0"/>
        <v>0</v>
      </c>
      <c r="E36" s="268"/>
      <c r="F36" s="267"/>
    </row>
    <row r="37" spans="1:6" s="352" customFormat="1">
      <c r="A37" s="283" t="s">
        <v>1640</v>
      </c>
      <c r="B37" s="266">
        <f>'Sources and Uses Budget'!$C36</f>
        <v>500000</v>
      </c>
      <c r="C37" s="266">
        <f>'Sources and Uses Budget'!$C36</f>
        <v>500000</v>
      </c>
      <c r="D37" s="270"/>
      <c r="E37" s="268"/>
      <c r="F37" s="267"/>
    </row>
    <row r="38" spans="1:6" s="352" customFormat="1">
      <c r="A38" s="155" t="str">
        <f>'Sources and Uses Budget'!A37</f>
        <v>Other: Utility Costs</v>
      </c>
      <c r="B38" s="266">
        <f>'Sources and Uses Budget'!$C37</f>
        <v>1000000</v>
      </c>
      <c r="C38" s="266">
        <f>'Sources and Uses Budget'!$C37</f>
        <v>1000000</v>
      </c>
      <c r="D38" s="270">
        <f t="shared" si="0"/>
        <v>0</v>
      </c>
      <c r="E38" s="268"/>
      <c r="F38" s="267"/>
    </row>
    <row r="39" spans="1:6" s="352" customFormat="1">
      <c r="A39" s="271" t="s">
        <v>143</v>
      </c>
      <c r="B39" s="270">
        <f>SUM(B30:B38)</f>
        <v>96500000</v>
      </c>
      <c r="C39" s="270">
        <f>SUM(C30:C38)</f>
        <v>96500000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1525000</v>
      </c>
      <c r="C41" s="266">
        <f>'Sources and Uses Budget'!$C40</f>
        <v>1525000</v>
      </c>
      <c r="D41" s="270">
        <f t="shared" si="0"/>
        <v>0</v>
      </c>
      <c r="E41" s="268"/>
      <c r="F41" s="267"/>
    </row>
    <row r="42" spans="1:6" s="352" customFormat="1">
      <c r="A42" s="269" t="s">
        <v>146</v>
      </c>
      <c r="B42" s="266">
        <f>'Sources and Uses Budget'!$C41</f>
        <v>475000</v>
      </c>
      <c r="C42" s="266">
        <f>'Sources and Uses Budget'!$C41</f>
        <v>475000</v>
      </c>
      <c r="D42" s="270">
        <f t="shared" si="0"/>
        <v>0</v>
      </c>
      <c r="E42" s="268"/>
      <c r="F42" s="267"/>
    </row>
    <row r="43" spans="1:6" s="352" customFormat="1">
      <c r="A43" s="271" t="s">
        <v>147</v>
      </c>
      <c r="B43" s="270">
        <f>SUM(B41:B42)</f>
        <v>2000000</v>
      </c>
      <c r="C43" s="270">
        <f>SUM(C41:C42)</f>
        <v>2000000</v>
      </c>
      <c r="D43" s="270">
        <f t="shared" si="0"/>
        <v>0</v>
      </c>
      <c r="E43" s="268"/>
      <c r="F43" s="267"/>
    </row>
    <row r="44" spans="1:6" s="352" customFormat="1">
      <c r="A44" s="271" t="s">
        <v>148</v>
      </c>
      <c r="B44" s="266">
        <f>'Sources and Uses Budget'!$C43</f>
        <v>1460000</v>
      </c>
      <c r="C44" s="266">
        <f>'Sources and Uses Budget'!$C43</f>
        <v>1460000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15125000</v>
      </c>
      <c r="C46" s="266">
        <f>'Sources and Uses Budget'!$C45</f>
        <v>15125000</v>
      </c>
      <c r="D46" s="270">
        <f t="shared" si="0"/>
        <v>0</v>
      </c>
      <c r="E46" s="268"/>
      <c r="F46" s="267"/>
    </row>
    <row r="47" spans="1:6" s="352" customFormat="1">
      <c r="A47" s="145" t="s">
        <v>151</v>
      </c>
      <c r="B47" s="266">
        <f>'Sources and Uses Budget'!$C46</f>
        <v>1100000</v>
      </c>
      <c r="C47" s="266">
        <f>'Sources and Uses Budget'!$C46</f>
        <v>1100000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513000</v>
      </c>
      <c r="C50" s="266">
        <f>'Sources and Uses Budget'!$C49</f>
        <v>513000</v>
      </c>
      <c r="D50" s="270">
        <f t="shared" si="0"/>
        <v>0</v>
      </c>
      <c r="E50" s="268"/>
      <c r="F50" s="267"/>
    </row>
    <row r="51" spans="1:6" s="352" customFormat="1">
      <c r="A51" s="145" t="s">
        <v>156</v>
      </c>
      <c r="B51" s="266">
        <f>'Sources and Uses Budget'!$C50</f>
        <v>127500</v>
      </c>
      <c r="C51" s="266">
        <f>'Sources and Uses Budget'!$C50</f>
        <v>127500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1200000</v>
      </c>
      <c r="C53" s="266">
        <f>'Sources and Uses Budget'!$C52</f>
        <v>1200000</v>
      </c>
      <c r="D53" s="270">
        <f t="shared" si="0"/>
        <v>0</v>
      </c>
      <c r="E53" s="268"/>
      <c r="F53" s="267"/>
    </row>
    <row r="54" spans="1:6" s="352" customFormat="1" ht="24">
      <c r="A54" s="155" t="str">
        <f>'Sources and Uses Budget'!A53</f>
        <v>Other: Construction Interest Rate Cap Premium</v>
      </c>
      <c r="B54" s="266">
        <f>'Sources and Uses Budget'!$C53</f>
        <v>2000000</v>
      </c>
      <c r="C54" s="266">
        <f>'Sources and Uses Budget'!$C53</f>
        <v>2000000</v>
      </c>
      <c r="D54" s="270">
        <f t="shared" si="0"/>
        <v>0</v>
      </c>
      <c r="E54" s="268"/>
      <c r="F54" s="267"/>
    </row>
    <row r="55" spans="1:6" s="353" customFormat="1">
      <c r="A55" s="271" t="s">
        <v>157</v>
      </c>
      <c r="B55" s="273">
        <f>SUM(B46:B54)</f>
        <v>20065500</v>
      </c>
      <c r="C55" s="273">
        <f>SUM(C46:C54)</f>
        <v>20065500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50000</v>
      </c>
      <c r="C58" s="266">
        <f>'Sources and Uses Budget'!$C57</f>
        <v>50000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70000</v>
      </c>
      <c r="C63" s="270">
        <f>SUM(C57:C62)</f>
        <v>70000</v>
      </c>
      <c r="D63" s="270">
        <f t="shared" si="0"/>
        <v>0</v>
      </c>
      <c r="E63" s="268"/>
      <c r="F63" s="267"/>
    </row>
    <row r="64" spans="1:6" s="352" customFormat="1">
      <c r="A64" s="274" t="s">
        <v>301</v>
      </c>
      <c r="B64" s="270">
        <f>SUM(B9+B12+B14+B15+B17+B26+B28+B39+B43+B44+B55+B63)</f>
        <v>123735500</v>
      </c>
      <c r="C64" s="270">
        <f>SUM(C9+C12+C14+C15+C17+C26+C28+C39+C43+C44+C55+C63)</f>
        <v>123735500</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135000</v>
      </c>
      <c r="C66" s="266">
        <f>'Sources and Uses Budget'!$C65</f>
        <v>135000</v>
      </c>
      <c r="D66" s="270">
        <f t="shared" si="0"/>
        <v>0</v>
      </c>
      <c r="E66" s="268"/>
      <c r="F66" s="267"/>
    </row>
    <row r="67" spans="1:6" s="352" customFormat="1" ht="24">
      <c r="A67" s="283" t="s">
        <v>1641</v>
      </c>
      <c r="B67" s="266">
        <f>'Sources and Uses Budget'!$C66</f>
        <v>100000</v>
      </c>
      <c r="C67" s="266">
        <f>'Sources and Uses Budget'!$C66</f>
        <v>100000</v>
      </c>
      <c r="D67" s="270"/>
      <c r="E67" s="268"/>
      <c r="F67" s="267"/>
    </row>
    <row r="68" spans="1:6" s="352" customFormat="1" ht="24">
      <c r="A68" s="283" t="s">
        <v>1642</v>
      </c>
      <c r="B68" s="266">
        <f>'Sources and Uses Budget'!$C67</f>
        <v>40000</v>
      </c>
      <c r="C68" s="266">
        <f>'Sources and Uses Budget'!$C67</f>
        <v>40000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Borrrower Legal</v>
      </c>
      <c r="B70" s="266">
        <f>'Sources and Uses Budget'!$C69</f>
        <v>120000</v>
      </c>
      <c r="C70" s="266">
        <f>'Sources and Uses Budget'!$C69</f>
        <v>120000</v>
      </c>
      <c r="D70" s="270">
        <f t="shared" si="0"/>
        <v>0</v>
      </c>
      <c r="E70" s="268"/>
      <c r="F70" s="267"/>
    </row>
    <row r="71" spans="1:6" s="352" customFormat="1">
      <c r="A71" s="149" t="s">
        <v>1645</v>
      </c>
      <c r="B71" s="270">
        <f>SUM(B66:B70)</f>
        <v>395000</v>
      </c>
      <c r="C71" s="270">
        <f>SUM(C66:C70)</f>
        <v>395000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1500000</v>
      </c>
      <c r="C76" s="266">
        <f>'Sources and Uses Budget'!$C75</f>
        <v>1500000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1500000</v>
      </c>
      <c r="C78" s="270">
        <f>SUM(C73:C77)</f>
        <v>1500000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9500000</v>
      </c>
      <c r="C80" s="266">
        <f>'Sources and Uses Budget'!$C79</f>
        <v>9500000</v>
      </c>
      <c r="D80" s="270">
        <f t="shared" si="1"/>
        <v>0</v>
      </c>
      <c r="E80" s="268"/>
      <c r="F80" s="267"/>
    </row>
    <row r="81" spans="1:6" s="352" customFormat="1">
      <c r="A81" s="510" t="s">
        <v>58</v>
      </c>
      <c r="B81" s="266">
        <f>'Sources and Uses Budget'!$C80</f>
        <v>1067100</v>
      </c>
      <c r="C81" s="266">
        <f>'Sources and Uses Budget'!$C80</f>
        <v>1067100</v>
      </c>
      <c r="D81" s="270">
        <f>C81-B81</f>
        <v>0</v>
      </c>
      <c r="E81" s="268"/>
      <c r="F81" s="267"/>
    </row>
    <row r="82" spans="1:6" s="352" customFormat="1">
      <c r="A82" s="271" t="s">
        <v>1209</v>
      </c>
      <c r="B82" s="270">
        <f>SUM(B80:B81)</f>
        <v>10567100</v>
      </c>
      <c r="C82" s="270">
        <f>SUM(C80:C81)</f>
        <v>10567100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70000</v>
      </c>
      <c r="C84" s="266">
        <f>'Sources and Uses Budget'!$C83</f>
        <v>70000</v>
      </c>
      <c r="D84" s="270">
        <f t="shared" si="1"/>
        <v>0</v>
      </c>
      <c r="E84" s="268"/>
      <c r="F84" s="267"/>
    </row>
    <row r="85" spans="1:6" s="352" customFormat="1">
      <c r="A85" s="269" t="s">
        <v>767</v>
      </c>
      <c r="B85" s="266">
        <f>'Sources and Uses Budget'!$C84</f>
        <v>1900</v>
      </c>
      <c r="C85" s="266">
        <f>'Sources and Uses Budget'!$C84</f>
        <v>1900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1310000</v>
      </c>
      <c r="C87" s="266">
        <f>'Sources and Uses Budget'!$C86</f>
        <v>1310000</v>
      </c>
      <c r="D87" s="270">
        <f t="shared" si="1"/>
        <v>0</v>
      </c>
      <c r="E87" s="268"/>
      <c r="F87" s="267"/>
    </row>
    <row r="88" spans="1:6" s="352" customFormat="1">
      <c r="A88" s="269" t="s">
        <v>770</v>
      </c>
      <c r="B88" s="266">
        <f>'Sources and Uses Budget'!$C87</f>
        <v>321600</v>
      </c>
      <c r="C88" s="266">
        <f>'Sources and Uses Budget'!$C87</f>
        <v>321600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750000</v>
      </c>
      <c r="C90" s="266">
        <f>'Sources and Uses Budget'!$C89</f>
        <v>750000</v>
      </c>
      <c r="D90" s="270">
        <f t="shared" si="1"/>
        <v>0</v>
      </c>
      <c r="E90" s="268"/>
      <c r="F90" s="267"/>
    </row>
    <row r="91" spans="1:6" s="352" customFormat="1">
      <c r="A91" s="269" t="s">
        <v>773</v>
      </c>
      <c r="B91" s="266">
        <f>'Sources and Uses Budget'!$C90</f>
        <v>7000</v>
      </c>
      <c r="C91" s="266">
        <f>'Sources and Uses Budget'!$C90</f>
        <v>7000</v>
      </c>
      <c r="D91" s="270">
        <f t="shared" si="1"/>
        <v>0</v>
      </c>
      <c r="E91" s="268"/>
      <c r="F91" s="267"/>
    </row>
    <row r="92" spans="1:6" s="352" customFormat="1">
      <c r="A92" s="269" t="s">
        <v>371</v>
      </c>
      <c r="B92" s="266">
        <f>'Sources and Uses Budget'!$C91</f>
        <v>50000</v>
      </c>
      <c r="C92" s="266">
        <f>'Sources and Uses Budget'!$C91</f>
        <v>50000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2660500</v>
      </c>
      <c r="C97" s="270">
        <f>SUM(C84:C96)</f>
        <v>2660500</v>
      </c>
      <c r="D97" s="270">
        <f t="shared" si="1"/>
        <v>0</v>
      </c>
      <c r="E97" s="268"/>
      <c r="F97" s="267"/>
    </row>
    <row r="98" spans="1:6" s="352" customFormat="1">
      <c r="A98" s="271" t="s">
        <v>775</v>
      </c>
      <c r="B98" s="270">
        <f>SUM(B64+B71+B78+B82+B97)</f>
        <v>138858100</v>
      </c>
      <c r="C98" s="270">
        <f>SUM(C64+C71+C78+C82+C97)</f>
        <v>138858100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20500000</v>
      </c>
      <c r="C100" s="266">
        <f>'Sources and Uses Budget'!$C99</f>
        <v>20500000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20500000</v>
      </c>
      <c r="C105" s="270">
        <f>SUM(C100:C104)</f>
        <v>20500000</v>
      </c>
      <c r="D105" s="270">
        <f t="shared" si="1"/>
        <v>0</v>
      </c>
      <c r="E105" s="268"/>
      <c r="F105" s="267"/>
    </row>
    <row r="106" spans="1:6" s="352" customFormat="1">
      <c r="A106" s="271" t="s">
        <v>780</v>
      </c>
      <c r="B106" s="273">
        <f>SUM(B98+B105)</f>
        <v>159358100</v>
      </c>
      <c r="C106" s="273">
        <f>SUM(C98+C105)</f>
        <v>159358100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19" sqref="B1119"/>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2730</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2730</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2731</v>
      </c>
      <c r="D24" s="1283" t="s">
        <v>1091</v>
      </c>
      <c r="E24" s="1283"/>
      <c r="F24" s="1283"/>
      <c r="I24" s="490"/>
    </row>
    <row r="25" spans="1:9" ht="14.25">
      <c r="A25" s="484"/>
      <c r="B25" s="484"/>
      <c r="D25" s="1283"/>
      <c r="E25" s="1283"/>
      <c r="F25" s="1283"/>
      <c r="I25" s="490"/>
    </row>
    <row r="26" spans="1:9">
      <c r="I26" s="490"/>
    </row>
    <row r="27" spans="1:9" ht="14.25">
      <c r="A27" s="484"/>
      <c r="B27" s="485" t="s">
        <v>2730</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2731</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2731</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2731</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2731</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2731</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2730</v>
      </c>
      <c r="D56" s="1307" t="s">
        <v>1095</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2730</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2731</v>
      </c>
      <c r="D65" s="1283" t="s">
        <v>1097</v>
      </c>
      <c r="E65" s="1283"/>
      <c r="F65" s="1283"/>
      <c r="I65" s="490"/>
    </row>
    <row r="66" spans="1:9">
      <c r="D66" s="1283"/>
      <c r="E66" s="1283"/>
      <c r="F66" s="1283"/>
      <c r="I66" s="490"/>
    </row>
    <row r="67" spans="1:9">
      <c r="I67" s="490"/>
    </row>
    <row r="68" spans="1:9" ht="14.25">
      <c r="A68" s="484"/>
      <c r="B68" s="485" t="s">
        <v>2730</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2731</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2730</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2730</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2730</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2730</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2731</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2731</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2731</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2730</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2731</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2730</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2731</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2731</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2731</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2731</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2730</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2731</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2731</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2731</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2731</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25">
      <c r="A217" s="484"/>
      <c r="B217" s="485" t="s">
        <v>2731</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546</v>
      </c>
      <c r="E227" s="1291"/>
      <c r="F227" s="1291"/>
      <c r="I227" s="490"/>
    </row>
    <row r="228" spans="1:9" ht="14.25">
      <c r="A228" s="484"/>
      <c r="B228" s="485" t="s">
        <v>2730</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2730</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2730</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2731</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2730</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2730</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2730</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2731</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2731</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2731</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2731</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2731</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2731</v>
      </c>
      <c r="D305" s="1284" t="s">
        <v>1129</v>
      </c>
      <c r="E305" s="1284"/>
      <c r="F305" s="1284"/>
      <c r="I305" s="490"/>
    </row>
    <row r="306" spans="1:9" ht="14.25">
      <c r="A306" s="484"/>
      <c r="B306" s="484"/>
      <c r="D306" s="494"/>
      <c r="E306" s="495"/>
      <c r="F306" s="495"/>
      <c r="I306" s="490"/>
    </row>
    <row r="307" spans="1:9" ht="13.7" customHeight="1">
      <c r="B307" s="485" t="s">
        <v>2731</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2731</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2731</v>
      </c>
      <c r="D316" s="1284" t="s">
        <v>1131</v>
      </c>
      <c r="E316" s="1284"/>
      <c r="F316" s="1284"/>
      <c r="I316" s="490"/>
    </row>
    <row r="317" spans="1:9">
      <c r="E317" s="446"/>
      <c r="F317" s="446"/>
      <c r="I317" s="490"/>
    </row>
    <row r="318" spans="1:9" ht="14.25">
      <c r="A318" s="484"/>
      <c r="B318" s="485" t="s">
        <v>2731</v>
      </c>
      <c r="D318" s="1283" t="s">
        <v>2244</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2731</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2731</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2731</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2731</v>
      </c>
      <c r="C360" s="476"/>
      <c r="D360" s="1295" t="s">
        <v>2056</v>
      </c>
      <c r="E360" s="1295"/>
      <c r="F360" s="1295"/>
      <c r="I360" s="480"/>
    </row>
    <row r="361" spans="1:9">
      <c r="A361" s="476"/>
      <c r="B361" s="476"/>
      <c r="C361" s="476"/>
      <c r="D361" s="447"/>
      <c r="E361" s="447"/>
      <c r="F361" s="446"/>
      <c r="I361" s="490"/>
    </row>
    <row r="362" spans="1:9">
      <c r="A362" s="476"/>
      <c r="B362" s="485" t="s">
        <v>2731</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2731</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2731</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2731</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2731</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2731</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2731</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2731</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2731</v>
      </c>
      <c r="C471" s="484"/>
      <c r="D471" s="1283" t="s">
        <v>1197</v>
      </c>
      <c r="E471" s="1283"/>
      <c r="F471" s="1283"/>
      <c r="I471" s="490"/>
    </row>
    <row r="472" spans="1:9">
      <c r="D472" s="1283"/>
      <c r="E472" s="1283"/>
      <c r="F472" s="1283"/>
      <c r="I472" s="490"/>
    </row>
    <row r="473" spans="1:9">
      <c r="D473" s="446"/>
      <c r="E473" s="446"/>
      <c r="F473" s="446"/>
      <c r="I473" s="490"/>
    </row>
    <row r="474" spans="1:9" ht="14.25">
      <c r="B474" s="485" t="s">
        <v>2731</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2731</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2731</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2731</v>
      </c>
      <c r="C486" s="402"/>
      <c r="D486" s="1283"/>
      <c r="E486" s="1283"/>
      <c r="F486" s="1283"/>
      <c r="I486" s="490"/>
    </row>
    <row r="487" spans="1:9">
      <c r="A487" s="402"/>
      <c r="C487" s="402"/>
      <c r="D487" s="1283"/>
      <c r="E487" s="1283"/>
      <c r="F487" s="1283"/>
      <c r="I487" s="490"/>
    </row>
    <row r="488" spans="1:9">
      <c r="A488" s="402"/>
      <c r="B488" s="485" t="s">
        <v>2731</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2731</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2731</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2731</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2731</v>
      </c>
      <c r="D509" s="1284" t="s">
        <v>1143</v>
      </c>
      <c r="E509" s="1284"/>
      <c r="F509" s="1284"/>
      <c r="I509" s="490"/>
    </row>
    <row r="510" spans="1:9" ht="14.25">
      <c r="A510" s="484"/>
      <c r="B510" s="484"/>
      <c r="D510" s="446"/>
      <c r="I510" s="490"/>
    </row>
    <row r="511" spans="1:9" ht="14.25">
      <c r="A511" s="484"/>
      <c r="B511" s="485" t="s">
        <v>2731</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2731</v>
      </c>
      <c r="D514" s="1284" t="s">
        <v>1145</v>
      </c>
      <c r="E514" s="1284"/>
      <c r="F514" s="1284"/>
      <c r="I514" s="490"/>
    </row>
    <row r="515" spans="1:9">
      <c r="D515" s="446"/>
      <c r="E515" s="446"/>
      <c r="F515" s="446"/>
      <c r="I515" s="490"/>
    </row>
    <row r="516" spans="1:9">
      <c r="B516" s="485" t="s">
        <v>2731</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2730</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2731</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2731</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2730</v>
      </c>
      <c r="C548" s="487"/>
      <c r="D548" s="1284" t="s">
        <v>884</v>
      </c>
      <c r="E548" s="1284"/>
      <c r="F548" s="1284"/>
      <c r="I548" s="490"/>
    </row>
    <row r="549" spans="1:9" ht="13.7" customHeight="1">
      <c r="A549" s="487"/>
      <c r="B549" s="487"/>
      <c r="C549" s="487"/>
      <c r="D549" s="446"/>
      <c r="I549" s="490"/>
    </row>
    <row r="550" spans="1:9" ht="14.25">
      <c r="A550" s="484"/>
      <c r="B550" s="485" t="s">
        <v>2730</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2730</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2730</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2730</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2731</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2731</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2730</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2730</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2730</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2730</v>
      </c>
      <c r="D588" s="1287" t="s">
        <v>888</v>
      </c>
      <c r="E588" s="1287"/>
      <c r="F588" s="1287"/>
      <c r="I588" s="490"/>
    </row>
    <row r="589" spans="1:9">
      <c r="A589" s="490"/>
      <c r="B589" s="490"/>
      <c r="D589" s="476"/>
      <c r="I589" s="490"/>
    </row>
    <row r="590" spans="1:9">
      <c r="A590" s="490"/>
      <c r="B590" s="485" t="s">
        <v>2730</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2731</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2730</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2731</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2730</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2730</v>
      </c>
      <c r="D620" s="1308" t="s">
        <v>1111</v>
      </c>
      <c r="E620" s="1308"/>
      <c r="F620" s="1308"/>
      <c r="I620" s="490"/>
    </row>
    <row r="621" spans="1:9">
      <c r="D621" s="1308"/>
      <c r="E621" s="1308"/>
      <c r="F621" s="1308"/>
      <c r="I621" s="490"/>
    </row>
    <row r="622" spans="1:9">
      <c r="I622" s="490"/>
    </row>
    <row r="623" spans="1:9">
      <c r="B623" s="485" t="s">
        <v>2730</v>
      </c>
      <c r="D623" s="1308" t="s">
        <v>1112</v>
      </c>
      <c r="E623" s="1308"/>
      <c r="F623" s="1308"/>
      <c r="I623" s="490"/>
    </row>
    <row r="624" spans="1:9">
      <c r="C624" s="500"/>
      <c r="D624" s="1308"/>
      <c r="E624" s="1308"/>
      <c r="F624" s="1308"/>
      <c r="I624" s="490"/>
    </row>
    <row r="625" spans="1:9">
      <c r="C625" s="500"/>
      <c r="I625" s="490"/>
    </row>
    <row r="626" spans="1:9">
      <c r="B626" s="485" t="s">
        <v>2731</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2730</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2731</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2731</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2731</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2730</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2731</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2731</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2731</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2730</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2730</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2730</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2731</v>
      </c>
      <c r="C698" s="483"/>
      <c r="D698" s="1284" t="s">
        <v>2468</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2731</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2731</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2731</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2731</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2731</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2731</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2731</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2730</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2730</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2731</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2731</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2731</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2731</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2730</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2731</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2731</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2731</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2731</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2731</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2731</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2730</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2730</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2731</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2731</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2731</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2730</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2730</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2731</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2731</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2731</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2730</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2730</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2730</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2731</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2731</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2731</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2731</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2730</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2730</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2730</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2731</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2731</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2731</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2730</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2730</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2731</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2731</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2731</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2731</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2730</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2730</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2731</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2731</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2731</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2731</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2730</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306</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2731</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2731</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2730</v>
      </c>
      <c r="C1062" s="402"/>
      <c r="D1062" s="402" t="s">
        <v>1812</v>
      </c>
      <c r="I1062" s="490"/>
    </row>
    <row r="1063" spans="1:9">
      <c r="A1063" s="402"/>
      <c r="B1063" s="402"/>
      <c r="C1063" s="402"/>
      <c r="I1063" s="490"/>
    </row>
    <row r="1064" spans="1:9">
      <c r="A1064" s="402"/>
      <c r="B1064" s="485" t="s">
        <v>2730</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2730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2731</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2731</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2731</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2731</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2731</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2731</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2731</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2730</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2731</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62" zoomScale="90" zoomScaleNormal="90" workbookViewId="0">
      <selection activeCell="I190" sqref="I190:N19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City of Los Angeles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52</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2509</v>
      </c>
      <c r="BE8" s="1249">
        <f>SUMIF($AC$718:$AC$752,"&lt;=35%",$G$718:G$752)-SUM($BE$5:BE7)</f>
        <v>0</v>
      </c>
    </row>
    <row r="9" spans="1:58" ht="12.95" customHeight="1">
      <c r="A9" s="1839" t="s">
        <v>2076</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2501</v>
      </c>
      <c r="BE9" s="1249">
        <f>SUMIF($AC$718:$AC$752,"&lt;=40%",$G$718:G$752)-SUM($BE$5:BE8)</f>
        <v>0</v>
      </c>
    </row>
    <row r="10" spans="1:58" ht="12.95" customHeight="1">
      <c r="A10" s="1839" t="s">
        <v>2458</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2510</v>
      </c>
      <c r="BE10" s="1249">
        <f>SUMIF($AC$718:$AC$752,"&lt;=45%",$G$718:G$752)-SUM($BE$5:BE9)</f>
        <v>0</v>
      </c>
    </row>
    <row r="11" spans="1:58" ht="12.95" customHeight="1">
      <c r="A11" s="1839" t="s">
        <v>2604</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2502</v>
      </c>
      <c r="BE11" s="1249">
        <f>SUMIF($AC$718:$AC$752,"&lt;=50%",$G$718:G$752)-SUM($BE$5:BE10)</f>
        <v>12</v>
      </c>
    </row>
    <row r="12" spans="1:58" ht="12.95" customHeight="1">
      <c r="A12" s="1840" t="s">
        <v>2610</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2511</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156</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20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74</v>
      </c>
    </row>
    <row r="16" spans="1:58" ht="12.95" customHeight="1">
      <c r="A16" s="57" t="s">
        <v>2078</v>
      </c>
      <c r="C16" s="4"/>
      <c r="D16" s="4"/>
      <c r="E16" s="4"/>
      <c r="F16" s="4"/>
      <c r="G16" s="4"/>
      <c r="H16" s="1547" t="s">
        <v>2732</v>
      </c>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BD16" s="1248" t="s">
        <v>656</v>
      </c>
      <c r="BE16" s="1249" t="str">
        <f>Application!H18</f>
        <v>The Green at Warner Center</v>
      </c>
    </row>
    <row r="17" spans="1:58" ht="12.95" customHeight="1">
      <c r="BD17" s="1247" t="s">
        <v>2518</v>
      </c>
      <c r="BE17" s="1249">
        <f>Application!AA934</f>
        <v>0</v>
      </c>
    </row>
    <row r="18" spans="1:58" ht="12.95" customHeight="1">
      <c r="A18" s="57" t="s">
        <v>101</v>
      </c>
      <c r="C18" s="4"/>
      <c r="D18" s="4"/>
      <c r="E18" s="4"/>
      <c r="F18" s="4"/>
      <c r="G18" s="4"/>
      <c r="H18" s="1481" t="s">
        <v>2660</v>
      </c>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BD18" s="1248" t="s">
        <v>2519</v>
      </c>
      <c r="BE18" s="1249">
        <f>'CalHFA Addendum'!N11</f>
        <v>0</v>
      </c>
    </row>
    <row r="19" spans="1:58" ht="12.95" customHeight="1">
      <c r="BD19" s="1247" t="s">
        <v>2520</v>
      </c>
      <c r="BE19" s="1249">
        <f>Application!M26</f>
        <v>8188510</v>
      </c>
    </row>
    <row r="20" spans="1:58" ht="12.95" customHeight="1">
      <c r="A20" s="1841" t="s">
        <v>873</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2521</v>
      </c>
      <c r="BE20" s="1249">
        <f>Application!M27</f>
        <v>0</v>
      </c>
    </row>
    <row r="21" spans="1:58" ht="12.95" customHeight="1">
      <c r="A21" s="1844" t="s">
        <v>1009</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2522</v>
      </c>
      <c r="BE21" s="1249">
        <f>Application!AM554</f>
        <v>40500000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159358100</v>
      </c>
      <c r="BF22" s="3" t="s">
        <v>2595</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478887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843">
        <f>'Basis &amp; Credits'!AB56</f>
        <v>8188510</v>
      </c>
      <c r="N26" s="1843"/>
      <c r="O26" s="1843"/>
      <c r="P26" s="1843"/>
      <c r="Q26" s="1843"/>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40" t="s">
        <v>2147</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2527</v>
      </c>
      <c r="BE29" s="1249" t="b">
        <f>Application!M358="Yes"</f>
        <v>0</v>
      </c>
    </row>
    <row r="30" spans="1:58" ht="12.9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1</v>
      </c>
    </row>
    <row r="31" spans="1:58" ht="12.9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492" t="s">
        <v>669</v>
      </c>
      <c r="P33" s="1492"/>
      <c r="Q33" s="1842" t="s">
        <v>2148</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2596</v>
      </c>
      <c r="BE33" s="1249" t="str">
        <f>Application!D220</f>
        <v>City of Los Angeles</v>
      </c>
    </row>
    <row r="34" spans="1:57" ht="12.95" customHeight="1">
      <c r="A34" s="1540" t="s">
        <v>2149</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2530</v>
      </c>
      <c r="BE34" s="1249" t="str">
        <f>Application!I185</f>
        <v>21155 Califa Street</v>
      </c>
    </row>
    <row r="35" spans="1:57" ht="12.9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2531</v>
      </c>
      <c r="BE35" s="1249" t="str">
        <f>IF(Application!E187="","",Application!E187)</f>
        <v/>
      </c>
    </row>
    <row r="36" spans="1:57" ht="12.9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2532</v>
      </c>
      <c r="BE36" s="1249" t="str">
        <f>Application!I189</f>
        <v>Woodland Hills</v>
      </c>
    </row>
    <row r="37" spans="1:57" ht="12.9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2533</v>
      </c>
      <c r="BE37" s="1249" t="str">
        <f>Application!T189</f>
        <v>Los Angeles</v>
      </c>
    </row>
    <row r="38" spans="1:57" ht="12.95" customHeight="1">
      <c r="A38" s="3"/>
      <c r="AZ38" s="20"/>
      <c r="BD38" s="1248" t="s">
        <v>2534</v>
      </c>
      <c r="BE38" s="1249">
        <f>Application!I190</f>
        <v>91367</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316</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314</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0.6</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0.59997674197830442</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504297.78481012658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Las Palmas Foundation</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Noami Pines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Elysian Califa, LLC (a To-be-formed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t="str">
        <f>Application!M254</f>
        <v>Brian Mikail</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Capstone Equities, LLC / Elysian Housing, LLC</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 xml:space="preserve">Capstone Equities </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5455 Wilshire Blvd, Suite 1012</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Los Angeles, CA 90036</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Brian Mikail</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bmikail@capstonequities.com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0.92</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23" t="s">
        <v>2156</v>
      </c>
      <c r="B65" s="1523"/>
      <c r="C65" s="1523"/>
      <c r="D65" s="152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523"/>
      <c r="AM65" s="1523"/>
      <c r="AN65" s="1523"/>
      <c r="AO65" s="1523"/>
      <c r="AP65" s="1523"/>
      <c r="AQ65" s="1523"/>
      <c r="AR65" s="1523"/>
      <c r="AS65" s="1523"/>
      <c r="AT65" s="1523"/>
      <c r="AU65" s="21"/>
      <c r="AV65" s="21"/>
      <c r="AW65" s="21"/>
      <c r="AX65" s="21"/>
      <c r="AY65" s="21"/>
      <c r="AZ65" s="20"/>
      <c r="BD65" s="1247" t="s">
        <v>2593</v>
      </c>
      <c r="BE65" s="1249" t="str">
        <f>Z205</f>
        <v>$500M</v>
      </c>
    </row>
    <row r="66" spans="1:57" ht="12.95" customHeight="1">
      <c r="A66" s="1523"/>
      <c r="B66" s="1523"/>
      <c r="C66" s="1523"/>
      <c r="D66" s="1523"/>
      <c r="E66" s="1523"/>
      <c r="F66" s="1523"/>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523"/>
      <c r="AM66" s="1523"/>
      <c r="AN66" s="1523"/>
      <c r="AO66" s="1523"/>
      <c r="AP66" s="1523"/>
      <c r="AQ66" s="1523"/>
      <c r="AR66" s="1523"/>
      <c r="AS66" s="1523"/>
      <c r="AT66" s="1523"/>
      <c r="AU66" s="21"/>
      <c r="AV66" s="21"/>
      <c r="AW66" s="21"/>
      <c r="AX66" s="21"/>
      <c r="AY66" s="21"/>
      <c r="AZ66" s="20"/>
      <c r="BD66" s="1248" t="s">
        <v>2558</v>
      </c>
      <c r="BE66" s="1249" t="b">
        <f>Application!Z205="State Farmworker Credit"</f>
        <v>0</v>
      </c>
    </row>
    <row r="67" spans="1:57" ht="12.95" customHeight="1">
      <c r="A67" s="1523"/>
      <c r="B67" s="1523"/>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23" t="s">
        <v>2157</v>
      </c>
      <c r="B69" s="1523"/>
      <c r="C69" s="1523"/>
      <c r="D69" s="1523"/>
      <c r="E69" s="1523"/>
      <c r="F69" s="1523"/>
      <c r="G69" s="1523"/>
      <c r="H69" s="1523"/>
      <c r="I69" s="1523"/>
      <c r="J69" s="1523"/>
      <c r="K69" s="1523"/>
      <c r="L69" s="1523"/>
      <c r="M69" s="1523"/>
      <c r="N69" s="1523"/>
      <c r="O69" s="1523"/>
      <c r="P69" s="1523"/>
      <c r="Q69" s="1523"/>
      <c r="R69" s="1523"/>
      <c r="S69" s="1523"/>
      <c r="T69" s="1523"/>
      <c r="U69" s="1523"/>
      <c r="V69" s="1523"/>
      <c r="W69" s="1523"/>
      <c r="X69" s="1523"/>
      <c r="Y69" s="1523"/>
      <c r="Z69" s="1523"/>
      <c r="AA69" s="1523"/>
      <c r="AB69" s="1523"/>
      <c r="AC69" s="1523"/>
      <c r="AD69" s="1523"/>
      <c r="AE69" s="1523"/>
      <c r="AF69" s="1523"/>
      <c r="AG69" s="1523"/>
      <c r="AH69" s="1523"/>
      <c r="AI69" s="1523"/>
      <c r="AJ69" s="1523"/>
      <c r="AK69" s="1523"/>
      <c r="AL69" s="1523"/>
      <c r="AM69" s="1523"/>
      <c r="AN69" s="1523"/>
      <c r="AO69" s="1523"/>
      <c r="AP69" s="1523"/>
      <c r="AQ69" s="1523"/>
      <c r="AR69" s="1523"/>
      <c r="AS69" s="1523"/>
      <c r="AT69" s="1523"/>
      <c r="AZ69" s="20"/>
      <c r="BD69" s="1247" t="s">
        <v>2561</v>
      </c>
      <c r="BE69" s="1249" t="str">
        <f>Application!W700</f>
        <v>California Municipal Finance Authority</v>
      </c>
    </row>
    <row r="70" spans="1:57" ht="12.95" customHeight="1">
      <c r="A70" s="1523"/>
      <c r="B70" s="1523"/>
      <c r="C70" s="1523"/>
      <c r="D70" s="1523"/>
      <c r="E70" s="1523"/>
      <c r="F70" s="1523"/>
      <c r="G70" s="1523"/>
      <c r="H70" s="1523"/>
      <c r="I70" s="1523"/>
      <c r="J70" s="1523"/>
      <c r="K70" s="1523"/>
      <c r="L70" s="1523"/>
      <c r="M70" s="1523"/>
      <c r="N70" s="1523"/>
      <c r="O70" s="1523"/>
      <c r="P70" s="1523"/>
      <c r="Q70" s="1523"/>
      <c r="R70" s="1523"/>
      <c r="S70" s="1523"/>
      <c r="T70" s="1523"/>
      <c r="U70" s="1523"/>
      <c r="V70" s="1523"/>
      <c r="W70" s="1523"/>
      <c r="X70" s="1523"/>
      <c r="Y70" s="1523"/>
      <c r="Z70" s="1523"/>
      <c r="AA70" s="1523"/>
      <c r="AB70" s="1523"/>
      <c r="AC70" s="1523"/>
      <c r="AD70" s="1523"/>
      <c r="AE70" s="1523"/>
      <c r="AF70" s="1523"/>
      <c r="AG70" s="1523"/>
      <c r="AH70" s="1523"/>
      <c r="AI70" s="1523"/>
      <c r="AJ70" s="1523"/>
      <c r="AK70" s="1523"/>
      <c r="AL70" s="1523"/>
      <c r="AM70" s="1523"/>
      <c r="AN70" s="1523"/>
      <c r="AO70" s="1523"/>
      <c r="AP70" s="1523"/>
      <c r="AQ70" s="1523"/>
      <c r="AR70" s="1523"/>
      <c r="AS70" s="1523"/>
      <c r="AT70" s="1523"/>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40" t="s">
        <v>2158</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2564</v>
      </c>
      <c r="BE72" s="1249">
        <f>'Points System'!AF805</f>
        <v>10</v>
      </c>
    </row>
    <row r="73" spans="1:57" ht="12.9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53" t="s">
        <v>2159</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c r="BD75" s="1247" t="s">
        <v>2567</v>
      </c>
      <c r="BE75" s="1249">
        <f>'Points System'!AF808</f>
        <v>10</v>
      </c>
    </row>
    <row r="76" spans="1:57" ht="12.95"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c r="BD76" s="1248" t="s">
        <v>2568</v>
      </c>
      <c r="BE76" s="1249">
        <f>'Points System'!AF811</f>
        <v>10</v>
      </c>
    </row>
    <row r="77" spans="1:57" ht="12.95"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23" t="s">
        <v>2160</v>
      </c>
      <c r="B79" s="1523"/>
      <c r="C79" s="1523"/>
      <c r="D79" s="1523"/>
      <c r="E79" s="1523"/>
      <c r="F79" s="1523"/>
      <c r="G79" s="1523"/>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523"/>
      <c r="AM79" s="1523"/>
      <c r="AN79" s="1523"/>
      <c r="AO79" s="1523"/>
      <c r="AP79" s="1523"/>
      <c r="AQ79" s="1523"/>
      <c r="AR79" s="1523"/>
      <c r="AS79" s="1523"/>
      <c r="AT79" s="1523"/>
      <c r="AU79" s="20"/>
      <c r="AV79" s="20"/>
      <c r="AW79" s="20"/>
      <c r="AX79" s="20"/>
      <c r="AY79" s="20"/>
      <c r="AZ79" s="20"/>
      <c r="BD79" s="1247" t="s">
        <v>2571</v>
      </c>
      <c r="BE79" s="1249">
        <f>'Points System'!AF815</f>
        <v>10</v>
      </c>
    </row>
    <row r="80" spans="1:57" ht="12.95" customHeight="1">
      <c r="A80" s="1523"/>
      <c r="B80" s="1523"/>
      <c r="C80" s="1523"/>
      <c r="D80" s="1523"/>
      <c r="E80" s="1523"/>
      <c r="F80" s="152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523"/>
      <c r="AM80" s="1523"/>
      <c r="AN80" s="1523"/>
      <c r="AO80" s="1523"/>
      <c r="AP80" s="1523"/>
      <c r="AQ80" s="1523"/>
      <c r="AR80" s="1523"/>
      <c r="AS80" s="1523"/>
      <c r="AT80" s="1523"/>
      <c r="AU80" s="20"/>
      <c r="AV80" s="20"/>
      <c r="AW80" s="20"/>
      <c r="AX80" s="20"/>
      <c r="AY80" s="20"/>
      <c r="AZ80" s="20"/>
      <c r="BD80" s="1248" t="s">
        <v>2572</v>
      </c>
      <c r="BE80" s="1249">
        <f>'Points System'!AF817</f>
        <v>10</v>
      </c>
    </row>
    <row r="81" spans="1:57" ht="12.95" customHeight="1">
      <c r="A81" s="1523"/>
      <c r="B81" s="1523"/>
      <c r="C81" s="1523"/>
      <c r="D81" s="1523"/>
      <c r="E81" s="1523"/>
      <c r="F81" s="1523"/>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523"/>
      <c r="AM81" s="1523"/>
      <c r="AN81" s="1523"/>
      <c r="AO81" s="1523"/>
      <c r="AP81" s="1523"/>
      <c r="AQ81" s="1523"/>
      <c r="AR81" s="1523"/>
      <c r="AS81" s="1523"/>
      <c r="AT81" s="1523"/>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2.3779028838045062</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e">
        <f>Application!#REF!</f>
        <v>#REF!</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Application!O153</f>
        <v>City of Los Angeles</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200 N Main Street, Suite 1500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 CA</v>
      </c>
    </row>
    <row r="89" spans="1:57" ht="12.95" customHeight="1">
      <c r="A89" s="1560" t="s">
        <v>2163</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247" t="s">
        <v>2581</v>
      </c>
      <c r="BE89" s="1249">
        <f>Application!O158</f>
        <v>90012</v>
      </c>
    </row>
    <row r="90" spans="1:57"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248" t="s">
        <v>2582</v>
      </c>
      <c r="BE90" s="1249" t="str">
        <f>Application!H16</f>
        <v>Capstone Equities,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5455 Wilshire Blvd, Suite 1012</v>
      </c>
    </row>
    <row r="92" spans="1:57" ht="12.95" customHeight="1">
      <c r="A92" s="1553" t="s">
        <v>2164</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c r="BD92" s="1248" t="s">
        <v>2584</v>
      </c>
      <c r="BE92" s="1249" t="str">
        <f>Application!M234</f>
        <v>Los Angeles</v>
      </c>
    </row>
    <row r="93" spans="1:57" ht="12.95"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c r="BD93" s="1247" t="s">
        <v>2585</v>
      </c>
      <c r="BE93" s="1249" t="str">
        <f>Application!W234</f>
        <v>CA</v>
      </c>
    </row>
    <row r="94" spans="1:57" ht="12.95"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c r="BD94" s="1248" t="s">
        <v>2586</v>
      </c>
      <c r="BE94" s="1249">
        <f>Application!AC234</f>
        <v>90036</v>
      </c>
    </row>
    <row r="95" spans="1:57" ht="12.95"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c r="BD95" s="1247" t="s">
        <v>2587</v>
      </c>
      <c r="BE95" s="1249" t="str">
        <f>Application!M235</f>
        <v>Brian Mikail</v>
      </c>
    </row>
    <row r="96" spans="1:57" ht="12.95"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c r="BD96" s="1248" t="s">
        <v>2588</v>
      </c>
      <c r="BE96" s="1249" t="str">
        <f>Application!M237</f>
        <v>bmikail@capstoneequities.com</v>
      </c>
    </row>
    <row r="97" spans="1:57" ht="12.95"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c r="BD97" s="1247" t="s">
        <v>2589</v>
      </c>
      <c r="BE97" s="1249" t="str">
        <f>Application!M248</f>
        <v>npines@laspalmashousing.com</v>
      </c>
    </row>
    <row r="98" spans="1:57" ht="12.95"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c r="BD98" s="1248" t="s">
        <v>2590</v>
      </c>
      <c r="BE98" s="1249" t="str">
        <f>Application!M256</f>
        <v>bmikail@capstoneequities.com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61" t="s">
        <v>2165</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248" t="s">
        <v>2592</v>
      </c>
      <c r="BE100" s="1249" t="str">
        <f>Application!L279</f>
        <v>sstrain@sabelhauslaw.com</v>
      </c>
    </row>
    <row r="101" spans="1:57" ht="12.95"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2597</v>
      </c>
      <c r="BE101">
        <f>'Sources and Uses Budget'!C105</f>
        <v>159358100</v>
      </c>
    </row>
    <row r="102" spans="1:57" ht="12.95"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2598</v>
      </c>
      <c r="BE102" t="b">
        <f>T197="Yes"</f>
        <v>0</v>
      </c>
    </row>
    <row r="103" spans="1:57" ht="12.95"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1" t="s">
        <v>2166</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row>
    <row r="106" spans="1:57" ht="12.95"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55"/>
      <c r="H113" s="1555"/>
      <c r="I113" s="3" t="s">
        <v>181</v>
      </c>
      <c r="L113" s="1555"/>
      <c r="M113" s="1555"/>
      <c r="N113" s="1555"/>
      <c r="O113" s="1555"/>
      <c r="P113" s="1567" t="s">
        <v>2239</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6"/>
      <c r="D115" s="1556"/>
      <c r="E115" s="1556"/>
      <c r="F115" s="1556"/>
      <c r="G115" s="1556"/>
      <c r="H115" s="1556"/>
      <c r="I115" s="1556"/>
      <c r="J115" s="1556"/>
      <c r="K115" s="155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55"/>
      <c r="Z117" s="1555"/>
      <c r="AA117" s="1555"/>
      <c r="AB117" s="1555"/>
      <c r="AC117" s="1555"/>
      <c r="AD117" s="1555"/>
      <c r="AE117" s="1555"/>
      <c r="AF117" s="1555"/>
      <c r="AG117" s="1555"/>
      <c r="AH117" s="1555"/>
      <c r="AI117" s="1555"/>
      <c r="AJ117" s="1555"/>
      <c r="AK117" s="155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5"/>
      <c r="Z120" s="1555"/>
      <c r="AA120" s="1555"/>
      <c r="AB120" s="1555"/>
      <c r="AC120" s="1555"/>
      <c r="AD120" s="1555"/>
      <c r="AE120" s="1555"/>
      <c r="AF120" s="1555"/>
      <c r="AG120" s="1555"/>
      <c r="AH120" s="1555"/>
      <c r="AI120" s="1555"/>
      <c r="AJ120" s="1555"/>
      <c r="AK120" s="155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6" t="s">
        <v>469</v>
      </c>
      <c r="CV122" s="1697"/>
      <c r="CW122" s="14"/>
      <c r="CX122" s="14" t="s">
        <v>634</v>
      </c>
      <c r="CY122" s="14"/>
      <c r="CZ122" s="14"/>
      <c r="DA122" s="14"/>
      <c r="DB122" s="14"/>
      <c r="DC122" s="14"/>
      <c r="DD122" s="14"/>
      <c r="DE122" s="14"/>
      <c r="DF122" s="14"/>
      <c r="DG122" s="1693" t="str">
        <f>T189</f>
        <v>Los Angeles</v>
      </c>
      <c r="DH122" s="1694"/>
      <c r="DI122" s="1694"/>
      <c r="DJ122" s="1694"/>
      <c r="DK122" s="1694"/>
      <c r="DL122" s="1694"/>
      <c r="DM122" s="1695"/>
    </row>
    <row r="123" spans="1:117" ht="12.95" customHeight="1">
      <c r="A123" s="3"/>
      <c r="B123" s="3"/>
      <c r="T123" s="3"/>
      <c r="U123" s="3"/>
      <c r="V123" s="3"/>
      <c r="W123" s="3"/>
      <c r="X123" s="3"/>
      <c r="Y123" s="1555"/>
      <c r="Z123" s="1555"/>
      <c r="AA123" s="1555"/>
      <c r="AB123" s="1555"/>
      <c r="AC123" s="1555"/>
      <c r="AD123" s="1555"/>
      <c r="AE123" s="1555"/>
      <c r="AF123" s="1555"/>
      <c r="AG123" s="1555"/>
      <c r="AH123" s="1555"/>
      <c r="AI123" s="1555"/>
      <c r="AJ123" s="1555"/>
      <c r="AK123" s="155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9"/>
      <c r="G150" s="1409"/>
      <c r="H150" s="1409"/>
      <c r="I150" s="1409"/>
      <c r="J150" s="1409"/>
      <c r="K150" s="1409"/>
      <c r="L150" s="1409"/>
      <c r="M150" s="1409"/>
      <c r="N150" s="1409"/>
      <c r="O150" s="1409"/>
      <c r="P150" s="1409"/>
      <c r="Q150" s="1409"/>
      <c r="R150" s="1409"/>
      <c r="S150" s="1409"/>
      <c r="T150" s="14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56" t="s">
        <v>875</v>
      </c>
      <c r="P153" s="1457"/>
      <c r="Q153" s="1457"/>
      <c r="R153" s="1457"/>
      <c r="S153" s="1457"/>
      <c r="T153" s="1457"/>
      <c r="U153" s="1457"/>
      <c r="V153" s="1457"/>
      <c r="W153" s="1457"/>
      <c r="X153" s="1457"/>
      <c r="Y153" s="1457"/>
      <c r="Z153" s="1457"/>
      <c r="AA153" s="1457"/>
      <c r="AB153" s="1457"/>
      <c r="AC153" s="1457"/>
      <c r="AD153" s="1457"/>
      <c r="AE153" s="1457"/>
      <c r="AF153" s="1457"/>
      <c r="AG153" s="1457"/>
      <c r="AH153" s="1457"/>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303" t="s">
        <v>2627</v>
      </c>
      <c r="P154" s="303"/>
      <c r="Q154" s="303"/>
      <c r="R154" s="303"/>
      <c r="S154" s="303"/>
      <c r="T154" s="303"/>
      <c r="U154" s="303"/>
      <c r="V154" s="303"/>
      <c r="W154" s="303"/>
      <c r="X154" s="303"/>
      <c r="Y154" s="303"/>
      <c r="Z154" s="303"/>
      <c r="AA154" s="303"/>
      <c r="AB154" s="303"/>
      <c r="AC154" s="303"/>
      <c r="AD154" s="303"/>
      <c r="AE154" s="303"/>
      <c r="AF154" s="303"/>
      <c r="AG154" s="303"/>
      <c r="AH154" s="303"/>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43" t="s">
        <v>440</v>
      </c>
      <c r="P155" s="1543"/>
      <c r="Q155" s="1543"/>
      <c r="R155" s="1543"/>
      <c r="S155" s="1543"/>
      <c r="T155" s="1543"/>
      <c r="U155" s="1543"/>
      <c r="V155" s="1543"/>
      <c r="W155" s="1543"/>
      <c r="X155" s="1543"/>
      <c r="Y155" s="1543"/>
      <c r="Z155" s="1543"/>
      <c r="AA155" s="1543"/>
      <c r="AB155" s="1543"/>
      <c r="AC155" s="1543"/>
      <c r="AD155" s="1543"/>
      <c r="AE155" s="1543"/>
      <c r="AF155" s="1543"/>
      <c r="AG155" s="1543"/>
      <c r="AH155" s="1543"/>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82" t="s">
        <v>2628</v>
      </c>
      <c r="P156" s="1482"/>
      <c r="Q156" s="1482"/>
      <c r="R156" s="1482"/>
      <c r="S156" s="1482"/>
      <c r="T156" s="1482"/>
      <c r="U156" s="1482"/>
      <c r="V156" s="1482"/>
      <c r="W156" s="1482"/>
      <c r="X156" s="1482"/>
      <c r="Y156" s="1482"/>
      <c r="Z156" s="1482"/>
      <c r="AA156" s="1482"/>
      <c r="AB156" s="1482"/>
      <c r="AC156" s="1482"/>
      <c r="AD156" s="1482"/>
      <c r="AE156" s="1482"/>
      <c r="AF156" s="1482"/>
      <c r="AG156" s="1482"/>
      <c r="AH156" s="1482"/>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81" t="s">
        <v>2629</v>
      </c>
      <c r="P157" s="1522"/>
      <c r="Q157" s="1522"/>
      <c r="R157" s="1522"/>
      <c r="S157" s="1522"/>
      <c r="T157" s="1522"/>
      <c r="U157" s="1522"/>
      <c r="V157" s="1522"/>
      <c r="W157" s="1522"/>
      <c r="X157" s="1522"/>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64">
        <v>90012</v>
      </c>
      <c r="P158" s="1564"/>
      <c r="Q158" s="1564"/>
      <c r="R158" s="156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44" t="s">
        <v>2630</v>
      </c>
      <c r="P159" s="1544"/>
      <c r="Q159" s="1544"/>
      <c r="R159" s="1544"/>
      <c r="S159" s="1544"/>
      <c r="T159" s="1544"/>
      <c r="V159" s="97" t="s">
        <v>270</v>
      </c>
      <c r="W159" s="1565"/>
      <c r="X159" s="156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44"/>
      <c r="P160" s="1544"/>
      <c r="Q160" s="1544"/>
      <c r="R160" s="1544"/>
      <c r="S160" s="1544"/>
      <c r="T160" s="154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529" t="s">
        <v>2631</v>
      </c>
      <c r="P161" s="1529"/>
      <c r="Q161" s="1529"/>
      <c r="R161" s="1529"/>
      <c r="S161" s="1529"/>
      <c r="T161" s="1529"/>
      <c r="U161" s="1529"/>
      <c r="V161" s="1529"/>
      <c r="W161" s="1529"/>
      <c r="X161" s="1529"/>
      <c r="Y161" s="1529"/>
      <c r="Z161" s="1529"/>
      <c r="AA161" s="1529"/>
      <c r="AB161" s="1529"/>
      <c r="AC161" s="1529"/>
      <c r="AD161" s="1529"/>
      <c r="AE161" s="1529"/>
      <c r="AF161" s="1529"/>
      <c r="AG161" s="1529"/>
      <c r="AH161" s="1529"/>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7" t="s">
        <v>2216</v>
      </c>
      <c r="E164" s="1557"/>
      <c r="F164" s="1557"/>
      <c r="G164" s="1557"/>
      <c r="H164" s="1557"/>
      <c r="I164" s="1557"/>
      <c r="J164" s="1557"/>
      <c r="K164" s="1557"/>
      <c r="L164" s="1557"/>
      <c r="M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9" t="s">
        <v>539</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548" t="s">
        <v>370</v>
      </c>
      <c r="K173" s="1548"/>
      <c r="L173" s="1548"/>
      <c r="M173" s="1548"/>
      <c r="N173" s="1548"/>
      <c r="O173" s="1548"/>
      <c r="P173" s="1548"/>
      <c r="Q173" s="1548"/>
      <c r="R173" s="1548"/>
      <c r="S173" s="154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82" t="s">
        <v>2101</v>
      </c>
      <c r="K174" s="1482"/>
      <c r="L174" s="1482"/>
      <c r="M174" s="1482"/>
      <c r="N174" s="1482"/>
      <c r="O174" s="1482"/>
      <c r="P174" s="1482"/>
      <c r="Q174" s="1482"/>
      <c r="R174" s="1482"/>
      <c r="S174" s="1482"/>
      <c r="T174" s="1482"/>
      <c r="U174" s="1482"/>
      <c r="V174" s="1482"/>
      <c r="W174" s="1482"/>
      <c r="X174" s="1482"/>
      <c r="Y174" s="1482"/>
      <c r="Z174" s="1482"/>
      <c r="AA174" s="1482"/>
      <c r="AB174" s="1482"/>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92" t="s">
        <v>669</v>
      </c>
      <c r="V175" s="1492"/>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59"/>
      <c r="V176" s="1559"/>
      <c r="W176" s="1" t="s">
        <v>305</v>
      </c>
      <c r="X176" s="1551"/>
      <c r="Y176" s="1551"/>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92"/>
      <c r="S177" s="1492"/>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550"/>
      <c r="AG178" s="1550"/>
      <c r="AH178" s="1" t="s">
        <v>305</v>
      </c>
      <c r="AI178" s="1518"/>
      <c r="AJ178" s="1518"/>
      <c r="AK178" s="1518"/>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92" t="s">
        <v>669</v>
      </c>
      <c r="Y180" s="149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77" t="str">
        <f>H18</f>
        <v>The Green at Warner Center</v>
      </c>
      <c r="J184" s="1477"/>
      <c r="K184" s="1477"/>
      <c r="L184" s="1477"/>
      <c r="M184" s="1477"/>
      <c r="N184" s="1477"/>
      <c r="O184" s="1477"/>
      <c r="P184" s="1477"/>
      <c r="Q184" s="1477"/>
      <c r="R184" s="1477"/>
      <c r="S184" s="1477"/>
      <c r="T184" s="1477"/>
      <c r="U184" s="1477"/>
      <c r="V184" s="1477"/>
      <c r="W184" s="1477"/>
      <c r="X184" s="1477"/>
      <c r="Y184" s="1477"/>
      <c r="Z184" s="1477"/>
      <c r="AA184" s="1477"/>
      <c r="AB184" s="1477"/>
      <c r="AC184" s="1477"/>
      <c r="AD184" s="1477"/>
      <c r="AE184" s="1477"/>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80" t="s">
        <v>2612</v>
      </c>
      <c r="J185" s="1380"/>
      <c r="K185" s="1380"/>
      <c r="L185" s="1380"/>
      <c r="M185" s="1380"/>
      <c r="N185" s="1380"/>
      <c r="O185" s="1380"/>
      <c r="P185" s="1380"/>
      <c r="Q185" s="1380"/>
      <c r="R185" s="1380"/>
      <c r="S185" s="1380"/>
      <c r="T185" s="1380"/>
      <c r="U185" s="1380"/>
      <c r="V185" s="1380"/>
      <c r="W185" s="1380"/>
      <c r="X185" s="1380"/>
      <c r="Y185" s="1380"/>
      <c r="Z185" s="1380"/>
      <c r="AA185" s="1380"/>
      <c r="AB185" s="1380"/>
      <c r="AC185" s="1380"/>
      <c r="AD185" s="1380"/>
      <c r="AE185" s="1380"/>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6"/>
      <c r="F187" s="1536"/>
      <c r="G187" s="1536"/>
      <c r="H187" s="1536"/>
      <c r="I187" s="1536"/>
      <c r="J187" s="1536"/>
      <c r="K187" s="1536"/>
      <c r="L187" s="1536"/>
      <c r="M187" s="1536"/>
      <c r="N187" s="1536"/>
      <c r="O187" s="1536"/>
      <c r="P187" s="1536"/>
      <c r="Q187" s="1536"/>
      <c r="R187" s="1536"/>
      <c r="S187" s="1536"/>
      <c r="T187" s="1536"/>
      <c r="U187" s="1536"/>
      <c r="V187" s="1536"/>
      <c r="W187" s="1536"/>
      <c r="X187" s="1536"/>
      <c r="Y187" s="1536"/>
      <c r="Z187" s="1536"/>
      <c r="AA187" s="1536"/>
      <c r="AB187" s="1536"/>
      <c r="AC187" s="1536"/>
      <c r="AD187" s="1536"/>
      <c r="AE187" s="153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7"/>
      <c r="F188" s="1537"/>
      <c r="G188" s="1537"/>
      <c r="H188" s="1537"/>
      <c r="I188" s="1537"/>
      <c r="J188" s="1537"/>
      <c r="K188" s="1537"/>
      <c r="L188" s="1537"/>
      <c r="M188" s="1537"/>
      <c r="N188" s="1537"/>
      <c r="O188" s="1537"/>
      <c r="P188" s="1537"/>
      <c r="Q188" s="1537"/>
      <c r="R188" s="1537"/>
      <c r="S188" s="1537"/>
      <c r="T188" s="1537"/>
      <c r="U188" s="1537"/>
      <c r="V188" s="1537"/>
      <c r="W188" s="1537"/>
      <c r="X188" s="1537"/>
      <c r="Y188" s="1537"/>
      <c r="Z188" s="1537"/>
      <c r="AA188" s="1537"/>
      <c r="AB188" s="1537"/>
      <c r="AC188" s="1537"/>
      <c r="AD188" s="1537"/>
      <c r="AE188" s="1537"/>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81" t="s">
        <v>2737</v>
      </c>
      <c r="J189" s="1482"/>
      <c r="K189" s="1482"/>
      <c r="L189" s="1482"/>
      <c r="M189" s="1482"/>
      <c r="N189" s="1482"/>
      <c r="O189" s="1482"/>
      <c r="P189" s="1482"/>
      <c r="Q189" t="s">
        <v>582</v>
      </c>
      <c r="T189" s="1482" t="s">
        <v>494</v>
      </c>
      <c r="U189" s="1482"/>
      <c r="V189" s="1482"/>
      <c r="W189" s="1482"/>
      <c r="X189" s="1482"/>
      <c r="Y189" s="1482"/>
      <c r="Z189" s="1482"/>
      <c r="AA189" s="1482"/>
      <c r="AB189" s="1482"/>
      <c r="AC189" s="1482"/>
      <c r="AD189" s="1482"/>
      <c r="AE189" s="1482"/>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80">
        <v>91367</v>
      </c>
      <c r="J190" s="1380"/>
      <c r="K190" s="1380"/>
      <c r="L190" s="1380"/>
      <c r="M190" s="1380"/>
      <c r="N190" s="1380"/>
      <c r="O190" t="s">
        <v>585</v>
      </c>
      <c r="T190" s="1562">
        <v>1371.04</v>
      </c>
      <c r="U190" s="1562"/>
      <c r="V190" s="1562"/>
      <c r="W190" s="1562"/>
      <c r="X190" s="1562"/>
      <c r="Y190" s="1562"/>
      <c r="Z190" s="1562"/>
      <c r="AA190" s="1562"/>
      <c r="AB190" s="1562"/>
      <c r="AC190" s="1562"/>
      <c r="AD190" s="1562"/>
      <c r="AE190" s="156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536" t="s">
        <v>2613</v>
      </c>
      <c r="O191" s="1536"/>
      <c r="P191" s="1536"/>
      <c r="Q191" s="1536"/>
      <c r="R191" s="1536"/>
      <c r="S191" s="1536"/>
      <c r="T191" s="1536"/>
      <c r="U191" s="1536"/>
      <c r="V191" s="1536"/>
      <c r="W191" s="1536"/>
      <c r="X191" s="1536"/>
      <c r="Y191" s="1536"/>
      <c r="Z191" s="1536"/>
      <c r="AA191" s="1536"/>
      <c r="AB191" s="1536"/>
      <c r="AC191" s="1536"/>
      <c r="AD191" s="1536"/>
      <c r="AE191" s="153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7"/>
      <c r="O192" s="1537"/>
      <c r="P192" s="1537"/>
      <c r="Q192" s="1537"/>
      <c r="R192" s="1537"/>
      <c r="S192" s="1537"/>
      <c r="T192" s="1537"/>
      <c r="U192" s="1537"/>
      <c r="V192" s="1537"/>
      <c r="W192" s="1537"/>
      <c r="X192" s="1537"/>
      <c r="Y192" s="1537"/>
      <c r="Z192" s="1537"/>
      <c r="AA192" s="1537"/>
      <c r="AB192" s="1537"/>
      <c r="AC192" s="1537"/>
      <c r="AD192" s="1537"/>
      <c r="AE192" s="1537"/>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6" t="s">
        <v>1937</v>
      </c>
      <c r="U193" s="1566"/>
      <c r="V193" s="1566"/>
      <c r="W193" s="1566"/>
      <c r="X193" s="1566"/>
      <c r="Y193" s="1566"/>
      <c r="Z193" s="1566"/>
      <c r="AA193" s="1566"/>
      <c r="AB193" s="1566"/>
      <c r="AC193" s="1566"/>
      <c r="AD193" s="1566"/>
      <c r="AE193" s="1566"/>
      <c r="AF193" s="1566"/>
      <c r="AG193" s="1566"/>
      <c r="AH193" s="1566"/>
      <c r="AI193" s="156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92" t="s">
        <v>669</v>
      </c>
      <c r="AI194" s="149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492" t="s">
        <v>545</v>
      </c>
      <c r="U195" s="1492"/>
      <c r="W195" t="s">
        <v>684</v>
      </c>
      <c r="AH195" s="1492">
        <v>32</v>
      </c>
      <c r="AI195" s="1492"/>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13" t="s">
        <v>669</v>
      </c>
      <c r="U196" s="1413"/>
      <c r="W196" t="s">
        <v>685</v>
      </c>
      <c r="AH196" s="1492">
        <v>46</v>
      </c>
      <c r="AI196" s="149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13" t="s">
        <v>669</v>
      </c>
      <c r="U197" s="1413"/>
      <c r="W197" t="s">
        <v>686</v>
      </c>
      <c r="AH197" s="1492">
        <v>27</v>
      </c>
      <c r="AI197" s="149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13" t="s">
        <v>591</v>
      </c>
      <c r="U198" s="1413"/>
      <c r="V198"/>
      <c r="X198" s="1540" t="s">
        <v>2513</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92" t="s">
        <v>669</v>
      </c>
      <c r="U199" s="1492"/>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492" t="s">
        <v>669</v>
      </c>
      <c r="U200" s="149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77" t="s">
        <v>384</v>
      </c>
      <c r="E204" s="1477"/>
      <c r="F204" s="1477"/>
      <c r="G204" s="1477"/>
      <c r="H204" s="1477"/>
      <c r="I204" s="1477"/>
      <c r="J204" s="1477"/>
      <c r="K204" s="1477"/>
      <c r="L204" s="1477"/>
      <c r="M204" s="1477"/>
      <c r="P204" s="1558">
        <f>M26</f>
        <v>8188510</v>
      </c>
      <c r="Q204" s="1549"/>
      <c r="R204" s="1549"/>
      <c r="S204" s="1549"/>
      <c r="T204" s="1549"/>
      <c r="U204" s="1549"/>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42" t="s">
        <v>1247</v>
      </c>
      <c r="E205" s="1477"/>
      <c r="F205" s="1477"/>
      <c r="G205" s="1477"/>
      <c r="H205" s="1477"/>
      <c r="I205" s="1477"/>
      <c r="J205" s="1477"/>
      <c r="K205" s="1477"/>
      <c r="L205" s="1477"/>
      <c r="M205" s="1477"/>
      <c r="P205" s="1549">
        <f>M27</f>
        <v>0</v>
      </c>
      <c r="Q205" s="1549"/>
      <c r="R205" s="1549"/>
      <c r="S205" s="1549"/>
      <c r="T205" s="1549"/>
      <c r="U205" s="1549"/>
      <c r="V205" s="28"/>
      <c r="W205" s="3" t="s">
        <v>1720</v>
      </c>
      <c r="Z205" s="1538" t="s">
        <v>2219</v>
      </c>
      <c r="AA205" s="1538"/>
      <c r="AB205" s="1538"/>
      <c r="AC205" s="1538"/>
      <c r="AD205" s="1538"/>
      <c r="AE205" s="1538"/>
      <c r="AF205" s="1538"/>
      <c r="AG205" s="1538"/>
      <c r="AH205" s="1538"/>
      <c r="AI205" s="1538"/>
      <c r="AJ205" s="1538"/>
      <c r="AK205" s="1538"/>
      <c r="AL205" s="1538"/>
      <c r="AM205" s="1538"/>
      <c r="AN205" s="1538"/>
      <c r="AP205" s="1409"/>
      <c r="AQ205" s="1409"/>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2" t="s">
        <v>2632</v>
      </c>
      <c r="E208" s="1522"/>
      <c r="F208" s="1522"/>
      <c r="G208" s="1522"/>
      <c r="H208" s="1522"/>
      <c r="I208" s="1522"/>
      <c r="J208" s="1522"/>
      <c r="K208" s="1522"/>
      <c r="L208" s="1522"/>
      <c r="M208" s="1522"/>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2" t="s">
        <v>1041</v>
      </c>
      <c r="E211" s="1522"/>
      <c r="F211" s="1522"/>
      <c r="G211" s="1522"/>
      <c r="H211" s="1522"/>
      <c r="I211" s="1522"/>
      <c r="J211" s="1522"/>
      <c r="K211" s="1522"/>
      <c r="L211" s="1522"/>
      <c r="M211" s="1522"/>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92"/>
      <c r="R212" s="1492"/>
      <c r="T212" s="1568">
        <f>IFERROR(Q212/AG440,0)</f>
        <v>0</v>
      </c>
      <c r="U212" s="156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4" t="s">
        <v>591</v>
      </c>
      <c r="E214" s="1554"/>
      <c r="F214" s="1554"/>
      <c r="G214" s="1554"/>
      <c r="H214" s="1554"/>
      <c r="I214" s="1554"/>
      <c r="J214" s="1554"/>
      <c r="K214" s="1554"/>
      <c r="L214" s="1554"/>
      <c r="M214" s="1554"/>
      <c r="N214" s="1554"/>
      <c r="O214" s="1554"/>
      <c r="P214" s="1554"/>
      <c r="Q214" s="1554"/>
      <c r="R214" s="1554"/>
      <c r="S214" s="1554"/>
      <c r="T214" s="1554"/>
      <c r="U214" s="1554"/>
      <c r="V214" s="1554"/>
      <c r="W214" s="1554"/>
      <c r="X214" s="1554"/>
      <c r="Y214" s="1554"/>
      <c r="Z214" s="1554"/>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10"/>
      <c r="AC215" s="1510"/>
      <c r="AD215" s="1510"/>
      <c r="AE215" s="1510"/>
      <c r="AF215" s="1510"/>
      <c r="AG215" s="1510"/>
      <c r="AH215" s="1510"/>
      <c r="AI215" s="1510"/>
      <c r="AJ215" s="1510"/>
      <c r="AK215" s="1510"/>
      <c r="AL215" s="1510"/>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10"/>
      <c r="AC216" s="1510"/>
      <c r="AD216" s="1510"/>
      <c r="AE216" s="1510"/>
      <c r="AF216" s="1510"/>
      <c r="AG216" s="1510"/>
      <c r="AH216" s="1510"/>
      <c r="AI216" s="1510"/>
      <c r="AJ216" s="1510"/>
      <c r="AK216" s="1510"/>
      <c r="AL216" s="1510"/>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522" t="s">
        <v>875</v>
      </c>
      <c r="E220" s="1522"/>
      <c r="F220" s="1522"/>
      <c r="G220" s="1522"/>
      <c r="H220" s="1522"/>
      <c r="I220" s="1522"/>
      <c r="J220" s="1522"/>
      <c r="K220" s="1522"/>
      <c r="L220" s="1522"/>
      <c r="M220" s="1522"/>
      <c r="N220" s="1522"/>
      <c r="O220" s="1522"/>
      <c r="P220" s="1522"/>
      <c r="Q220" s="1522"/>
      <c r="R220" s="1522"/>
      <c r="S220" s="1522"/>
      <c r="T220" s="1522"/>
      <c r="U220" s="1522"/>
      <c r="V220" s="1522"/>
      <c r="W220" s="1522"/>
      <c r="X220" s="1522"/>
      <c r="Y220" s="1522"/>
      <c r="Z220" s="1522"/>
      <c r="AC220" s="1541" t="s">
        <v>875</v>
      </c>
      <c r="AD220" s="1541"/>
      <c r="AE220" s="1541"/>
      <c r="AF220" s="1541"/>
      <c r="AG220" s="1541"/>
      <c r="AH220" s="1541"/>
      <c r="AI220" s="1541"/>
      <c r="AJ220" s="1541"/>
      <c r="AK220" s="1541"/>
      <c r="AL220" s="1541"/>
      <c r="AM220" s="1541"/>
      <c r="AN220" s="1541"/>
      <c r="AO220" s="1541"/>
      <c r="AP220" s="1541"/>
      <c r="AQ220" s="1541"/>
      <c r="BA220" s="3"/>
      <c r="BC220" t="s">
        <v>299</v>
      </c>
    </row>
    <row r="221" spans="1:108" ht="12.95" customHeight="1">
      <c r="A221" s="2"/>
      <c r="B221" s="14"/>
      <c r="C221" s="2"/>
      <c r="BA221" s="3"/>
    </row>
    <row r="222" spans="1:108" ht="12.95" customHeight="1">
      <c r="A222" s="1539" t="s">
        <v>540</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92" t="s">
        <v>591</v>
      </c>
      <c r="AJ226" s="149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92" t="s">
        <v>545</v>
      </c>
      <c r="AJ227" s="149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92" t="s">
        <v>545</v>
      </c>
      <c r="AJ228" s="149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92" t="s">
        <v>591</v>
      </c>
      <c r="AJ229" s="149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63" t="str">
        <f>H16</f>
        <v>Capstone Equities, LLC</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05" t="s">
        <v>538</v>
      </c>
      <c r="BG232" s="241">
        <f>IF(AND(AND($M$249="nonprofit",$M$257="nonprofit",$M$265="for profit")),2,0)</f>
        <v>0</v>
      </c>
    </row>
    <row r="233" spans="1:59" ht="12.95" customHeight="1">
      <c r="D233" s="4" t="s">
        <v>85</v>
      </c>
      <c r="E233" s="4"/>
      <c r="F233" s="4"/>
      <c r="G233" s="4"/>
      <c r="H233" s="4"/>
      <c r="I233" s="4"/>
      <c r="J233" s="4"/>
      <c r="K233" s="4"/>
      <c r="M233" s="1481" t="s">
        <v>2733</v>
      </c>
      <c r="N233" s="1522"/>
      <c r="O233" s="1522"/>
      <c r="P233" s="1522"/>
      <c r="Q233" s="1522"/>
      <c r="R233" s="1522"/>
      <c r="S233" s="1522"/>
      <c r="T233" s="1522"/>
      <c r="U233" s="1522"/>
      <c r="V233" s="1522"/>
      <c r="W233" s="1522"/>
      <c r="X233" s="1522"/>
      <c r="Y233" s="1522"/>
      <c r="Z233" s="1522"/>
      <c r="AA233" s="1522"/>
      <c r="AB233" s="1522"/>
      <c r="AC233" s="1522"/>
      <c r="AD233" s="1522"/>
      <c r="AE233" s="1522"/>
      <c r="BB233" s="205" t="s">
        <v>538</v>
      </c>
      <c r="BG233" s="241">
        <f>IF(AND(AND($M$249="nonprofit",$M$257="for profit",$M$265="nonprofit")),2,0)</f>
        <v>0</v>
      </c>
    </row>
    <row r="234" spans="1:59" ht="12.95" customHeight="1">
      <c r="D234" s="4" t="s">
        <v>580</v>
      </c>
      <c r="E234" s="4"/>
      <c r="M234" s="1481" t="s">
        <v>494</v>
      </c>
      <c r="N234" s="1522"/>
      <c r="O234" s="1522"/>
      <c r="P234" s="1522"/>
      <c r="Q234" s="1522"/>
      <c r="R234" s="1522"/>
      <c r="S234" s="1522"/>
      <c r="T234" s="1522"/>
      <c r="V234" s="33" t="s">
        <v>86</v>
      </c>
      <c r="W234" s="1456" t="s">
        <v>2617</v>
      </c>
      <c r="X234" s="1457"/>
      <c r="Y234" s="4" t="s">
        <v>583</v>
      </c>
      <c r="AC234" s="1522">
        <v>90036</v>
      </c>
      <c r="AD234" s="1522"/>
      <c r="AE234" s="1522"/>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81" t="s">
        <v>2636</v>
      </c>
      <c r="N235" s="1522"/>
      <c r="O235" s="1522"/>
      <c r="P235" s="1522"/>
      <c r="Q235" s="1522"/>
      <c r="R235" s="1522"/>
      <c r="S235" s="1522"/>
      <c r="T235" s="1522"/>
      <c r="U235" s="1522"/>
      <c r="V235" s="1522"/>
      <c r="W235" s="1522"/>
      <c r="X235" s="1522"/>
      <c r="Y235" s="1522"/>
      <c r="Z235" s="1522"/>
      <c r="AA235" s="1522"/>
      <c r="AB235" s="1522"/>
      <c r="AC235" s="1522"/>
      <c r="AD235" s="1522"/>
      <c r="AE235" s="1522"/>
      <c r="AI235" s="4"/>
      <c r="AJ235" s="4"/>
      <c r="AK235" s="4"/>
      <c r="AL235" s="4"/>
      <c r="AM235" s="4"/>
      <c r="AN235" s="4"/>
      <c r="AO235" s="4"/>
      <c r="AP235" s="4"/>
      <c r="AQ235" s="4"/>
      <c r="AR235" s="4"/>
      <c r="AS235" s="4"/>
      <c r="AT235" s="4"/>
      <c r="BB235" s="205"/>
      <c r="BG235" s="204"/>
    </row>
    <row r="236" spans="1:59" ht="12.95" customHeight="1">
      <c r="D236" s="4" t="s">
        <v>88</v>
      </c>
      <c r="E236" s="4"/>
      <c r="F236" s="4"/>
      <c r="M236" s="1545" t="s">
        <v>2635</v>
      </c>
      <c r="N236" s="1500"/>
      <c r="O236" s="1500"/>
      <c r="P236" s="1500"/>
      <c r="Q236" s="1500"/>
      <c r="R236" s="1500"/>
      <c r="S236" s="4" t="s">
        <v>205</v>
      </c>
      <c r="T236" s="4"/>
      <c r="U236" s="1457"/>
      <c r="V236" s="1457"/>
      <c r="W236" s="1457"/>
      <c r="X236" s="4" t="s">
        <v>89</v>
      </c>
      <c r="Z236" s="1500"/>
      <c r="AA236" s="1500"/>
      <c r="AB236" s="1500"/>
      <c r="AC236" s="1500"/>
      <c r="AD236" s="1500"/>
      <c r="AE236" s="1500"/>
      <c r="AU236" s="4"/>
      <c r="AV236" s="4"/>
      <c r="AW236" s="4"/>
      <c r="AX236" s="4"/>
      <c r="AY236" s="4"/>
      <c r="AZ236" s="4"/>
      <c r="BB236" s="204" t="s">
        <v>537</v>
      </c>
      <c r="BG236" s="241">
        <f>IF(AND(AND($M$249="nonprofit",$M$257="nonprofit",$M$265="(select one)")),1,0)</f>
        <v>0</v>
      </c>
    </row>
    <row r="237" spans="1:59" ht="12.95" customHeight="1">
      <c r="D237" s="4" t="s">
        <v>90</v>
      </c>
      <c r="E237" s="4"/>
      <c r="F237" s="4"/>
      <c r="M237" s="1529" t="s">
        <v>2637</v>
      </c>
      <c r="N237" s="1529"/>
      <c r="O237" s="1529"/>
      <c r="P237" s="1529"/>
      <c r="Q237" s="1529"/>
      <c r="R237" s="1529"/>
      <c r="S237" s="1529"/>
      <c r="T237" s="1529"/>
      <c r="U237" s="1529"/>
      <c r="V237" s="1529"/>
      <c r="W237" s="1529"/>
      <c r="X237" s="1529"/>
      <c r="Y237" s="1529"/>
      <c r="Z237" s="1529"/>
      <c r="AA237" s="1529"/>
      <c r="AB237" s="1529"/>
      <c r="AC237" s="1529"/>
      <c r="AD237" s="1529"/>
      <c r="AE237" s="1529"/>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80" t="s">
        <v>526</v>
      </c>
      <c r="N238" s="1380"/>
      <c r="O238" s="1380"/>
      <c r="P238" s="1380"/>
      <c r="Q238" s="1380"/>
      <c r="R238" s="1380"/>
      <c r="S238" s="1380"/>
      <c r="T238" s="1380"/>
      <c r="U238" s="204" t="s">
        <v>906</v>
      </c>
      <c r="V238" s="204"/>
      <c r="W238" s="204"/>
      <c r="X238" s="204"/>
      <c r="Y238" s="204"/>
      <c r="Z238" s="204"/>
      <c r="AA238" s="1546"/>
      <c r="AB238" s="1546"/>
      <c r="AC238" s="1546"/>
      <c r="AD238" s="1546"/>
      <c r="AE238" s="1546"/>
      <c r="AF238" s="1546"/>
      <c r="AG238" s="1546"/>
      <c r="AH238" s="1546"/>
      <c r="AI238" s="1546"/>
      <c r="AJ238" s="1546"/>
      <c r="AK238" s="154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82"/>
      <c r="N239" s="1482"/>
      <c r="O239" s="1482"/>
      <c r="P239" s="1482"/>
      <c r="Q239" s="1482"/>
      <c r="R239" s="1482"/>
      <c r="S239" s="1482"/>
      <c r="T239" s="1482"/>
      <c r="U239" s="1482"/>
      <c r="V239" s="1482"/>
      <c r="W239" s="1482"/>
      <c r="X239" s="1482"/>
      <c r="Y239" s="1482"/>
      <c r="Z239" s="1482"/>
      <c r="AA239" s="1482"/>
      <c r="AB239" s="1482"/>
      <c r="AC239" s="1482"/>
      <c r="AD239" s="1482"/>
      <c r="AE239" s="148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47" t="s">
        <v>2661</v>
      </c>
      <c r="N243" s="1531"/>
      <c r="O243" s="1531"/>
      <c r="P243" s="1531"/>
      <c r="Q243" s="1531"/>
      <c r="R243" s="1531"/>
      <c r="S243" s="1531"/>
      <c r="T243" s="1531"/>
      <c r="U243" s="1531"/>
      <c r="V243" s="1531"/>
      <c r="W243" s="1531"/>
      <c r="X243" s="1531"/>
      <c r="Y243" s="1531"/>
      <c r="Z243" s="1531"/>
      <c r="AA243" s="1531"/>
      <c r="AB243" s="1531"/>
      <c r="AC243" s="1531"/>
      <c r="AD243" s="1531"/>
      <c r="AE243" s="1531"/>
      <c r="AF243" s="1531" t="s">
        <v>2614</v>
      </c>
      <c r="AG243" s="1531"/>
      <c r="AH243" s="1531"/>
      <c r="AI243" s="1531"/>
      <c r="AJ243" s="1531"/>
      <c r="AK243" s="153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81" t="s">
        <v>2615</v>
      </c>
      <c r="N244" s="1522"/>
      <c r="O244" s="1522"/>
      <c r="P244" s="1522"/>
      <c r="Q244" s="1522"/>
      <c r="R244" s="1522"/>
      <c r="S244" s="1522"/>
      <c r="T244" s="1522"/>
      <c r="U244" s="1522"/>
      <c r="V244" s="1522"/>
      <c r="W244" s="1522"/>
      <c r="X244" s="1522"/>
      <c r="Y244" s="1522"/>
      <c r="Z244" s="1522"/>
      <c r="AA244" s="1522"/>
      <c r="AB244" s="1522"/>
      <c r="AC244" s="1522"/>
      <c r="AD244" s="1522"/>
      <c r="AE244" s="1522"/>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81" t="s">
        <v>2616</v>
      </c>
      <c r="N245" s="1522"/>
      <c r="O245" s="1522"/>
      <c r="P245" s="1522"/>
      <c r="Q245" s="1522"/>
      <c r="R245" s="1522"/>
      <c r="S245" s="1522"/>
      <c r="T245" s="1522"/>
      <c r="V245" s="33" t="s">
        <v>86</v>
      </c>
      <c r="W245" s="1456" t="s">
        <v>2617</v>
      </c>
      <c r="X245" s="1457"/>
      <c r="Y245" s="4" t="s">
        <v>583</v>
      </c>
      <c r="AC245" s="1522">
        <v>92024</v>
      </c>
      <c r="AD245" s="1522"/>
      <c r="AE245" s="1522"/>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81" t="s">
        <v>2618</v>
      </c>
      <c r="N246" s="1522"/>
      <c r="O246" s="1522"/>
      <c r="P246" s="1522"/>
      <c r="Q246" s="1522"/>
      <c r="R246" s="1522"/>
      <c r="S246" s="1522"/>
      <c r="T246" s="1522"/>
      <c r="U246" s="1522"/>
      <c r="V246" s="1522"/>
      <c r="W246" s="1522"/>
      <c r="X246" s="1522"/>
      <c r="Y246" s="1522"/>
      <c r="Z246" s="1522"/>
      <c r="AA246" s="1522"/>
      <c r="AB246" s="1522"/>
      <c r="AC246" s="1522"/>
      <c r="AD246" s="1522"/>
      <c r="AE246" s="1522"/>
      <c r="AH246" s="1552">
        <v>1E-3</v>
      </c>
      <c r="AI246" s="1552"/>
      <c r="AJ246" s="1552"/>
      <c r="AK246" s="1552"/>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545" t="s">
        <v>2619</v>
      </c>
      <c r="N247" s="1500"/>
      <c r="O247" s="1500"/>
      <c r="P247" s="1500"/>
      <c r="Q247" s="1500"/>
      <c r="R247" s="1500"/>
      <c r="S247" s="4" t="s">
        <v>205</v>
      </c>
      <c r="T247" s="4"/>
      <c r="U247" s="1457"/>
      <c r="V247" s="1457"/>
      <c r="W247" s="1457"/>
      <c r="X247" s="4" t="s">
        <v>89</v>
      </c>
      <c r="Z247" s="1500"/>
      <c r="AA247" s="1500"/>
      <c r="AB247" s="1500"/>
      <c r="AC247" s="1500"/>
      <c r="AD247" s="1500"/>
      <c r="AE247" s="1500"/>
      <c r="AU247" s="4"/>
      <c r="AV247" s="4"/>
      <c r="AW247" s="4"/>
      <c r="AX247" s="4"/>
      <c r="AY247" s="4"/>
      <c r="BG247">
        <v>0</v>
      </c>
      <c r="BH247" s="3" t="str">
        <f>""</f>
        <v/>
      </c>
      <c r="BN247" s="34"/>
    </row>
    <row r="248" spans="1:67" ht="12.95" customHeight="1">
      <c r="A248" s="19"/>
      <c r="B248" s="4"/>
      <c r="C248" s="4"/>
      <c r="D248" s="4" t="s">
        <v>90</v>
      </c>
      <c r="E248" s="4"/>
      <c r="F248" s="4"/>
      <c r="M248" s="1529" t="s">
        <v>2620</v>
      </c>
      <c r="N248" s="1529"/>
      <c r="O248" s="1529"/>
      <c r="P248" s="1529"/>
      <c r="Q248" s="1529"/>
      <c r="R248" s="1529"/>
      <c r="S248" s="1529"/>
      <c r="T248" s="1529"/>
      <c r="U248" s="1529"/>
      <c r="V248" s="1529"/>
      <c r="W248" s="1529"/>
      <c r="X248" s="1529"/>
      <c r="Y248" s="1529"/>
      <c r="Z248" s="1529"/>
      <c r="AA248" s="1529"/>
      <c r="AB248" s="1529"/>
      <c r="AC248" s="1529"/>
      <c r="AD248" s="1529"/>
      <c r="AE248" s="1529"/>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80" t="s">
        <v>534</v>
      </c>
      <c r="N249" s="1380"/>
      <c r="O249" s="1380"/>
      <c r="P249" s="1380"/>
      <c r="Q249" s="1380"/>
      <c r="R249" s="1380"/>
      <c r="S249" s="1380"/>
      <c r="T249" s="1380"/>
      <c r="U249" s="204" t="s">
        <v>906</v>
      </c>
      <c r="V249" s="204"/>
      <c r="W249" s="204"/>
      <c r="X249" s="204"/>
      <c r="Y249" s="204"/>
      <c r="Z249" s="204"/>
      <c r="AA249" s="1546"/>
      <c r="AB249" s="1546"/>
      <c r="AC249" s="1546"/>
      <c r="AD249" s="1546"/>
      <c r="AE249" s="1546"/>
      <c r="AF249" s="1546"/>
      <c r="AG249" s="1546"/>
      <c r="AH249" s="1546"/>
      <c r="AI249" s="1546"/>
      <c r="AJ249" s="1546"/>
      <c r="AK249" s="154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7" t="s">
        <v>2662</v>
      </c>
      <c r="N251" s="1531"/>
      <c r="O251" s="1531"/>
      <c r="P251" s="1531"/>
      <c r="Q251" s="1531"/>
      <c r="R251" s="1531"/>
      <c r="S251" s="1531"/>
      <c r="T251" s="1531"/>
      <c r="U251" s="1531"/>
      <c r="V251" s="1531"/>
      <c r="W251" s="1531"/>
      <c r="X251" s="1531"/>
      <c r="Y251" s="1531"/>
      <c r="Z251" s="1531"/>
      <c r="AA251" s="1531"/>
      <c r="AB251" s="1531"/>
      <c r="AC251" s="1531"/>
      <c r="AD251" s="1531"/>
      <c r="AE251" s="1531"/>
      <c r="AF251" s="1531" t="s">
        <v>2633</v>
      </c>
      <c r="AG251" s="1531"/>
      <c r="AH251" s="1531"/>
      <c r="AI251" s="1531"/>
      <c r="AJ251" s="1531"/>
      <c r="AK251" s="1531"/>
      <c r="AU251" s="4"/>
      <c r="AV251" s="4"/>
      <c r="AW251" s="4"/>
      <c r="AX251" s="4"/>
      <c r="AY251" s="4"/>
      <c r="BN251" s="34"/>
    </row>
    <row r="252" spans="1:67" ht="12.95" customHeight="1">
      <c r="A252" s="19"/>
      <c r="B252" s="4"/>
      <c r="C252" s="4"/>
      <c r="D252" s="4" t="s">
        <v>85</v>
      </c>
      <c r="E252" s="4"/>
      <c r="F252" s="4"/>
      <c r="G252" s="4"/>
      <c r="H252" s="4"/>
      <c r="I252" s="4"/>
      <c r="J252" s="4"/>
      <c r="K252" s="4"/>
      <c r="L252" s="4"/>
      <c r="M252" s="1481" t="s">
        <v>2634</v>
      </c>
      <c r="N252" s="1522"/>
      <c r="O252" s="1522"/>
      <c r="P252" s="1522"/>
      <c r="Q252" s="1522"/>
      <c r="R252" s="1522"/>
      <c r="S252" s="1522"/>
      <c r="T252" s="1522"/>
      <c r="U252" s="1522"/>
      <c r="V252" s="1522"/>
      <c r="W252" s="1522"/>
      <c r="X252" s="1522"/>
      <c r="Y252" s="1522"/>
      <c r="Z252" s="1522"/>
      <c r="AA252" s="1522"/>
      <c r="AB252" s="1522"/>
      <c r="AC252" s="1522"/>
      <c r="AD252" s="1522"/>
      <c r="AE252" s="1522"/>
      <c r="AF252" s="3" t="s">
        <v>1179</v>
      </c>
      <c r="AL252" s="4"/>
      <c r="AM252" s="4"/>
      <c r="AN252" s="4"/>
      <c r="AO252" s="4"/>
      <c r="AP252" s="4"/>
      <c r="AQ252" s="4"/>
      <c r="AR252" s="4"/>
      <c r="AS252" s="4"/>
      <c r="AT252" s="4"/>
      <c r="BN252" s="34"/>
    </row>
    <row r="253" spans="1:67" ht="12.95" customHeight="1">
      <c r="A253" s="19"/>
      <c r="B253" s="4"/>
      <c r="C253" s="4"/>
      <c r="D253" s="4" t="s">
        <v>580</v>
      </c>
      <c r="E253" s="4"/>
      <c r="M253" s="1481" t="s">
        <v>494</v>
      </c>
      <c r="N253" s="1522"/>
      <c r="O253" s="1522"/>
      <c r="P253" s="1522"/>
      <c r="Q253" s="1522"/>
      <c r="R253" s="1522"/>
      <c r="S253" s="1522"/>
      <c r="T253" s="1522"/>
      <c r="V253" s="33" t="s">
        <v>86</v>
      </c>
      <c r="W253" s="1456" t="s">
        <v>2617</v>
      </c>
      <c r="X253" s="1457"/>
      <c r="Y253" s="4" t="s">
        <v>583</v>
      </c>
      <c r="AC253" s="1522">
        <v>90004</v>
      </c>
      <c r="AD253" s="1522"/>
      <c r="AE253" s="1522"/>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81" t="s">
        <v>2636</v>
      </c>
      <c r="N254" s="1522"/>
      <c r="O254" s="1522"/>
      <c r="P254" s="1522"/>
      <c r="Q254" s="1522"/>
      <c r="R254" s="1522"/>
      <c r="S254" s="1522"/>
      <c r="T254" s="1522"/>
      <c r="U254" s="1522"/>
      <c r="V254" s="1522"/>
      <c r="W254" s="1522"/>
      <c r="X254" s="1522"/>
      <c r="Y254" s="1522"/>
      <c r="Z254" s="1522"/>
      <c r="AA254" s="1522"/>
      <c r="AB254" s="1522"/>
      <c r="AC254" s="1522"/>
      <c r="AD254" s="1522"/>
      <c r="AE254" s="1522"/>
      <c r="AH254" s="1552">
        <v>8.9999999999999993E-3</v>
      </c>
      <c r="AI254" s="1552"/>
      <c r="AJ254" s="1552"/>
      <c r="AK254" s="1552"/>
      <c r="AL254" s="4"/>
      <c r="AM254" s="4"/>
      <c r="AN254" s="4"/>
      <c r="AO254" s="4"/>
      <c r="AP254" s="4"/>
      <c r="AQ254" s="4"/>
      <c r="AR254" s="4"/>
      <c r="AS254" s="4"/>
      <c r="AT254" s="4"/>
    </row>
    <row r="255" spans="1:67" ht="12.95" customHeight="1">
      <c r="A255" s="19"/>
      <c r="B255" s="4"/>
      <c r="C255" s="4"/>
      <c r="D255" s="4" t="s">
        <v>88</v>
      </c>
      <c r="E255" s="4"/>
      <c r="F255" s="4"/>
      <c r="M255" s="1545" t="s">
        <v>2635</v>
      </c>
      <c r="N255" s="1500"/>
      <c r="O255" s="1500"/>
      <c r="P255" s="1500"/>
      <c r="Q255" s="1500"/>
      <c r="R255" s="1500"/>
      <c r="S255" s="4" t="s">
        <v>205</v>
      </c>
      <c r="T255" s="4"/>
      <c r="U255" s="1457"/>
      <c r="V255" s="1457"/>
      <c r="W255" s="1457"/>
      <c r="X255" s="4" t="s">
        <v>89</v>
      </c>
      <c r="Z255" s="1500"/>
      <c r="AA255" s="1500"/>
      <c r="AB255" s="1500"/>
      <c r="AC255" s="1500"/>
      <c r="AD255" s="1500"/>
      <c r="AE255" s="1500"/>
      <c r="AU255" s="4"/>
      <c r="AV255" s="4"/>
      <c r="AW255" s="4"/>
      <c r="AX255" s="4"/>
      <c r="AY255" s="4"/>
      <c r="BN255" s="34"/>
    </row>
    <row r="256" spans="1:67" ht="12.95" customHeight="1">
      <c r="A256" s="19"/>
      <c r="B256" s="4"/>
      <c r="C256" s="4"/>
      <c r="D256" s="4" t="s">
        <v>90</v>
      </c>
      <c r="E256" s="4"/>
      <c r="F256" s="4"/>
      <c r="M256" s="1529" t="s">
        <v>2637</v>
      </c>
      <c r="N256" s="1529"/>
      <c r="O256" s="1529"/>
      <c r="P256" s="1529"/>
      <c r="Q256" s="1529"/>
      <c r="R256" s="1529"/>
      <c r="S256" s="1529"/>
      <c r="T256" s="1529"/>
      <c r="U256" s="1529"/>
      <c r="V256" s="1529"/>
      <c r="W256" s="1529"/>
      <c r="X256" s="1529"/>
      <c r="Y256" s="1529"/>
      <c r="Z256" s="1529"/>
      <c r="AA256" s="1529"/>
      <c r="AB256" s="1529"/>
      <c r="AC256" s="1529"/>
      <c r="AD256" s="1529"/>
      <c r="AE256" s="152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80" t="s">
        <v>536</v>
      </c>
      <c r="N257" s="1380"/>
      <c r="O257" s="1380"/>
      <c r="P257" s="1380"/>
      <c r="Q257" s="1380"/>
      <c r="R257" s="1380"/>
      <c r="S257" s="1380"/>
      <c r="T257" s="1380"/>
      <c r="U257" s="204" t="s">
        <v>906</v>
      </c>
      <c r="V257" s="204"/>
      <c r="W257" s="204"/>
      <c r="X257" s="204"/>
      <c r="Y257" s="204"/>
      <c r="Z257" s="204"/>
      <c r="AA257" s="1572" t="s">
        <v>2638</v>
      </c>
      <c r="AB257" s="1546"/>
      <c r="AC257" s="1546"/>
      <c r="AD257" s="1546"/>
      <c r="AE257" s="1546"/>
      <c r="AF257" s="1546"/>
      <c r="AG257" s="1546"/>
      <c r="AH257" s="1546"/>
      <c r="AI257" s="1546"/>
      <c r="AJ257" s="1546"/>
      <c r="AK257" s="154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31"/>
      <c r="N259" s="1531"/>
      <c r="O259" s="1531"/>
      <c r="P259" s="1531"/>
      <c r="Q259" s="1531"/>
      <c r="R259" s="1531"/>
      <c r="S259" s="1531"/>
      <c r="T259" s="1531"/>
      <c r="U259" s="1531"/>
      <c r="V259" s="1531"/>
      <c r="W259" s="1531"/>
      <c r="X259" s="1531"/>
      <c r="Y259" s="1531"/>
      <c r="Z259" s="1531"/>
      <c r="AA259" s="1531"/>
      <c r="AB259" s="1531"/>
      <c r="AC259" s="1531"/>
      <c r="AD259" s="1531"/>
      <c r="AE259" s="1531"/>
      <c r="AF259" s="1531" t="s">
        <v>306</v>
      </c>
      <c r="AG259" s="1531"/>
      <c r="AH259" s="1531"/>
      <c r="AI259" s="1531"/>
      <c r="AJ259" s="1531"/>
      <c r="AK259" s="153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2"/>
      <c r="N260" s="1522"/>
      <c r="O260" s="1522"/>
      <c r="P260" s="1522"/>
      <c r="Q260" s="1522"/>
      <c r="R260" s="1522"/>
      <c r="S260" s="1522"/>
      <c r="T260" s="1522"/>
      <c r="U260" s="1522"/>
      <c r="V260" s="1522"/>
      <c r="W260" s="1522"/>
      <c r="X260" s="1522"/>
      <c r="Y260" s="1522"/>
      <c r="Z260" s="1522"/>
      <c r="AA260" s="1522"/>
      <c r="AB260" s="1522"/>
      <c r="AC260" s="1522"/>
      <c r="AD260" s="1522"/>
      <c r="AE260" s="1522"/>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2"/>
      <c r="N261" s="1522"/>
      <c r="O261" s="1522"/>
      <c r="P261" s="1522"/>
      <c r="Q261" s="1522"/>
      <c r="R261" s="1522"/>
      <c r="S261" s="1522"/>
      <c r="T261" s="1522"/>
      <c r="V261" s="33" t="s">
        <v>86</v>
      </c>
      <c r="W261" s="1457"/>
      <c r="X261" s="1457"/>
      <c r="Y261" s="4" t="s">
        <v>583</v>
      </c>
      <c r="AC261" s="1522"/>
      <c r="AD261" s="1522"/>
      <c r="AE261" s="1522"/>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2"/>
      <c r="N262" s="1522"/>
      <c r="O262" s="1522"/>
      <c r="P262" s="1522"/>
      <c r="Q262" s="1522"/>
      <c r="R262" s="1522"/>
      <c r="S262" s="1522"/>
      <c r="T262" s="1522"/>
      <c r="U262" s="1522"/>
      <c r="V262" s="1522"/>
      <c r="W262" s="1522"/>
      <c r="X262" s="1522"/>
      <c r="Y262" s="1522"/>
      <c r="Z262" s="1522"/>
      <c r="AA262" s="1522"/>
      <c r="AB262" s="1522"/>
      <c r="AC262" s="1522"/>
      <c r="AD262" s="1522"/>
      <c r="AE262" s="1522"/>
      <c r="AH262" s="1552"/>
      <c r="AI262" s="1552"/>
      <c r="AJ262" s="1552"/>
      <c r="AK262" s="155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00"/>
      <c r="N263" s="1500"/>
      <c r="O263" s="1500"/>
      <c r="P263" s="1500"/>
      <c r="Q263" s="1500"/>
      <c r="R263" s="1500"/>
      <c r="S263" s="4" t="s">
        <v>205</v>
      </c>
      <c r="T263" s="4"/>
      <c r="U263" s="1457"/>
      <c r="V263" s="1457"/>
      <c r="W263" s="1457"/>
      <c r="X263" s="4" t="s">
        <v>89</v>
      </c>
      <c r="Z263" s="1500"/>
      <c r="AA263" s="1500"/>
      <c r="AB263" s="1500"/>
      <c r="AC263" s="1500"/>
      <c r="AD263" s="1500"/>
      <c r="AE263" s="1500"/>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29"/>
      <c r="N264" s="1529"/>
      <c r="O264" s="1529"/>
      <c r="P264" s="1529"/>
      <c r="Q264" s="1529"/>
      <c r="R264" s="1529"/>
      <c r="S264" s="1529"/>
      <c r="T264" s="1529"/>
      <c r="U264" s="1529"/>
      <c r="V264" s="1529"/>
      <c r="W264" s="1529"/>
      <c r="X264" s="1529"/>
      <c r="Y264" s="1529"/>
      <c r="Z264" s="1529"/>
      <c r="AA264" s="1530"/>
      <c r="AB264" s="1530"/>
      <c r="AC264" s="1530"/>
      <c r="AD264" s="1530"/>
      <c r="AE264" s="153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80" t="s">
        <v>306</v>
      </c>
      <c r="N265" s="1380"/>
      <c r="O265" s="1380"/>
      <c r="P265" s="1380"/>
      <c r="Q265" s="1380"/>
      <c r="R265" s="1380"/>
      <c r="S265" s="1380"/>
      <c r="T265" s="1380"/>
      <c r="U265" s="204" t="s">
        <v>906</v>
      </c>
      <c r="V265" s="204"/>
      <c r="W265" s="204"/>
      <c r="X265" s="204"/>
      <c r="Y265" s="204"/>
      <c r="Z265" s="204"/>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74" t="str">
        <f>IFERROR(BO245,"")</f>
        <v>Joint Venture</v>
      </c>
      <c r="U267" s="1574"/>
      <c r="V267" s="1574"/>
      <c r="W267" s="1574"/>
      <c r="X267" s="1574"/>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2" t="s">
        <v>172</v>
      </c>
      <c r="E270" s="1522"/>
      <c r="F270" s="1522"/>
      <c r="G270" s="1522"/>
      <c r="H270" s="1522"/>
      <c r="J270" t="s">
        <v>278</v>
      </c>
      <c r="X270" s="1571">
        <v>45962</v>
      </c>
      <c r="Y270" s="1571"/>
      <c r="Z270" s="1571"/>
      <c r="AA270" s="1571"/>
      <c r="AB270" s="1571"/>
      <c r="AC270" s="1571"/>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47" t="s">
        <v>2639</v>
      </c>
      <c r="M274" s="1531"/>
      <c r="N274" s="1531"/>
      <c r="O274" s="1531"/>
      <c r="P274" s="1531"/>
      <c r="Q274" s="1531"/>
      <c r="R274" s="1531"/>
      <c r="S274" s="1531"/>
      <c r="T274" s="1531"/>
      <c r="U274" s="1531"/>
      <c r="V274" s="1531"/>
      <c r="W274" s="1531"/>
      <c r="X274" s="1531"/>
      <c r="Y274" s="1531"/>
      <c r="Z274" s="1531"/>
      <c r="AA274" s="1531"/>
      <c r="AB274" s="1531"/>
      <c r="AC274" s="1531"/>
      <c r="AD274" s="1531"/>
      <c r="AE274" s="1531"/>
      <c r="AF274" s="1531"/>
      <c r="AG274" s="1531"/>
      <c r="AH274" s="1531"/>
      <c r="AI274" s="1531"/>
      <c r="AJ274" s="153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81" t="s">
        <v>2640</v>
      </c>
      <c r="M275" s="1522"/>
      <c r="N275" s="1522"/>
      <c r="O275" s="1522"/>
      <c r="P275" s="1522"/>
      <c r="Q275" s="1522"/>
      <c r="R275" s="1522"/>
      <c r="S275" s="1522"/>
      <c r="T275" s="1522"/>
      <c r="U275" s="1522"/>
      <c r="V275" s="1522"/>
      <c r="W275" s="1522"/>
      <c r="X275" s="1522"/>
      <c r="Y275" s="1522"/>
      <c r="Z275" s="1522"/>
      <c r="AA275" s="1522"/>
      <c r="AB275" s="1522"/>
      <c r="AC275" s="1522"/>
      <c r="AD275" s="1522"/>
      <c r="AK275" s="3"/>
      <c r="AL275" s="3"/>
      <c r="AM275" s="3"/>
      <c r="AN275" s="3"/>
      <c r="AO275" s="3"/>
      <c r="AP275" s="3"/>
      <c r="AQ275" s="3"/>
      <c r="AR275" s="3"/>
      <c r="AS275" s="3"/>
      <c r="AT275" s="3"/>
      <c r="AU275" s="3"/>
      <c r="AV275" s="3"/>
      <c r="AW275" s="3"/>
      <c r="AX275" s="3"/>
      <c r="AY275" s="3"/>
    </row>
    <row r="276" spans="1:51" ht="12.95" customHeight="1">
      <c r="D276" s="4" t="s">
        <v>580</v>
      </c>
      <c r="E276" s="4"/>
      <c r="L276" s="1481" t="s">
        <v>68</v>
      </c>
      <c r="M276" s="1522"/>
      <c r="N276" s="1522"/>
      <c r="O276" s="1522"/>
      <c r="P276" s="1522"/>
      <c r="Q276" s="1522"/>
      <c r="R276" s="1522"/>
      <c r="S276" s="1522"/>
      <c r="U276" s="33" t="s">
        <v>86</v>
      </c>
      <c r="V276" s="1456" t="s">
        <v>2617</v>
      </c>
      <c r="W276" s="1457"/>
      <c r="X276" s="4" t="s">
        <v>583</v>
      </c>
      <c r="AB276" s="1522">
        <v>95811</v>
      </c>
      <c r="AC276" s="1522"/>
      <c r="AD276" s="1522"/>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81" t="s">
        <v>2641</v>
      </c>
      <c r="M277" s="1522"/>
      <c r="N277" s="1522"/>
      <c r="O277" s="1522"/>
      <c r="P277" s="1522"/>
      <c r="Q277" s="1522"/>
      <c r="R277" s="1522"/>
      <c r="S277" s="1522"/>
      <c r="T277" s="1522"/>
      <c r="U277" s="1522"/>
      <c r="V277" s="1522"/>
      <c r="W277" s="1522"/>
      <c r="X277" s="1522"/>
      <c r="Y277" s="1522"/>
      <c r="Z277" s="1522"/>
      <c r="AA277" s="1522"/>
      <c r="AB277" s="1522"/>
      <c r="AC277" s="1522"/>
      <c r="AD277" s="1522"/>
      <c r="AI277" s="4"/>
      <c r="AJ277" s="4"/>
      <c r="AK277" s="3"/>
      <c r="AL277" s="3"/>
      <c r="AM277" s="3"/>
      <c r="AN277" s="3"/>
      <c r="AO277" s="3"/>
      <c r="AP277" s="3"/>
      <c r="AQ277" s="3"/>
      <c r="AR277" s="3"/>
      <c r="AS277" s="3"/>
      <c r="AT277" s="3"/>
    </row>
    <row r="278" spans="1:51" ht="12.95" customHeight="1">
      <c r="D278" s="4" t="s">
        <v>88</v>
      </c>
      <c r="E278" s="4"/>
      <c r="F278" s="4"/>
      <c r="L278" s="1545" t="s">
        <v>2642</v>
      </c>
      <c r="M278" s="1500"/>
      <c r="N278" s="1500"/>
      <c r="O278" s="1500"/>
      <c r="P278" s="1500"/>
      <c r="Q278" s="1500"/>
      <c r="R278" s="4" t="s">
        <v>205</v>
      </c>
      <c r="S278" s="4"/>
      <c r="T278" s="1457"/>
      <c r="U278" s="1457"/>
      <c r="V278" s="1457"/>
      <c r="W278" s="4" t="s">
        <v>89</v>
      </c>
      <c r="Y278" s="1500"/>
      <c r="Z278" s="1500"/>
      <c r="AA278" s="1500"/>
      <c r="AB278" s="1500"/>
      <c r="AC278" s="1500"/>
      <c r="AD278" s="1500"/>
    </row>
    <row r="279" spans="1:51" ht="12.95" customHeight="1">
      <c r="D279" s="4" t="s">
        <v>90</v>
      </c>
      <c r="E279" s="4"/>
      <c r="F279" s="4"/>
      <c r="L279" s="1529" t="s">
        <v>2643</v>
      </c>
      <c r="M279" s="1529"/>
      <c r="N279" s="1529"/>
      <c r="O279" s="1529"/>
      <c r="P279" s="1529"/>
      <c r="Q279" s="1529"/>
      <c r="R279" s="1529"/>
      <c r="S279" s="1529"/>
      <c r="T279" s="1529"/>
      <c r="U279" s="1529"/>
      <c r="V279" s="1529"/>
      <c r="W279" s="1529"/>
      <c r="X279" s="1529"/>
      <c r="Y279" s="1529"/>
      <c r="Z279" s="1529"/>
      <c r="AA279" s="1529"/>
      <c r="AB279" s="1529"/>
      <c r="AC279" s="1529"/>
      <c r="AD279" s="1529"/>
      <c r="AF279" s="4"/>
      <c r="AG279" s="4"/>
      <c r="AH279" s="4"/>
      <c r="AI279" s="4"/>
      <c r="AJ279" s="4"/>
      <c r="AU279" s="3"/>
      <c r="AV279" s="3"/>
      <c r="AW279" s="3"/>
      <c r="AX279" s="3"/>
      <c r="AY279" s="3"/>
    </row>
    <row r="280" spans="1:51" ht="12.95" customHeight="1">
      <c r="D280" s="3" t="s">
        <v>623</v>
      </c>
      <c r="E280" s="3"/>
      <c r="F280" s="3"/>
      <c r="G280" s="3"/>
      <c r="H280" s="3"/>
      <c r="I280" s="3"/>
      <c r="L280" s="1456" t="s">
        <v>2644</v>
      </c>
      <c r="M280" s="1456"/>
      <c r="N280" s="1456"/>
      <c r="O280" s="1456"/>
      <c r="P280" s="1456"/>
      <c r="Q280" s="1456"/>
      <c r="R280" s="1456"/>
      <c r="S280" s="1456"/>
      <c r="T280" s="1456"/>
      <c r="U280" s="1456"/>
      <c r="V280" s="1456"/>
      <c r="W280" s="1456"/>
      <c r="X280" s="1456"/>
      <c r="Y280" s="1456"/>
      <c r="Z280" s="1456"/>
      <c r="AA280" s="1456"/>
      <c r="AB280" s="1456"/>
      <c r="AC280" s="1456"/>
      <c r="AD280" s="145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9" t="s">
        <v>541</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81" t="s">
        <v>2736</v>
      </c>
      <c r="I287" s="1482"/>
      <c r="J287" s="1482"/>
      <c r="K287" s="1482"/>
      <c r="L287" s="1482"/>
      <c r="M287" s="1482"/>
      <c r="N287" s="1482"/>
      <c r="O287" s="1482"/>
      <c r="P287" s="1482"/>
      <c r="Q287" s="1482"/>
      <c r="R287" s="1482"/>
      <c r="T287" s="3" t="s">
        <v>567</v>
      </c>
      <c r="V287" s="3"/>
      <c r="W287" s="3"/>
      <c r="X287" s="3"/>
      <c r="Y287" s="3"/>
      <c r="AA287" s="1481" t="s">
        <v>2665</v>
      </c>
      <c r="AB287" s="1482"/>
      <c r="AC287" s="1482"/>
      <c r="AD287" s="1482"/>
      <c r="AE287" s="1482"/>
      <c r="AF287" s="1482"/>
      <c r="AG287" s="1482"/>
      <c r="AH287" s="1482"/>
      <c r="AI287" s="1482"/>
      <c r="AJ287" s="1482"/>
      <c r="AK287" s="1482"/>
    </row>
    <row r="288" spans="1:51" ht="12.95" customHeight="1">
      <c r="B288" s="3" t="s">
        <v>471</v>
      </c>
      <c r="C288" s="3"/>
      <c r="D288" s="3"/>
      <c r="E288" s="3"/>
      <c r="F288" s="3"/>
      <c r="H288" s="1456" t="s">
        <v>2733</v>
      </c>
      <c r="I288" s="1380"/>
      <c r="J288" s="1380"/>
      <c r="K288" s="1380"/>
      <c r="L288" s="1380"/>
      <c r="M288" s="1380"/>
      <c r="N288" s="1380"/>
      <c r="O288" s="1380"/>
      <c r="P288" s="1380"/>
      <c r="Q288" s="1380"/>
      <c r="R288" s="1380"/>
      <c r="T288" s="3" t="s">
        <v>471</v>
      </c>
      <c r="V288" s="3"/>
      <c r="W288" s="3"/>
      <c r="X288" s="3"/>
      <c r="Y288" s="3"/>
      <c r="AA288" s="1456" t="s">
        <v>2675</v>
      </c>
      <c r="AB288" s="1380"/>
      <c r="AC288" s="1380"/>
      <c r="AD288" s="1380"/>
      <c r="AE288" s="1380"/>
      <c r="AF288" s="1380"/>
      <c r="AG288" s="1380"/>
      <c r="AH288" s="1380"/>
      <c r="AI288" s="1380"/>
      <c r="AJ288" s="1380"/>
      <c r="AK288" s="1380"/>
    </row>
    <row r="289" spans="2:37" ht="12.95" customHeight="1">
      <c r="B289" s="3" t="s">
        <v>472</v>
      </c>
      <c r="C289" s="3"/>
      <c r="D289" s="3"/>
      <c r="E289" s="3"/>
      <c r="F289" s="3"/>
      <c r="H289" s="1456" t="s">
        <v>2735</v>
      </c>
      <c r="I289" s="1380"/>
      <c r="J289" s="1380"/>
      <c r="K289" s="1380"/>
      <c r="L289" s="1380"/>
      <c r="M289" s="1380"/>
      <c r="N289" s="1380"/>
      <c r="O289" s="1380"/>
      <c r="P289" s="1380"/>
      <c r="Q289" s="1380"/>
      <c r="R289" s="1380"/>
      <c r="T289" s="3" t="s">
        <v>75</v>
      </c>
      <c r="V289" s="3"/>
      <c r="W289" s="3"/>
      <c r="X289" s="3"/>
      <c r="Y289" s="3"/>
      <c r="AA289" s="1456" t="s">
        <v>2676</v>
      </c>
      <c r="AB289" s="1380"/>
      <c r="AC289" s="1380"/>
      <c r="AD289" s="1380"/>
      <c r="AE289" s="1380"/>
      <c r="AF289" s="1380"/>
      <c r="AG289" s="1380"/>
      <c r="AH289" s="1380"/>
      <c r="AI289" s="1380"/>
      <c r="AJ289" s="1380"/>
      <c r="AK289" s="1380"/>
    </row>
    <row r="290" spans="2:37" ht="12.95" customHeight="1">
      <c r="B290" s="3" t="s">
        <v>87</v>
      </c>
      <c r="C290" s="3"/>
      <c r="D290" s="3"/>
      <c r="E290" s="3"/>
      <c r="F290" s="3"/>
      <c r="H290" s="1456" t="s">
        <v>2636</v>
      </c>
      <c r="I290" s="1380"/>
      <c r="J290" s="1380"/>
      <c r="K290" s="1380"/>
      <c r="L290" s="1380"/>
      <c r="M290" s="1380"/>
      <c r="N290" s="1380"/>
      <c r="O290" s="1380"/>
      <c r="P290" s="1380"/>
      <c r="Q290" s="1380"/>
      <c r="R290" s="1380"/>
      <c r="T290" s="3" t="s">
        <v>87</v>
      </c>
      <c r="V290" s="3"/>
      <c r="W290" s="3"/>
      <c r="X290" s="3"/>
      <c r="Y290" s="3"/>
      <c r="AA290" s="1456" t="s">
        <v>2666</v>
      </c>
      <c r="AB290" s="1380"/>
      <c r="AC290" s="1380"/>
      <c r="AD290" s="1380"/>
      <c r="AE290" s="1380"/>
      <c r="AF290" s="1380"/>
      <c r="AG290" s="1380"/>
      <c r="AH290" s="1380"/>
      <c r="AI290" s="1380"/>
      <c r="AJ290" s="1380"/>
      <c r="AK290" s="1380"/>
    </row>
    <row r="291" spans="2:37" ht="12.95" customHeight="1">
      <c r="B291" s="3" t="s">
        <v>88</v>
      </c>
      <c r="C291" s="3"/>
      <c r="D291" s="3"/>
      <c r="E291" s="3"/>
      <c r="F291" s="3"/>
      <c r="G291" s="3"/>
      <c r="H291" s="1570" t="s">
        <v>2635</v>
      </c>
      <c r="I291" s="1532"/>
      <c r="J291" s="1532"/>
      <c r="K291" s="1532"/>
      <c r="L291" s="1532"/>
      <c r="M291" s="1532"/>
      <c r="N291" s="4" t="s">
        <v>205</v>
      </c>
      <c r="O291" s="4"/>
      <c r="P291" s="1522"/>
      <c r="Q291" s="1522"/>
      <c r="R291" s="1522"/>
      <c r="S291" s="3"/>
      <c r="T291" s="3" t="s">
        <v>88</v>
      </c>
      <c r="V291" s="3"/>
      <c r="W291" s="3"/>
      <c r="X291" s="3"/>
      <c r="Y291" s="3"/>
      <c r="AA291" s="1570" t="s">
        <v>2677</v>
      </c>
      <c r="AB291" s="1532"/>
      <c r="AC291" s="1532"/>
      <c r="AD291" s="1532"/>
      <c r="AE291" s="1532"/>
      <c r="AF291" s="1532"/>
      <c r="AG291" s="4" t="s">
        <v>205</v>
      </c>
      <c r="AH291" s="4"/>
      <c r="AI291" s="1522"/>
      <c r="AJ291" s="1522"/>
      <c r="AK291" s="1522"/>
    </row>
    <row r="292" spans="2:37" ht="12.95" customHeight="1">
      <c r="B292" s="3" t="s">
        <v>89</v>
      </c>
      <c r="C292" s="3"/>
      <c r="D292" s="3"/>
      <c r="E292" s="3"/>
      <c r="F292" s="3"/>
      <c r="G292" s="3"/>
      <c r="H292" s="1500"/>
      <c r="I292" s="1500"/>
      <c r="J292" s="1500"/>
      <c r="K292" s="1500"/>
      <c r="L292" s="1500"/>
      <c r="M292" s="1500"/>
      <c r="N292" s="4"/>
      <c r="O292" s="4"/>
      <c r="P292" s="35"/>
      <c r="Q292" s="35"/>
      <c r="R292" s="35"/>
      <c r="S292" s="3"/>
      <c r="T292" s="3" t="s">
        <v>89</v>
      </c>
      <c r="V292" s="3"/>
      <c r="W292" s="3"/>
      <c r="X292" s="3"/>
      <c r="Y292" s="3"/>
      <c r="AA292" s="1500"/>
      <c r="AB292" s="1500"/>
      <c r="AC292" s="1500"/>
      <c r="AD292" s="1500"/>
      <c r="AE292" s="1500"/>
      <c r="AF292" s="1500"/>
      <c r="AG292" s="4"/>
      <c r="AH292" s="4"/>
      <c r="AI292" s="35"/>
      <c r="AJ292" s="35"/>
      <c r="AK292" s="35"/>
    </row>
    <row r="293" spans="2:37" ht="12.95" customHeight="1">
      <c r="B293" s="3" t="s">
        <v>76</v>
      </c>
      <c r="C293" s="3"/>
      <c r="D293" s="3"/>
      <c r="E293" s="3"/>
      <c r="F293" s="3"/>
      <c r="G293" s="3"/>
      <c r="H293" s="1456" t="s">
        <v>2734</v>
      </c>
      <c r="I293" s="1380"/>
      <c r="J293" s="1380"/>
      <c r="K293" s="1380"/>
      <c r="L293" s="1380"/>
      <c r="M293" s="1380"/>
      <c r="N293" s="1482"/>
      <c r="O293" s="1482"/>
      <c r="P293" s="1482"/>
      <c r="Q293" s="1482"/>
      <c r="R293" s="1482"/>
      <c r="S293" s="3"/>
      <c r="T293" s="3" t="s">
        <v>76</v>
      </c>
      <c r="V293" s="3"/>
      <c r="W293" s="3"/>
      <c r="X293" s="3"/>
      <c r="Y293" s="3"/>
      <c r="AA293" s="1456" t="s">
        <v>2678</v>
      </c>
      <c r="AB293" s="1380"/>
      <c r="AC293" s="1380"/>
      <c r="AD293" s="1380"/>
      <c r="AE293" s="1380"/>
      <c r="AF293" s="1380"/>
      <c r="AG293" s="1482"/>
      <c r="AH293" s="1482"/>
      <c r="AI293" s="1482"/>
      <c r="AJ293" s="1482"/>
      <c r="AK293" s="148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82" t="s">
        <v>2639</v>
      </c>
      <c r="I295" s="1482"/>
      <c r="J295" s="1482"/>
      <c r="K295" s="1482"/>
      <c r="L295" s="1482"/>
      <c r="M295" s="1482"/>
      <c r="N295" s="1482"/>
      <c r="O295" s="1482"/>
      <c r="P295" s="1482"/>
      <c r="Q295" s="1482"/>
      <c r="R295" s="1482"/>
      <c r="T295" s="3" t="s">
        <v>363</v>
      </c>
      <c r="V295" s="3"/>
      <c r="W295" s="3"/>
      <c r="X295" s="3"/>
      <c r="Y295" s="3"/>
      <c r="AA295" s="1481" t="s">
        <v>2664</v>
      </c>
      <c r="AB295" s="1482"/>
      <c r="AC295" s="1482"/>
      <c r="AD295" s="1482"/>
      <c r="AE295" s="1482"/>
      <c r="AF295" s="1482"/>
      <c r="AG295" s="1482"/>
      <c r="AH295" s="1482"/>
      <c r="AI295" s="1482"/>
      <c r="AJ295" s="1482"/>
      <c r="AK295" s="1482"/>
    </row>
    <row r="296" spans="2:37" ht="12.95" customHeight="1">
      <c r="B296" s="3" t="s">
        <v>471</v>
      </c>
      <c r="C296" s="3"/>
      <c r="D296" s="3"/>
      <c r="E296" s="3"/>
      <c r="F296" s="3"/>
      <c r="H296" s="1380" t="s">
        <v>2640</v>
      </c>
      <c r="I296" s="1380"/>
      <c r="J296" s="1380"/>
      <c r="K296" s="1380"/>
      <c r="L296" s="1380"/>
      <c r="M296" s="1380"/>
      <c r="N296" s="1380"/>
      <c r="O296" s="1380"/>
      <c r="P296" s="1380"/>
      <c r="Q296" s="1380"/>
      <c r="R296" s="1380"/>
      <c r="T296" s="3" t="s">
        <v>471</v>
      </c>
      <c r="V296" s="3"/>
      <c r="W296" s="3"/>
      <c r="X296" s="3"/>
      <c r="Y296" s="3"/>
      <c r="AA296" s="1380"/>
      <c r="AB296" s="1380"/>
      <c r="AC296" s="1380"/>
      <c r="AD296" s="1380"/>
      <c r="AE296" s="1380"/>
      <c r="AF296" s="1380"/>
      <c r="AG296" s="1380"/>
      <c r="AH296" s="1380"/>
      <c r="AI296" s="1380"/>
      <c r="AJ296" s="1380"/>
      <c r="AK296" s="1380"/>
    </row>
    <row r="297" spans="2:37" ht="12.95" customHeight="1">
      <c r="B297" s="3" t="s">
        <v>472</v>
      </c>
      <c r="C297" s="3"/>
      <c r="D297" s="3"/>
      <c r="E297" s="3"/>
      <c r="F297" s="3"/>
      <c r="H297" s="1380" t="s">
        <v>2645</v>
      </c>
      <c r="I297" s="1380"/>
      <c r="J297" s="1380"/>
      <c r="K297" s="1380"/>
      <c r="L297" s="1380"/>
      <c r="M297" s="1380"/>
      <c r="N297" s="1380"/>
      <c r="O297" s="1380"/>
      <c r="P297" s="1380"/>
      <c r="Q297" s="1380"/>
      <c r="R297" s="1380"/>
      <c r="T297" s="3" t="s">
        <v>75</v>
      </c>
      <c r="V297" s="3"/>
      <c r="W297" s="3"/>
      <c r="X297" s="3"/>
      <c r="Y297" s="3"/>
      <c r="AA297" s="1380"/>
      <c r="AB297" s="1380"/>
      <c r="AC297" s="1380"/>
      <c r="AD297" s="1380"/>
      <c r="AE297" s="1380"/>
      <c r="AF297" s="1380"/>
      <c r="AG297" s="1380"/>
      <c r="AH297" s="1380"/>
      <c r="AI297" s="1380"/>
      <c r="AJ297" s="1380"/>
      <c r="AK297" s="1380"/>
    </row>
    <row r="298" spans="2:37" ht="12.95" customHeight="1">
      <c r="B298" s="3" t="s">
        <v>87</v>
      </c>
      <c r="C298" s="3"/>
      <c r="D298" s="3"/>
      <c r="E298" s="3"/>
      <c r="F298" s="3"/>
      <c r="H298" s="1380" t="s">
        <v>2641</v>
      </c>
      <c r="I298" s="1380"/>
      <c r="J298" s="1380"/>
      <c r="K298" s="1380"/>
      <c r="L298" s="1380"/>
      <c r="M298" s="1380"/>
      <c r="N298" s="1380"/>
      <c r="O298" s="1380"/>
      <c r="P298" s="1380"/>
      <c r="Q298" s="1380"/>
      <c r="R298" s="1380"/>
      <c r="T298" s="3" t="s">
        <v>87</v>
      </c>
      <c r="V298" s="3"/>
      <c r="W298" s="3"/>
      <c r="X298" s="3"/>
      <c r="Y298" s="3"/>
      <c r="AA298" s="1380"/>
      <c r="AB298" s="1380"/>
      <c r="AC298" s="1380"/>
      <c r="AD298" s="1380"/>
      <c r="AE298" s="1380"/>
      <c r="AF298" s="1380"/>
      <c r="AG298" s="1380"/>
      <c r="AH298" s="1380"/>
      <c r="AI298" s="1380"/>
      <c r="AJ298" s="1380"/>
      <c r="AK298" s="1380"/>
    </row>
    <row r="299" spans="2:37" ht="12.95" customHeight="1">
      <c r="B299" s="3" t="s">
        <v>88</v>
      </c>
      <c r="C299" s="3"/>
      <c r="D299" s="3"/>
      <c r="E299" s="3"/>
      <c r="F299" s="3"/>
      <c r="G299" s="3"/>
      <c r="H299" s="1570" t="s">
        <v>2642</v>
      </c>
      <c r="I299" s="1532"/>
      <c r="J299" s="1532"/>
      <c r="K299" s="1532"/>
      <c r="L299" s="1532"/>
      <c r="M299" s="1532"/>
      <c r="N299" s="4" t="s">
        <v>205</v>
      </c>
      <c r="O299" s="4"/>
      <c r="P299" s="1522"/>
      <c r="Q299" s="1522"/>
      <c r="R299" s="1522"/>
      <c r="S299" s="3"/>
      <c r="T299" s="3" t="s">
        <v>88</v>
      </c>
      <c r="V299" s="3"/>
      <c r="W299" s="3"/>
      <c r="X299" s="3"/>
      <c r="Y299" s="3"/>
      <c r="AA299" s="1532"/>
      <c r="AB299" s="1532"/>
      <c r="AC299" s="1532"/>
      <c r="AD299" s="1532"/>
      <c r="AE299" s="1532"/>
      <c r="AF299" s="1532"/>
      <c r="AG299" s="4" t="s">
        <v>205</v>
      </c>
      <c r="AH299" s="4"/>
      <c r="AI299" s="1522"/>
      <c r="AJ299" s="1522"/>
      <c r="AK299" s="1522"/>
    </row>
    <row r="300" spans="2:37" ht="12.95" customHeight="1">
      <c r="B300" s="3" t="s">
        <v>89</v>
      </c>
      <c r="C300" s="3"/>
      <c r="D300" s="3"/>
      <c r="E300" s="3"/>
      <c r="F300" s="3"/>
      <c r="G300" s="3"/>
      <c r="H300" s="1500"/>
      <c r="I300" s="1500"/>
      <c r="J300" s="1500"/>
      <c r="K300" s="1500"/>
      <c r="L300" s="1500"/>
      <c r="M300" s="1500"/>
      <c r="N300" s="4"/>
      <c r="O300" s="4"/>
      <c r="P300" s="35"/>
      <c r="Q300" s="35"/>
      <c r="R300" s="35"/>
      <c r="S300" s="3"/>
      <c r="T300" s="3" t="s">
        <v>89</v>
      </c>
      <c r="V300" s="3"/>
      <c r="W300" s="3"/>
      <c r="X300" s="3"/>
      <c r="Y300" s="3"/>
      <c r="AA300" s="1500"/>
      <c r="AB300" s="1500"/>
      <c r="AC300" s="1500"/>
      <c r="AD300" s="1500"/>
      <c r="AE300" s="1500"/>
      <c r="AF300" s="1500"/>
      <c r="AG300" s="4"/>
      <c r="AH300" s="4"/>
      <c r="AI300" s="35"/>
      <c r="AJ300" s="35"/>
      <c r="AK300" s="35"/>
    </row>
    <row r="301" spans="2:37" ht="12.95" customHeight="1">
      <c r="B301" s="3" t="s">
        <v>76</v>
      </c>
      <c r="C301" s="3"/>
      <c r="D301" s="3"/>
      <c r="E301" s="3"/>
      <c r="F301" s="3"/>
      <c r="G301" s="3"/>
      <c r="H301" s="1380" t="s">
        <v>2643</v>
      </c>
      <c r="I301" s="1380"/>
      <c r="J301" s="1380"/>
      <c r="K301" s="1380"/>
      <c r="L301" s="1380"/>
      <c r="M301" s="1380"/>
      <c r="N301" s="1482"/>
      <c r="O301" s="1482"/>
      <c r="P301" s="1482"/>
      <c r="Q301" s="1482"/>
      <c r="R301" s="1482"/>
      <c r="S301" s="3"/>
      <c r="T301" s="3" t="s">
        <v>76</v>
      </c>
      <c r="V301" s="3"/>
      <c r="W301" s="3"/>
      <c r="X301" s="3"/>
      <c r="Y301" s="3"/>
      <c r="AA301" s="1380"/>
      <c r="AB301" s="1380"/>
      <c r="AC301" s="1380"/>
      <c r="AD301" s="1380"/>
      <c r="AE301" s="1380"/>
      <c r="AF301" s="1380"/>
      <c r="AG301" s="1482"/>
      <c r="AH301" s="1482"/>
      <c r="AI301" s="1482"/>
      <c r="AJ301" s="1482"/>
      <c r="AK301" s="1482"/>
    </row>
    <row r="302" spans="2:37" ht="12.95" customHeight="1"/>
    <row r="303" spans="2:37" ht="12.95" customHeight="1">
      <c r="B303" s="3" t="s">
        <v>77</v>
      </c>
      <c r="C303" s="3"/>
      <c r="D303" s="3"/>
      <c r="E303" s="3"/>
      <c r="F303" s="3"/>
      <c r="H303" s="1481" t="s">
        <v>2663</v>
      </c>
      <c r="I303" s="1482"/>
      <c r="J303" s="1482"/>
      <c r="K303" s="1482"/>
      <c r="L303" s="1482"/>
      <c r="M303" s="1482"/>
      <c r="N303" s="1482"/>
      <c r="O303" s="1482"/>
      <c r="P303" s="1482"/>
      <c r="Q303" s="1482"/>
      <c r="R303" s="1482"/>
      <c r="T303" s="4" t="s">
        <v>878</v>
      </c>
      <c r="V303" s="3"/>
      <c r="W303" s="3"/>
      <c r="X303" s="3"/>
      <c r="Y303" s="3"/>
      <c r="AA303" s="1481" t="s">
        <v>591</v>
      </c>
      <c r="AB303" s="1482"/>
      <c r="AC303" s="1482"/>
      <c r="AD303" s="1482"/>
      <c r="AE303" s="1482"/>
      <c r="AF303" s="1482"/>
      <c r="AG303" s="1482"/>
      <c r="AH303" s="1482"/>
      <c r="AI303" s="1482"/>
      <c r="AJ303" s="1482"/>
      <c r="AK303" s="1482"/>
    </row>
    <row r="304" spans="2:37" ht="12.95" customHeight="1">
      <c r="B304" s="3" t="s">
        <v>471</v>
      </c>
      <c r="C304" s="3"/>
      <c r="D304" s="3"/>
      <c r="E304" s="3"/>
      <c r="F304" s="3"/>
      <c r="H304" s="1456" t="s">
        <v>2668</v>
      </c>
      <c r="I304" s="1380"/>
      <c r="J304" s="1380"/>
      <c r="K304" s="1380"/>
      <c r="L304" s="1380"/>
      <c r="M304" s="1380"/>
      <c r="N304" s="1380"/>
      <c r="O304" s="1380"/>
      <c r="P304" s="1380"/>
      <c r="Q304" s="1380"/>
      <c r="R304" s="1380"/>
      <c r="T304" s="3" t="s">
        <v>471</v>
      </c>
      <c r="V304" s="3"/>
      <c r="W304" s="3"/>
      <c r="X304" s="3"/>
      <c r="Y304" s="3"/>
      <c r="AA304" s="1380"/>
      <c r="AB304" s="1380"/>
      <c r="AC304" s="1380"/>
      <c r="AD304" s="1380"/>
      <c r="AE304" s="1380"/>
      <c r="AF304" s="1380"/>
      <c r="AG304" s="1380"/>
      <c r="AH304" s="1380"/>
      <c r="AI304" s="1380"/>
      <c r="AJ304" s="1380"/>
      <c r="AK304" s="1380"/>
    </row>
    <row r="305" spans="2:37" ht="12.95" customHeight="1">
      <c r="B305" s="3" t="s">
        <v>472</v>
      </c>
      <c r="C305" s="3"/>
      <c r="D305" s="3"/>
      <c r="E305" s="3"/>
      <c r="F305" s="3"/>
      <c r="H305" s="1456" t="s">
        <v>2669</v>
      </c>
      <c r="I305" s="1380"/>
      <c r="J305" s="1380"/>
      <c r="K305" s="1380"/>
      <c r="L305" s="1380"/>
      <c r="M305" s="1380"/>
      <c r="N305" s="1380"/>
      <c r="O305" s="1380"/>
      <c r="P305" s="1380"/>
      <c r="Q305" s="1380"/>
      <c r="R305" s="1380"/>
      <c r="T305" s="3" t="s">
        <v>75</v>
      </c>
      <c r="V305" s="3"/>
      <c r="W305" s="3"/>
      <c r="X305" s="3"/>
      <c r="Y305" s="3"/>
      <c r="AA305" s="1380"/>
      <c r="AB305" s="1380"/>
      <c r="AC305" s="1380"/>
      <c r="AD305" s="1380"/>
      <c r="AE305" s="1380"/>
      <c r="AF305" s="1380"/>
      <c r="AG305" s="1380"/>
      <c r="AH305" s="1380"/>
      <c r="AI305" s="1380"/>
      <c r="AJ305" s="1380"/>
      <c r="AK305" s="1380"/>
    </row>
    <row r="306" spans="2:37" ht="12.95" customHeight="1">
      <c r="B306" s="3" t="s">
        <v>87</v>
      </c>
      <c r="C306" s="3"/>
      <c r="D306" s="3"/>
      <c r="E306" s="3"/>
      <c r="F306" s="3"/>
      <c r="H306" s="1456" t="s">
        <v>2670</v>
      </c>
      <c r="I306" s="1380"/>
      <c r="J306" s="1380"/>
      <c r="K306" s="1380"/>
      <c r="L306" s="1380"/>
      <c r="M306" s="1380"/>
      <c r="N306" s="1380"/>
      <c r="O306" s="1380"/>
      <c r="P306" s="1380"/>
      <c r="Q306" s="1380"/>
      <c r="R306" s="1380"/>
      <c r="T306" s="3" t="s">
        <v>87</v>
      </c>
      <c r="V306" s="3"/>
      <c r="W306" s="3"/>
      <c r="X306" s="3"/>
      <c r="Y306" s="3"/>
      <c r="AA306" s="1380"/>
      <c r="AB306" s="1380"/>
      <c r="AC306" s="1380"/>
      <c r="AD306" s="1380"/>
      <c r="AE306" s="1380"/>
      <c r="AF306" s="1380"/>
      <c r="AG306" s="1380"/>
      <c r="AH306" s="1380"/>
      <c r="AI306" s="1380"/>
      <c r="AJ306" s="1380"/>
      <c r="AK306" s="1380"/>
    </row>
    <row r="307" spans="2:37" ht="12.95" customHeight="1">
      <c r="B307" s="3" t="s">
        <v>88</v>
      </c>
      <c r="C307" s="3"/>
      <c r="D307" s="3"/>
      <c r="E307" s="3"/>
      <c r="F307" s="3"/>
      <c r="G307" s="3"/>
      <c r="H307" s="1570" t="s">
        <v>2671</v>
      </c>
      <c r="I307" s="1532"/>
      <c r="J307" s="1532"/>
      <c r="K307" s="1532"/>
      <c r="L307" s="1532"/>
      <c r="M307" s="1532"/>
      <c r="N307" s="4" t="s">
        <v>205</v>
      </c>
      <c r="O307" s="4"/>
      <c r="P307" s="1522"/>
      <c r="Q307" s="1522"/>
      <c r="R307" s="1522"/>
      <c r="S307" s="3"/>
      <c r="T307" s="3" t="s">
        <v>88</v>
      </c>
      <c r="V307" s="3"/>
      <c r="W307" s="3"/>
      <c r="X307" s="3"/>
      <c r="Y307" s="3"/>
      <c r="AA307" s="1532"/>
      <c r="AB307" s="1532"/>
      <c r="AC307" s="1532"/>
      <c r="AD307" s="1532"/>
      <c r="AE307" s="1532"/>
      <c r="AF307" s="1532"/>
      <c r="AG307" s="4" t="s">
        <v>205</v>
      </c>
      <c r="AH307" s="4"/>
      <c r="AI307" s="1522"/>
      <c r="AJ307" s="1522"/>
      <c r="AK307" s="1522"/>
    </row>
    <row r="308" spans="2:37" ht="12.95" customHeight="1">
      <c r="B308" s="3" t="s">
        <v>89</v>
      </c>
      <c r="C308" s="3"/>
      <c r="D308" s="3"/>
      <c r="E308" s="3"/>
      <c r="F308" s="3"/>
      <c r="G308" s="3"/>
      <c r="H308" s="1500"/>
      <c r="I308" s="1500"/>
      <c r="J308" s="1500"/>
      <c r="K308" s="1500"/>
      <c r="L308" s="1500"/>
      <c r="M308" s="1500"/>
      <c r="N308" s="4"/>
      <c r="O308" s="4"/>
      <c r="P308" s="35"/>
      <c r="Q308" s="35"/>
      <c r="R308" s="35"/>
      <c r="S308" s="3"/>
      <c r="T308" s="3" t="s">
        <v>89</v>
      </c>
      <c r="V308" s="3"/>
      <c r="W308" s="3"/>
      <c r="X308" s="3"/>
      <c r="Y308" s="3"/>
      <c r="AA308" s="1500"/>
      <c r="AB308" s="1500"/>
      <c r="AC308" s="1500"/>
      <c r="AD308" s="1500"/>
      <c r="AE308" s="1500"/>
      <c r="AF308" s="1500"/>
      <c r="AG308" s="4"/>
      <c r="AH308" s="4"/>
      <c r="AI308" s="35"/>
      <c r="AJ308" s="35"/>
      <c r="AK308" s="35"/>
    </row>
    <row r="309" spans="2:37" ht="12.95" customHeight="1">
      <c r="B309" s="3" t="s">
        <v>76</v>
      </c>
      <c r="C309" s="3"/>
      <c r="D309" s="3"/>
      <c r="E309" s="3"/>
      <c r="F309" s="3"/>
      <c r="G309" s="3"/>
      <c r="H309" s="1456" t="s">
        <v>2672</v>
      </c>
      <c r="I309" s="1380"/>
      <c r="J309" s="1380"/>
      <c r="K309" s="1380"/>
      <c r="L309" s="1380"/>
      <c r="M309" s="1380"/>
      <c r="N309" s="1482"/>
      <c r="O309" s="1482"/>
      <c r="P309" s="1482"/>
      <c r="Q309" s="1482"/>
      <c r="R309" s="1482"/>
      <c r="S309" s="3"/>
      <c r="T309" s="3" t="s">
        <v>76</v>
      </c>
      <c r="V309" s="3"/>
      <c r="W309" s="3"/>
      <c r="X309" s="3"/>
      <c r="Y309" s="3"/>
      <c r="AA309" s="1380"/>
      <c r="AB309" s="1380"/>
      <c r="AC309" s="1380"/>
      <c r="AD309" s="1380"/>
      <c r="AE309" s="1380"/>
      <c r="AF309" s="1380"/>
      <c r="AG309" s="1482"/>
      <c r="AH309" s="1482"/>
      <c r="AI309" s="1482"/>
      <c r="AJ309" s="1482"/>
      <c r="AK309" s="148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82" t="s">
        <v>2646</v>
      </c>
      <c r="I311" s="1482"/>
      <c r="J311" s="1482"/>
      <c r="K311" s="1482"/>
      <c r="L311" s="1482"/>
      <c r="M311" s="1482"/>
      <c r="N311" s="1482"/>
      <c r="O311" s="1482"/>
      <c r="P311" s="1482"/>
      <c r="Q311" s="1482"/>
      <c r="R311" s="1482"/>
      <c r="S311" s="3"/>
      <c r="T311" s="3" t="s">
        <v>364</v>
      </c>
      <c r="V311" s="3"/>
      <c r="W311" s="3"/>
      <c r="X311" s="3"/>
      <c r="Y311" s="3"/>
      <c r="AA311" s="1481" t="s">
        <v>2673</v>
      </c>
      <c r="AB311" s="1482"/>
      <c r="AC311" s="1482"/>
      <c r="AD311" s="1482"/>
      <c r="AE311" s="1482"/>
      <c r="AF311" s="1482"/>
      <c r="AG311" s="1482"/>
      <c r="AH311" s="1482"/>
      <c r="AI311" s="1482"/>
      <c r="AJ311" s="1482"/>
      <c r="AK311" s="1482"/>
    </row>
    <row r="312" spans="2:37" ht="12.95" customHeight="1">
      <c r="B312" s="3" t="s">
        <v>471</v>
      </c>
      <c r="C312" s="3"/>
      <c r="D312" s="3"/>
      <c r="E312" s="3"/>
      <c r="F312" s="3"/>
      <c r="H312" s="1380" t="s">
        <v>2647</v>
      </c>
      <c r="I312" s="1380"/>
      <c r="J312" s="1380"/>
      <c r="K312" s="1380"/>
      <c r="L312" s="1380"/>
      <c r="M312" s="1380"/>
      <c r="N312" s="1380"/>
      <c r="O312" s="1380"/>
      <c r="P312" s="1380"/>
      <c r="Q312" s="1380"/>
      <c r="R312" s="1380"/>
      <c r="S312" s="3"/>
      <c r="T312" s="3" t="s">
        <v>471</v>
      </c>
      <c r="V312" s="3"/>
      <c r="W312" s="3"/>
      <c r="X312" s="3"/>
      <c r="Y312" s="3"/>
      <c r="AA312" s="1456" t="s">
        <v>2724</v>
      </c>
      <c r="AB312" s="1380"/>
      <c r="AC312" s="1380"/>
      <c r="AD312" s="1380"/>
      <c r="AE312" s="1380"/>
      <c r="AF312" s="1380"/>
      <c r="AG312" s="1380"/>
      <c r="AH312" s="1380"/>
      <c r="AI312" s="1380"/>
      <c r="AJ312" s="1380"/>
      <c r="AK312" s="1380"/>
    </row>
    <row r="313" spans="2:37" ht="12.95" customHeight="1">
      <c r="B313" s="3" t="s">
        <v>472</v>
      </c>
      <c r="C313" s="3"/>
      <c r="D313" s="3"/>
      <c r="E313" s="3"/>
      <c r="F313" s="3"/>
      <c r="H313" s="1380" t="s">
        <v>2648</v>
      </c>
      <c r="I313" s="1380"/>
      <c r="J313" s="1380"/>
      <c r="K313" s="1380"/>
      <c r="L313" s="1380"/>
      <c r="M313" s="1380"/>
      <c r="N313" s="1380"/>
      <c r="O313" s="1380"/>
      <c r="P313" s="1380"/>
      <c r="Q313" s="1380"/>
      <c r="R313" s="1380"/>
      <c r="S313" s="3"/>
      <c r="T313" s="3" t="s">
        <v>75</v>
      </c>
      <c r="V313" s="3"/>
      <c r="W313" s="3"/>
      <c r="X313" s="3"/>
      <c r="Y313" s="3"/>
      <c r="AA313" s="1456" t="s">
        <v>2680</v>
      </c>
      <c r="AB313" s="1380"/>
      <c r="AC313" s="1380"/>
      <c r="AD313" s="1380"/>
      <c r="AE313" s="1380"/>
      <c r="AF313" s="1380"/>
      <c r="AG313" s="1380"/>
      <c r="AH313" s="1380"/>
      <c r="AI313" s="1380"/>
      <c r="AJ313" s="1380"/>
      <c r="AK313" s="1380"/>
    </row>
    <row r="314" spans="2:37" ht="12.95" customHeight="1">
      <c r="B314" s="3" t="s">
        <v>87</v>
      </c>
      <c r="C314" s="3"/>
      <c r="D314" s="3"/>
      <c r="E314" s="3"/>
      <c r="F314" s="3"/>
      <c r="H314" s="1380" t="s">
        <v>2649</v>
      </c>
      <c r="I314" s="1380"/>
      <c r="J314" s="1380"/>
      <c r="K314" s="1380"/>
      <c r="L314" s="1380"/>
      <c r="M314" s="1380"/>
      <c r="N314" s="1380"/>
      <c r="O314" s="1380"/>
      <c r="P314" s="1380"/>
      <c r="Q314" s="1380"/>
      <c r="R314" s="1380"/>
      <c r="S314" s="3"/>
      <c r="T314" s="3" t="s">
        <v>87</v>
      </c>
      <c r="V314" s="3"/>
      <c r="W314" s="3"/>
      <c r="X314" s="3"/>
      <c r="Y314" s="3"/>
      <c r="AA314" s="1456" t="s">
        <v>2674</v>
      </c>
      <c r="AB314" s="1380"/>
      <c r="AC314" s="1380"/>
      <c r="AD314" s="1380"/>
      <c r="AE314" s="1380"/>
      <c r="AF314" s="1380"/>
      <c r="AG314" s="1380"/>
      <c r="AH314" s="1380"/>
      <c r="AI314" s="1380"/>
      <c r="AJ314" s="1380"/>
      <c r="AK314" s="1380"/>
    </row>
    <row r="315" spans="2:37" ht="12.95" customHeight="1">
      <c r="B315" s="3" t="s">
        <v>88</v>
      </c>
      <c r="C315" s="3"/>
      <c r="D315" s="3"/>
      <c r="E315" s="3"/>
      <c r="F315" s="3"/>
      <c r="G315" s="3"/>
      <c r="H315" s="1570" t="s">
        <v>2650</v>
      </c>
      <c r="I315" s="1532"/>
      <c r="J315" s="1532"/>
      <c r="K315" s="1532"/>
      <c r="L315" s="1532"/>
      <c r="M315" s="1532"/>
      <c r="N315" s="4" t="s">
        <v>205</v>
      </c>
      <c r="O315" s="4"/>
      <c r="P315" s="1522"/>
      <c r="Q315" s="1522"/>
      <c r="R315" s="1522"/>
      <c r="S315" s="3"/>
      <c r="T315" s="3" t="s">
        <v>88</v>
      </c>
      <c r="V315" s="3"/>
      <c r="W315" s="3"/>
      <c r="X315" s="3"/>
      <c r="Y315" s="3"/>
      <c r="AA315" s="1570" t="s">
        <v>2725</v>
      </c>
      <c r="AB315" s="1532"/>
      <c r="AC315" s="1532"/>
      <c r="AD315" s="1532"/>
      <c r="AE315" s="1532"/>
      <c r="AF315" s="1532"/>
      <c r="AG315" s="4" t="s">
        <v>205</v>
      </c>
      <c r="AH315" s="4"/>
      <c r="AI315" s="1522"/>
      <c r="AJ315" s="1522"/>
      <c r="AK315" s="1522"/>
    </row>
    <row r="316" spans="2:37" ht="12.95" customHeight="1">
      <c r="B316" s="3" t="s">
        <v>89</v>
      </c>
      <c r="C316" s="3"/>
      <c r="D316" s="3"/>
      <c r="E316" s="3"/>
      <c r="F316" s="3"/>
      <c r="G316" s="3"/>
      <c r="H316" s="1500"/>
      <c r="I316" s="1500"/>
      <c r="J316" s="1500"/>
      <c r="K316" s="1500"/>
      <c r="L316" s="1500"/>
      <c r="M316" s="1500"/>
      <c r="N316" s="4"/>
      <c r="O316" s="4"/>
      <c r="P316" s="35"/>
      <c r="Q316" s="35"/>
      <c r="R316" s="35"/>
      <c r="S316" s="3"/>
      <c r="T316" s="3" t="s">
        <v>89</v>
      </c>
      <c r="V316" s="3"/>
      <c r="W316" s="3"/>
      <c r="X316" s="3"/>
      <c r="Y316" s="3"/>
      <c r="AA316" s="1500"/>
      <c r="AB316" s="1500"/>
      <c r="AC316" s="1500"/>
      <c r="AD316" s="1500"/>
      <c r="AE316" s="1500"/>
      <c r="AF316" s="1500"/>
      <c r="AG316" s="4"/>
      <c r="AH316" s="4"/>
      <c r="AI316" s="35"/>
      <c r="AJ316" s="35"/>
      <c r="AK316" s="35"/>
    </row>
    <row r="317" spans="2:37" ht="12.95" customHeight="1">
      <c r="B317" s="3" t="s">
        <v>76</v>
      </c>
      <c r="C317" s="3"/>
      <c r="D317" s="3"/>
      <c r="E317" s="3"/>
      <c r="F317" s="3"/>
      <c r="G317" s="3"/>
      <c r="H317" s="1380" t="s">
        <v>2651</v>
      </c>
      <c r="I317" s="1380"/>
      <c r="J317" s="1380"/>
      <c r="K317" s="1380"/>
      <c r="L317" s="1380"/>
      <c r="M317" s="1380"/>
      <c r="N317" s="1482"/>
      <c r="O317" s="1482"/>
      <c r="P317" s="1482"/>
      <c r="Q317" s="1482"/>
      <c r="R317" s="1482"/>
      <c r="S317" s="3"/>
      <c r="T317" s="3" t="s">
        <v>76</v>
      </c>
      <c r="V317" s="3"/>
      <c r="W317" s="3"/>
      <c r="X317" s="3"/>
      <c r="Y317" s="3"/>
      <c r="AA317" s="1456" t="s">
        <v>2726</v>
      </c>
      <c r="AB317" s="1380"/>
      <c r="AC317" s="1380"/>
      <c r="AD317" s="1380"/>
      <c r="AE317" s="1380"/>
      <c r="AF317" s="1380"/>
      <c r="AG317" s="1482"/>
      <c r="AH317" s="1482"/>
      <c r="AI317" s="1482"/>
      <c r="AJ317" s="1482"/>
      <c r="AK317" s="1482"/>
    </row>
    <row r="318" spans="2:37" ht="12.95" customHeight="1"/>
    <row r="319" spans="2:37" ht="12.95" customHeight="1">
      <c r="B319" s="4" t="s">
        <v>908</v>
      </c>
      <c r="C319" s="3"/>
      <c r="D319" s="3"/>
      <c r="E319" s="3"/>
      <c r="F319" s="3"/>
      <c r="H319" s="1482" t="s">
        <v>2639</v>
      </c>
      <c r="I319" s="1482"/>
      <c r="J319" s="1482"/>
      <c r="K319" s="1482"/>
      <c r="L319" s="1482"/>
      <c r="M319" s="1482"/>
      <c r="N319" s="1482"/>
      <c r="O319" s="1482"/>
      <c r="P319" s="1482"/>
      <c r="Q319" s="1482"/>
      <c r="R319" s="1482"/>
      <c r="T319" s="3" t="s">
        <v>365</v>
      </c>
      <c r="V319" s="3"/>
      <c r="W319" s="3"/>
      <c r="X319" s="3"/>
      <c r="Y319" s="3"/>
      <c r="AA319" s="1482" t="s">
        <v>2653</v>
      </c>
      <c r="AB319" s="1482"/>
      <c r="AC319" s="1482"/>
      <c r="AD319" s="1482"/>
      <c r="AE319" s="1482"/>
      <c r="AF319" s="1482"/>
      <c r="AG319" s="1482"/>
      <c r="AH319" s="1482"/>
      <c r="AI319" s="1482"/>
      <c r="AJ319" s="1482"/>
      <c r="AK319" s="1482"/>
    </row>
    <row r="320" spans="2:37" ht="12.95" customHeight="1">
      <c r="B320" s="3" t="s">
        <v>471</v>
      </c>
      <c r="C320" s="3"/>
      <c r="D320" s="3"/>
      <c r="E320" s="3"/>
      <c r="F320" s="3"/>
      <c r="H320" s="1380" t="s">
        <v>2640</v>
      </c>
      <c r="I320" s="1380"/>
      <c r="J320" s="1380"/>
      <c r="K320" s="1380"/>
      <c r="L320" s="1380"/>
      <c r="M320" s="1380"/>
      <c r="N320" s="1380"/>
      <c r="O320" s="1380"/>
      <c r="P320" s="1380"/>
      <c r="Q320" s="1380"/>
      <c r="R320" s="1380"/>
      <c r="T320" s="3" t="s">
        <v>471</v>
      </c>
      <c r="V320" s="3"/>
      <c r="W320" s="3"/>
      <c r="X320" s="3"/>
      <c r="Y320" s="3"/>
      <c r="AA320" s="1380" t="s">
        <v>2654</v>
      </c>
      <c r="AB320" s="1380"/>
      <c r="AC320" s="1380"/>
      <c r="AD320" s="1380"/>
      <c r="AE320" s="1380"/>
      <c r="AF320" s="1380"/>
      <c r="AG320" s="1380"/>
      <c r="AH320" s="1380"/>
      <c r="AI320" s="1380"/>
      <c r="AJ320" s="1380"/>
      <c r="AK320" s="1380"/>
    </row>
    <row r="321" spans="2:37" ht="12.95" customHeight="1">
      <c r="B321" s="3" t="s">
        <v>472</v>
      </c>
      <c r="C321" s="3"/>
      <c r="D321" s="3"/>
      <c r="E321" s="3"/>
      <c r="F321" s="3"/>
      <c r="H321" s="1380" t="s">
        <v>2645</v>
      </c>
      <c r="I321" s="1380"/>
      <c r="J321" s="1380"/>
      <c r="K321" s="1380"/>
      <c r="L321" s="1380"/>
      <c r="M321" s="1380"/>
      <c r="N321" s="1380"/>
      <c r="O321" s="1380"/>
      <c r="P321" s="1380"/>
      <c r="Q321" s="1380"/>
      <c r="R321" s="1380"/>
      <c r="T321" s="3" t="s">
        <v>75</v>
      </c>
      <c r="V321" s="3"/>
      <c r="W321" s="3"/>
      <c r="X321" s="3"/>
      <c r="Y321" s="3"/>
      <c r="AA321" s="1380" t="s">
        <v>2655</v>
      </c>
      <c r="AB321" s="1380"/>
      <c r="AC321" s="1380"/>
      <c r="AD321" s="1380"/>
      <c r="AE321" s="1380"/>
      <c r="AF321" s="1380"/>
      <c r="AG321" s="1380"/>
      <c r="AH321" s="1380"/>
      <c r="AI321" s="1380"/>
      <c r="AJ321" s="1380"/>
      <c r="AK321" s="1380"/>
    </row>
    <row r="322" spans="2:37" ht="12.95" customHeight="1">
      <c r="B322" s="3" t="s">
        <v>87</v>
      </c>
      <c r="C322" s="3"/>
      <c r="D322" s="3"/>
      <c r="E322" s="3"/>
      <c r="F322" s="3"/>
      <c r="H322" s="1380" t="s">
        <v>2652</v>
      </c>
      <c r="I322" s="1380"/>
      <c r="J322" s="1380"/>
      <c r="K322" s="1380"/>
      <c r="L322" s="1380"/>
      <c r="M322" s="1380"/>
      <c r="N322" s="1380"/>
      <c r="O322" s="1380"/>
      <c r="P322" s="1380"/>
      <c r="Q322" s="1380"/>
      <c r="R322" s="1380"/>
      <c r="T322" s="3" t="s">
        <v>87</v>
      </c>
      <c r="V322" s="3"/>
      <c r="W322" s="3"/>
      <c r="X322" s="3"/>
      <c r="Y322" s="3"/>
      <c r="AA322" s="1380" t="s">
        <v>2656</v>
      </c>
      <c r="AB322" s="1380"/>
      <c r="AC322" s="1380"/>
      <c r="AD322" s="1380"/>
      <c r="AE322" s="1380"/>
      <c r="AF322" s="1380"/>
      <c r="AG322" s="1380"/>
      <c r="AH322" s="1380"/>
      <c r="AI322" s="1380"/>
      <c r="AJ322" s="1380"/>
      <c r="AK322" s="1380"/>
    </row>
    <row r="323" spans="2:37" ht="12.95" customHeight="1">
      <c r="B323" s="3" t="s">
        <v>88</v>
      </c>
      <c r="C323" s="3"/>
      <c r="D323" s="3"/>
      <c r="E323" s="3"/>
      <c r="F323" s="3"/>
      <c r="G323" s="3"/>
      <c r="H323" s="1570" t="s">
        <v>2642</v>
      </c>
      <c r="I323" s="1532"/>
      <c r="J323" s="1532"/>
      <c r="K323" s="1532"/>
      <c r="L323" s="1532"/>
      <c r="M323" s="1532"/>
      <c r="N323" s="4" t="s">
        <v>205</v>
      </c>
      <c r="O323" s="4"/>
      <c r="P323" s="1522"/>
      <c r="Q323" s="1522"/>
      <c r="R323" s="1522"/>
      <c r="S323" s="3"/>
      <c r="T323" s="3" t="s">
        <v>88</v>
      </c>
      <c r="V323" s="3"/>
      <c r="W323" s="3"/>
      <c r="X323" s="3"/>
      <c r="Y323" s="3"/>
      <c r="AA323" s="1570" t="s">
        <v>2657</v>
      </c>
      <c r="AB323" s="1532"/>
      <c r="AC323" s="1532"/>
      <c r="AD323" s="1532"/>
      <c r="AE323" s="1532"/>
      <c r="AF323" s="1532"/>
      <c r="AG323" s="4" t="s">
        <v>205</v>
      </c>
      <c r="AH323" s="4"/>
      <c r="AI323" s="1522"/>
      <c r="AJ323" s="1522"/>
      <c r="AK323" s="1522"/>
    </row>
    <row r="324" spans="2:37" ht="12.95" customHeight="1">
      <c r="B324" s="3" t="s">
        <v>89</v>
      </c>
      <c r="C324" s="3"/>
      <c r="D324" s="3"/>
      <c r="E324" s="3"/>
      <c r="F324" s="3"/>
      <c r="G324" s="3"/>
      <c r="H324" s="1500"/>
      <c r="I324" s="1500"/>
      <c r="J324" s="1500"/>
      <c r="K324" s="1500"/>
      <c r="L324" s="1500"/>
      <c r="M324" s="1500"/>
      <c r="N324" s="4"/>
      <c r="O324" s="4"/>
      <c r="P324" s="35"/>
      <c r="Q324" s="35"/>
      <c r="R324" s="35"/>
      <c r="S324" s="3"/>
      <c r="T324" s="3" t="s">
        <v>89</v>
      </c>
      <c r="V324" s="3"/>
      <c r="W324" s="3"/>
      <c r="X324" s="3"/>
      <c r="Y324" s="3"/>
      <c r="AA324" s="1500"/>
      <c r="AB324" s="1500"/>
      <c r="AC324" s="1500"/>
      <c r="AD324" s="1500"/>
      <c r="AE324" s="1500"/>
      <c r="AF324" s="1500"/>
      <c r="AG324" s="4"/>
      <c r="AH324" s="4"/>
      <c r="AI324" s="35"/>
      <c r="AJ324" s="35"/>
      <c r="AK324" s="35"/>
    </row>
    <row r="325" spans="2:37" ht="12.95" customHeight="1">
      <c r="B325" s="3" t="s">
        <v>76</v>
      </c>
      <c r="C325" s="3"/>
      <c r="D325" s="3"/>
      <c r="E325" s="3"/>
      <c r="F325" s="3"/>
      <c r="G325" s="3"/>
      <c r="H325" s="1380" t="s">
        <v>2643</v>
      </c>
      <c r="I325" s="1380"/>
      <c r="J325" s="1380"/>
      <c r="K325" s="1380"/>
      <c r="L325" s="1380"/>
      <c r="M325" s="1380"/>
      <c r="N325" s="1482"/>
      <c r="O325" s="1482"/>
      <c r="P325" s="1482"/>
      <c r="Q325" s="1482"/>
      <c r="R325" s="1482"/>
      <c r="S325" s="3"/>
      <c r="T325" s="3" t="s">
        <v>76</v>
      </c>
      <c r="V325" s="3"/>
      <c r="W325" s="3"/>
      <c r="X325" s="3"/>
      <c r="Y325" s="3"/>
      <c r="AA325" s="1380" t="s">
        <v>2658</v>
      </c>
      <c r="AB325" s="1380"/>
      <c r="AC325" s="1380"/>
      <c r="AD325" s="1380"/>
      <c r="AE325" s="1380"/>
      <c r="AF325" s="1380"/>
      <c r="AG325" s="1482"/>
      <c r="AH325" s="1482"/>
      <c r="AI325" s="1482"/>
      <c r="AJ325" s="1482"/>
      <c r="AK325" s="148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81" t="s">
        <v>591</v>
      </c>
      <c r="I327" s="1482"/>
      <c r="J327" s="1482"/>
      <c r="K327" s="1482"/>
      <c r="L327" s="1482"/>
      <c r="M327" s="1482"/>
      <c r="N327" s="1482"/>
      <c r="O327" s="1482"/>
      <c r="P327" s="1482"/>
      <c r="Q327" s="1482"/>
      <c r="R327" s="1482"/>
      <c r="T327" s="3" t="s">
        <v>367</v>
      </c>
      <c r="V327" s="3"/>
      <c r="W327" s="3"/>
      <c r="X327" s="3"/>
      <c r="Y327" s="3"/>
      <c r="AA327" s="1481" t="s">
        <v>591</v>
      </c>
      <c r="AB327" s="1482"/>
      <c r="AC327" s="1482"/>
      <c r="AD327" s="1482"/>
      <c r="AE327" s="1482"/>
      <c r="AF327" s="1482"/>
      <c r="AG327" s="1482"/>
      <c r="AH327" s="1482"/>
      <c r="AI327" s="1482"/>
      <c r="AJ327" s="1482"/>
      <c r="AK327" s="1482"/>
    </row>
    <row r="328" spans="2:37" ht="12.95" customHeight="1">
      <c r="B328" s="3" t="s">
        <v>471</v>
      </c>
      <c r="C328" s="3"/>
      <c r="D328" s="3"/>
      <c r="E328" s="3"/>
      <c r="F328" s="3"/>
      <c r="H328" s="1380"/>
      <c r="I328" s="1380"/>
      <c r="J328" s="1380"/>
      <c r="K328" s="1380"/>
      <c r="L328" s="1380"/>
      <c r="M328" s="1380"/>
      <c r="N328" s="1380"/>
      <c r="O328" s="1380"/>
      <c r="P328" s="1380"/>
      <c r="Q328" s="1380"/>
      <c r="R328" s="1380"/>
      <c r="T328" s="3" t="s">
        <v>471</v>
      </c>
      <c r="V328" s="3"/>
      <c r="W328" s="3"/>
      <c r="X328" s="3"/>
      <c r="Y328" s="3"/>
      <c r="AA328" s="1380"/>
      <c r="AB328" s="1380"/>
      <c r="AC328" s="1380"/>
      <c r="AD328" s="1380"/>
      <c r="AE328" s="1380"/>
      <c r="AF328" s="1380"/>
      <c r="AG328" s="1380"/>
      <c r="AH328" s="1380"/>
      <c r="AI328" s="1380"/>
      <c r="AJ328" s="1380"/>
      <c r="AK328" s="1380"/>
    </row>
    <row r="329" spans="2:37" ht="12.95" customHeight="1">
      <c r="B329" s="3" t="s">
        <v>472</v>
      </c>
      <c r="C329" s="3"/>
      <c r="D329" s="3"/>
      <c r="E329" s="3"/>
      <c r="F329" s="3"/>
      <c r="H329" s="1380"/>
      <c r="I329" s="1380"/>
      <c r="J329" s="1380"/>
      <c r="K329" s="1380"/>
      <c r="L329" s="1380"/>
      <c r="M329" s="1380"/>
      <c r="N329" s="1380"/>
      <c r="O329" s="1380"/>
      <c r="P329" s="1380"/>
      <c r="Q329" s="1380"/>
      <c r="R329" s="1380"/>
      <c r="T329" s="3" t="s">
        <v>75</v>
      </c>
      <c r="V329" s="3"/>
      <c r="W329" s="3"/>
      <c r="X329" s="3"/>
      <c r="Y329" s="3"/>
      <c r="AA329" s="1380"/>
      <c r="AB329" s="1380"/>
      <c r="AC329" s="1380"/>
      <c r="AD329" s="1380"/>
      <c r="AE329" s="1380"/>
      <c r="AF329" s="1380"/>
      <c r="AG329" s="1380"/>
      <c r="AH329" s="1380"/>
      <c r="AI329" s="1380"/>
      <c r="AJ329" s="1380"/>
      <c r="AK329" s="1380"/>
    </row>
    <row r="330" spans="2:37" ht="12.95" customHeight="1">
      <c r="B330" s="3" t="s">
        <v>87</v>
      </c>
      <c r="C330" s="3"/>
      <c r="D330" s="3"/>
      <c r="E330" s="3"/>
      <c r="F330" s="3"/>
      <c r="H330" s="1380"/>
      <c r="I330" s="1380"/>
      <c r="J330" s="1380"/>
      <c r="K330" s="1380"/>
      <c r="L330" s="1380"/>
      <c r="M330" s="1380"/>
      <c r="N330" s="1380"/>
      <c r="O330" s="1380"/>
      <c r="P330" s="1380"/>
      <c r="Q330" s="1380"/>
      <c r="R330" s="1380"/>
      <c r="T330" s="3" t="s">
        <v>87</v>
      </c>
      <c r="V330" s="3"/>
      <c r="W330" s="3"/>
      <c r="X330" s="3"/>
      <c r="Y330" s="3"/>
      <c r="AA330" s="1380"/>
      <c r="AB330" s="1380"/>
      <c r="AC330" s="1380"/>
      <c r="AD330" s="1380"/>
      <c r="AE330" s="1380"/>
      <c r="AF330" s="1380"/>
      <c r="AG330" s="1380"/>
      <c r="AH330" s="1380"/>
      <c r="AI330" s="1380"/>
      <c r="AJ330" s="1380"/>
      <c r="AK330" s="1380"/>
    </row>
    <row r="331" spans="2:37" ht="12.95" customHeight="1">
      <c r="B331" s="3" t="s">
        <v>88</v>
      </c>
      <c r="C331" s="3"/>
      <c r="D331" s="3"/>
      <c r="E331" s="3"/>
      <c r="F331" s="3"/>
      <c r="G331" s="3"/>
      <c r="H331" s="1532"/>
      <c r="I331" s="1532"/>
      <c r="J331" s="1532"/>
      <c r="K331" s="1532"/>
      <c r="L331" s="1532"/>
      <c r="M331" s="1532"/>
      <c r="N331" s="4" t="s">
        <v>205</v>
      </c>
      <c r="O331" s="4"/>
      <c r="P331" s="1522"/>
      <c r="Q331" s="1522"/>
      <c r="R331" s="1522"/>
      <c r="S331" s="3"/>
      <c r="T331" s="3" t="s">
        <v>88</v>
      </c>
      <c r="V331" s="3"/>
      <c r="W331" s="3"/>
      <c r="X331" s="3"/>
      <c r="Y331" s="3"/>
      <c r="AA331" s="1532"/>
      <c r="AB331" s="1532"/>
      <c r="AC331" s="1532"/>
      <c r="AD331" s="1532"/>
      <c r="AE331" s="1532"/>
      <c r="AF331" s="1532"/>
      <c r="AG331" s="4" t="s">
        <v>205</v>
      </c>
      <c r="AH331" s="4"/>
      <c r="AI331" s="1522"/>
      <c r="AJ331" s="1522"/>
      <c r="AK331" s="1522"/>
    </row>
    <row r="332" spans="2:37" ht="12.95" customHeight="1">
      <c r="B332" s="3" t="s">
        <v>89</v>
      </c>
      <c r="C332" s="3"/>
      <c r="D332" s="3"/>
      <c r="E332" s="3"/>
      <c r="F332" s="3"/>
      <c r="G332" s="3"/>
      <c r="H332" s="1500"/>
      <c r="I332" s="1500"/>
      <c r="J332" s="1500"/>
      <c r="K332" s="1500"/>
      <c r="L332" s="1500"/>
      <c r="M332" s="1500"/>
      <c r="N332" s="4"/>
      <c r="O332" s="4"/>
      <c r="P332" s="35"/>
      <c r="Q332" s="35"/>
      <c r="R332" s="35"/>
      <c r="S332" s="3"/>
      <c r="T332" s="3" t="s">
        <v>89</v>
      </c>
      <c r="V332" s="3"/>
      <c r="W332" s="3"/>
      <c r="X332" s="3"/>
      <c r="Y332" s="3"/>
      <c r="AA332" s="1500"/>
      <c r="AB332" s="1500"/>
      <c r="AC332" s="1500"/>
      <c r="AD332" s="1500"/>
      <c r="AE332" s="1500"/>
      <c r="AF332" s="1500"/>
      <c r="AG332" s="4"/>
      <c r="AH332" s="4"/>
      <c r="AI332" s="35"/>
      <c r="AJ332" s="35"/>
      <c r="AK332" s="35"/>
    </row>
    <row r="333" spans="2:37" ht="12.95" customHeight="1">
      <c r="B333" s="3" t="s">
        <v>76</v>
      </c>
      <c r="C333" s="3"/>
      <c r="D333" s="3"/>
      <c r="E333" s="3"/>
      <c r="F333" s="3"/>
      <c r="G333" s="3"/>
      <c r="H333" s="1380"/>
      <c r="I333" s="1380"/>
      <c r="J333" s="1380"/>
      <c r="K333" s="1380"/>
      <c r="L333" s="1380"/>
      <c r="M333" s="1380"/>
      <c r="N333" s="1482"/>
      <c r="O333" s="1482"/>
      <c r="P333" s="1482"/>
      <c r="Q333" s="1482"/>
      <c r="R333" s="1482"/>
      <c r="S333" s="3"/>
      <c r="T333" s="3" t="s">
        <v>76</v>
      </c>
      <c r="V333" s="3"/>
      <c r="W333" s="3"/>
      <c r="X333" s="3"/>
      <c r="Y333" s="3"/>
      <c r="AA333" s="1380"/>
      <c r="AB333" s="1380"/>
      <c r="AC333" s="1380"/>
      <c r="AD333" s="1380"/>
      <c r="AE333" s="1380"/>
      <c r="AF333" s="1380"/>
      <c r="AG333" s="1482"/>
      <c r="AH333" s="1482"/>
      <c r="AI333" s="1482"/>
      <c r="AJ333" s="1482"/>
      <c r="AK333" s="148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81" t="s">
        <v>2667</v>
      </c>
      <c r="I335" s="1482"/>
      <c r="J335" s="1482"/>
      <c r="K335" s="1482"/>
      <c r="L335" s="1482"/>
      <c r="M335" s="1482"/>
      <c r="N335" s="1482"/>
      <c r="O335" s="1482"/>
      <c r="P335" s="1482"/>
      <c r="Q335" s="1482"/>
      <c r="R335" s="1482"/>
      <c r="T335" s="204" t="s">
        <v>886</v>
      </c>
      <c r="V335" s="3"/>
      <c r="W335" s="3"/>
      <c r="X335" s="3"/>
      <c r="Y335" s="3"/>
      <c r="AA335" s="1482" t="s">
        <v>2621</v>
      </c>
      <c r="AB335" s="1482"/>
      <c r="AC335" s="1482"/>
      <c r="AD335" s="1482"/>
      <c r="AE335" s="1482"/>
      <c r="AF335" s="1482"/>
      <c r="AG335" s="1482"/>
      <c r="AH335" s="1482"/>
      <c r="AI335" s="1482"/>
      <c r="AJ335" s="1482"/>
      <c r="AK335" s="1482"/>
    </row>
    <row r="336" spans="2:37" ht="12.95" customHeight="1">
      <c r="B336" s="3" t="s">
        <v>471</v>
      </c>
      <c r="C336" s="3"/>
      <c r="D336" s="3"/>
      <c r="E336" s="3"/>
      <c r="F336" s="3"/>
      <c r="H336" s="1456" t="s">
        <v>2679</v>
      </c>
      <c r="I336" s="1380"/>
      <c r="J336" s="1380"/>
      <c r="K336" s="1380"/>
      <c r="L336" s="1380"/>
      <c r="M336" s="1380"/>
      <c r="N336" s="1380"/>
      <c r="O336" s="1380"/>
      <c r="P336" s="1380"/>
      <c r="Q336" s="1380"/>
      <c r="R336" s="1380"/>
      <c r="T336" s="3" t="s">
        <v>471</v>
      </c>
      <c r="V336" s="3"/>
      <c r="W336" s="3"/>
      <c r="X336" s="3"/>
      <c r="Y336" s="3"/>
      <c r="AA336" s="1380" t="s">
        <v>2622</v>
      </c>
      <c r="AB336" s="1380"/>
      <c r="AC336" s="1380"/>
      <c r="AD336" s="1380"/>
      <c r="AE336" s="1380"/>
      <c r="AF336" s="1380"/>
      <c r="AG336" s="1380"/>
      <c r="AH336" s="1380"/>
      <c r="AI336" s="1380"/>
      <c r="AJ336" s="1380"/>
      <c r="AK336" s="1380"/>
    </row>
    <row r="337" spans="1:66" ht="12.95" customHeight="1">
      <c r="B337" s="3" t="s">
        <v>75</v>
      </c>
      <c r="C337" s="3"/>
      <c r="D337" s="3"/>
      <c r="E337" s="3"/>
      <c r="F337" s="3"/>
      <c r="H337" s="1456" t="s">
        <v>2680</v>
      </c>
      <c r="I337" s="1380"/>
      <c r="J337" s="1380"/>
      <c r="K337" s="1380"/>
      <c r="L337" s="1380"/>
      <c r="M337" s="1380"/>
      <c r="N337" s="1380"/>
      <c r="O337" s="1380"/>
      <c r="P337" s="1380"/>
      <c r="Q337" s="1380"/>
      <c r="R337" s="1380"/>
      <c r="T337" s="3" t="s">
        <v>75</v>
      </c>
      <c r="V337" s="3"/>
      <c r="W337" s="3"/>
      <c r="X337" s="3"/>
      <c r="Y337" s="3"/>
      <c r="AA337" s="1380" t="s">
        <v>2623</v>
      </c>
      <c r="AB337" s="1380"/>
      <c r="AC337" s="1380"/>
      <c r="AD337" s="1380"/>
      <c r="AE337" s="1380"/>
      <c r="AF337" s="1380"/>
      <c r="AG337" s="1380"/>
      <c r="AH337" s="1380"/>
      <c r="AI337" s="1380"/>
      <c r="AJ337" s="1380"/>
      <c r="AK337" s="1380"/>
    </row>
    <row r="338" spans="1:66" ht="12.95" customHeight="1">
      <c r="B338" s="3" t="s">
        <v>87</v>
      </c>
      <c r="C338" s="3"/>
      <c r="D338" s="3"/>
      <c r="E338" s="3"/>
      <c r="F338" s="3"/>
      <c r="G338" s="3"/>
      <c r="H338" s="1456" t="s">
        <v>2681</v>
      </c>
      <c r="I338" s="1380"/>
      <c r="J338" s="1380"/>
      <c r="K338" s="1380"/>
      <c r="L338" s="1380"/>
      <c r="M338" s="1380"/>
      <c r="N338" s="1380"/>
      <c r="O338" s="1380"/>
      <c r="P338" s="1380"/>
      <c r="Q338" s="1380"/>
      <c r="R338" s="1380"/>
      <c r="T338" s="3" t="s">
        <v>87</v>
      </c>
      <c r="V338" s="3"/>
      <c r="W338" s="3"/>
      <c r="X338" s="3"/>
      <c r="Y338" s="3"/>
      <c r="AA338" s="1380" t="s">
        <v>2624</v>
      </c>
      <c r="AB338" s="1380"/>
      <c r="AC338" s="1380"/>
      <c r="AD338" s="1380"/>
      <c r="AE338" s="1380"/>
      <c r="AF338" s="1380"/>
      <c r="AG338" s="1380"/>
      <c r="AH338" s="1380"/>
      <c r="AI338" s="1380"/>
      <c r="AJ338" s="1380"/>
      <c r="AK338" s="1380"/>
    </row>
    <row r="339" spans="1:66" ht="12.95" customHeight="1">
      <c r="B339" s="3" t="s">
        <v>88</v>
      </c>
      <c r="C339" s="3"/>
      <c r="D339" s="3"/>
      <c r="E339" s="3"/>
      <c r="F339" s="3"/>
      <c r="G339" s="3"/>
      <c r="H339" s="1570" t="s">
        <v>2682</v>
      </c>
      <c r="I339" s="1532"/>
      <c r="J339" s="1532"/>
      <c r="K339" s="1532"/>
      <c r="L339" s="1532"/>
      <c r="M339" s="1532"/>
      <c r="N339" s="4" t="s">
        <v>205</v>
      </c>
      <c r="O339" s="4"/>
      <c r="P339" s="1522"/>
      <c r="Q339" s="1522"/>
      <c r="R339" s="1522"/>
      <c r="S339" s="3"/>
      <c r="T339" s="3" t="s">
        <v>88</v>
      </c>
      <c r="V339" s="3"/>
      <c r="W339" s="3"/>
      <c r="X339" s="3"/>
      <c r="Y339" s="3"/>
      <c r="AA339" s="1570" t="s">
        <v>2625</v>
      </c>
      <c r="AB339" s="1532"/>
      <c r="AC339" s="1532"/>
      <c r="AD339" s="1532"/>
      <c r="AE339" s="1532"/>
      <c r="AF339" s="1532"/>
      <c r="AG339" s="4" t="s">
        <v>205</v>
      </c>
      <c r="AH339" s="4"/>
      <c r="AI339" s="1522"/>
      <c r="AJ339" s="1522"/>
      <c r="AK339" s="1522"/>
    </row>
    <row r="340" spans="1:66" ht="12.95" customHeight="1">
      <c r="B340" s="3" t="s">
        <v>89</v>
      </c>
      <c r="C340" s="3"/>
      <c r="D340" s="3"/>
      <c r="E340" s="3"/>
      <c r="F340" s="3"/>
      <c r="G340" s="3"/>
      <c r="H340" s="1500"/>
      <c r="I340" s="1500"/>
      <c r="J340" s="1500"/>
      <c r="K340" s="1500"/>
      <c r="L340" s="1500"/>
      <c r="M340" s="1500"/>
      <c r="N340" s="4"/>
      <c r="O340" s="4"/>
      <c r="P340" s="35"/>
      <c r="Q340" s="35"/>
      <c r="R340" s="35"/>
      <c r="S340" s="3"/>
      <c r="T340" s="3" t="s">
        <v>89</v>
      </c>
      <c r="V340" s="3"/>
      <c r="W340" s="3"/>
      <c r="X340" s="3"/>
      <c r="Y340" s="3"/>
      <c r="AA340" s="1500"/>
      <c r="AB340" s="1500"/>
      <c r="AC340" s="1500"/>
      <c r="AD340" s="1500"/>
      <c r="AE340" s="1500"/>
      <c r="AF340" s="1500"/>
      <c r="AG340" s="4"/>
      <c r="AH340" s="4"/>
      <c r="AI340" s="35"/>
      <c r="AJ340" s="35"/>
      <c r="AK340" s="35"/>
    </row>
    <row r="341" spans="1:66" ht="12.95" customHeight="1">
      <c r="B341" s="3" t="s">
        <v>76</v>
      </c>
      <c r="C341" s="3"/>
      <c r="D341" s="3"/>
      <c r="E341" s="3"/>
      <c r="F341" s="3"/>
      <c r="G341" s="3"/>
      <c r="H341" s="1456" t="s">
        <v>2683</v>
      </c>
      <c r="I341" s="1380"/>
      <c r="J341" s="1380"/>
      <c r="K341" s="1380"/>
      <c r="L341" s="1380"/>
      <c r="M341" s="1380"/>
      <c r="N341" s="1482"/>
      <c r="O341" s="1482"/>
      <c r="P341" s="1482"/>
      <c r="Q341" s="1482"/>
      <c r="R341" s="1482"/>
      <c r="S341" s="3"/>
      <c r="T341" s="3" t="s">
        <v>76</v>
      </c>
      <c r="V341" s="3"/>
      <c r="W341" s="3"/>
      <c r="X341" s="3"/>
      <c r="Y341" s="3"/>
      <c r="AA341" s="1380" t="s">
        <v>2626</v>
      </c>
      <c r="AB341" s="1380"/>
      <c r="AC341" s="1380"/>
      <c r="AD341" s="1380"/>
      <c r="AE341" s="1380"/>
      <c r="AF341" s="1380"/>
      <c r="AG341" s="1482"/>
      <c r="AH341" s="1482"/>
      <c r="AI341" s="1482"/>
      <c r="AJ341" s="1482"/>
      <c r="AK341" s="148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81" t="s">
        <v>591</v>
      </c>
      <c r="Q343" s="1482"/>
      <c r="R343" s="1482"/>
      <c r="S343" s="1482"/>
      <c r="T343" s="1482"/>
      <c r="U343" s="1482"/>
      <c r="V343" s="1482"/>
      <c r="W343" s="1482"/>
      <c r="X343" s="1482"/>
      <c r="Y343" s="1482"/>
      <c r="Z343" s="1482"/>
      <c r="AA343" s="1482"/>
      <c r="AB343" s="1482"/>
      <c r="AC343" s="1482"/>
      <c r="AD343" s="1482"/>
      <c r="AE343" s="1482"/>
      <c r="BN343" t="s">
        <v>669</v>
      </c>
    </row>
    <row r="344" spans="1:66" ht="12.95" customHeight="1">
      <c r="B344" s="4"/>
      <c r="C344" s="4"/>
      <c r="D344" s="4"/>
      <c r="E344" s="4"/>
      <c r="F344" s="4"/>
      <c r="I344" s="4" t="s">
        <v>471</v>
      </c>
      <c r="P344" s="1380"/>
      <c r="Q344" s="1380"/>
      <c r="R344" s="1380"/>
      <c r="S344" s="1380"/>
      <c r="T344" s="1380"/>
      <c r="U344" s="1380"/>
      <c r="V344" s="1380"/>
      <c r="W344" s="1380"/>
      <c r="X344" s="1380"/>
      <c r="Y344" s="1380"/>
      <c r="Z344" s="1380"/>
      <c r="AA344" s="1380"/>
      <c r="AB344" s="1380"/>
      <c r="AC344" s="1380"/>
      <c r="AD344" s="1380"/>
      <c r="AE344" s="1380"/>
      <c r="BN344" t="s">
        <v>545</v>
      </c>
    </row>
    <row r="345" spans="1:66" ht="12.95" customHeight="1">
      <c r="B345" s="4"/>
      <c r="C345" s="4"/>
      <c r="D345" s="4"/>
      <c r="E345" s="4"/>
      <c r="F345" s="4"/>
      <c r="I345" s="4" t="s">
        <v>75</v>
      </c>
      <c r="P345" s="1380"/>
      <c r="Q345" s="1380"/>
      <c r="R345" s="1380"/>
      <c r="S345" s="1380"/>
      <c r="T345" s="1380"/>
      <c r="U345" s="1380"/>
      <c r="V345" s="1380"/>
      <c r="W345" s="1380"/>
      <c r="X345" s="1380"/>
      <c r="Y345" s="1380"/>
      <c r="Z345" s="1380"/>
      <c r="AA345" s="1380"/>
      <c r="AB345" s="1380"/>
      <c r="AC345" s="1380"/>
      <c r="AD345" s="1380"/>
      <c r="AE345" s="1380"/>
    </row>
    <row r="346" spans="1:66" ht="12.95" customHeight="1">
      <c r="B346" s="4"/>
      <c r="C346" s="4"/>
      <c r="D346" s="4"/>
      <c r="E346" s="4"/>
      <c r="F346" s="4"/>
      <c r="G346" s="4"/>
      <c r="I346" s="4" t="s">
        <v>87</v>
      </c>
      <c r="P346" s="1380"/>
      <c r="Q346" s="1380"/>
      <c r="R346" s="1380"/>
      <c r="S346" s="1380"/>
      <c r="T346" s="1380"/>
      <c r="U346" s="1380"/>
      <c r="V346" s="1380"/>
      <c r="W346" s="1380"/>
      <c r="X346" s="1380"/>
      <c r="Y346" s="1380"/>
      <c r="Z346" s="1380"/>
      <c r="AA346" s="1380"/>
      <c r="AB346" s="1380"/>
      <c r="AC346" s="1380"/>
      <c r="AD346" s="1380"/>
      <c r="AE346" s="1380"/>
    </row>
    <row r="347" spans="1:66" ht="12.95" customHeight="1">
      <c r="B347" s="4"/>
      <c r="C347" s="4"/>
      <c r="D347" s="4"/>
      <c r="E347" s="4"/>
      <c r="F347" s="4"/>
      <c r="G347" s="4"/>
      <c r="H347" s="302"/>
      <c r="I347" s="4" t="s">
        <v>88</v>
      </c>
      <c r="P347" s="1500"/>
      <c r="Q347" s="1500"/>
      <c r="R347" s="1500"/>
      <c r="S347" s="1500"/>
      <c r="T347" s="1500"/>
      <c r="U347" s="1500"/>
      <c r="V347" s="1500"/>
      <c r="W347" s="1500"/>
      <c r="X347" s="1500"/>
      <c r="Y347" s="1500"/>
      <c r="Z347" s="1500"/>
      <c r="AA347" s="4" t="s">
        <v>205</v>
      </c>
      <c r="AB347" s="4"/>
      <c r="AC347" s="1457"/>
      <c r="AD347" s="1457"/>
      <c r="AE347" s="1457"/>
      <c r="AF347" s="302"/>
      <c r="AG347" s="4"/>
      <c r="AH347" s="4"/>
      <c r="AI347" s="4"/>
      <c r="AJ347" s="4"/>
      <c r="AK347" s="4"/>
    </row>
    <row r="348" spans="1:66" ht="12.95" customHeight="1">
      <c r="B348" s="4"/>
      <c r="C348" s="4"/>
      <c r="D348" s="4"/>
      <c r="E348" s="4"/>
      <c r="F348" s="4"/>
      <c r="G348" s="4"/>
      <c r="H348" s="302"/>
      <c r="I348" s="4" t="s">
        <v>89</v>
      </c>
      <c r="P348" s="1500"/>
      <c r="Q348" s="1500"/>
      <c r="R348" s="1500"/>
      <c r="S348" s="1500"/>
      <c r="T348" s="1500"/>
      <c r="U348" s="1500"/>
      <c r="V348" s="1500"/>
      <c r="W348" s="1500"/>
      <c r="X348" s="1500"/>
      <c r="Y348" s="1500"/>
      <c r="Z348" s="1500"/>
      <c r="AF348" s="302"/>
      <c r="AG348" s="4"/>
      <c r="AH348" s="4"/>
      <c r="AI348" s="35"/>
      <c r="AJ348" s="35"/>
      <c r="AK348" s="35"/>
    </row>
    <row r="349" spans="1:66" ht="12.95" customHeight="1">
      <c r="B349" s="4"/>
      <c r="C349" s="4"/>
      <c r="D349" s="4"/>
      <c r="E349" s="4"/>
      <c r="F349" s="4"/>
      <c r="G349" s="4"/>
      <c r="I349" s="4" t="s">
        <v>76</v>
      </c>
      <c r="P349" s="1482"/>
      <c r="Q349" s="1482"/>
      <c r="R349" s="1482"/>
      <c r="S349" s="1482"/>
      <c r="T349" s="1482"/>
      <c r="U349" s="1482"/>
      <c r="V349" s="1482"/>
      <c r="W349" s="1482"/>
      <c r="X349" s="1482"/>
      <c r="Y349" s="1482"/>
      <c r="Z349" s="1482"/>
      <c r="AA349" s="1482"/>
      <c r="AB349" s="1482"/>
      <c r="AC349" s="1482"/>
      <c r="AD349" s="1482"/>
      <c r="AE349" s="1482"/>
    </row>
    <row r="350" spans="1:66" ht="12.95" customHeight="1">
      <c r="T350" s="8"/>
      <c r="U350" s="8"/>
      <c r="V350" s="8"/>
      <c r="W350" s="8"/>
      <c r="X350" s="8"/>
      <c r="Y350" s="8"/>
      <c r="Z350" s="8"/>
      <c r="AU350" s="95"/>
      <c r="AV350" s="95"/>
      <c r="AW350" s="95"/>
      <c r="AX350" s="95"/>
      <c r="AY350" s="95"/>
    </row>
    <row r="351" spans="1:66" ht="12.95" customHeight="1">
      <c r="A351" s="1539" t="s">
        <v>542</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492" t="s">
        <v>545</v>
      </c>
      <c r="N355" s="1492"/>
      <c r="P355" t="s">
        <v>1650</v>
      </c>
      <c r="AJ355" s="1492" t="s">
        <v>545</v>
      </c>
      <c r="AK355" s="1492"/>
    </row>
    <row r="356" spans="1:46" ht="12.95" customHeight="1">
      <c r="D356" s="3" t="s">
        <v>1639</v>
      </c>
      <c r="M356" s="1492" t="s">
        <v>591</v>
      </c>
      <c r="N356" s="1492"/>
      <c r="P356" s="3" t="s">
        <v>1719</v>
      </c>
      <c r="AJ356" s="1391">
        <v>0</v>
      </c>
      <c r="AK356" s="1391"/>
    </row>
    <row r="357" spans="1:46" ht="12.95" customHeight="1">
      <c r="D357" s="3" t="s">
        <v>704</v>
      </c>
      <c r="M357" s="1492" t="s">
        <v>591</v>
      </c>
      <c r="N357" s="1492"/>
      <c r="P357" t="s">
        <v>1649</v>
      </c>
      <c r="AJ357" s="1492" t="s">
        <v>591</v>
      </c>
      <c r="AK357" s="1492"/>
    </row>
    <row r="358" spans="1:46" ht="12.95" customHeight="1">
      <c r="D358" s="3" t="s">
        <v>705</v>
      </c>
      <c r="M358" s="1492" t="s">
        <v>591</v>
      </c>
      <c r="N358" s="149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92" t="s">
        <v>591</v>
      </c>
      <c r="O363" s="1492"/>
      <c r="P363" s="40"/>
      <c r="Q363" s="40"/>
      <c r="R363" s="40"/>
      <c r="S363" s="40"/>
      <c r="T363" s="40"/>
      <c r="U363" s="40"/>
      <c r="V363" s="40"/>
      <c r="W363" s="40"/>
      <c r="X363" s="40"/>
      <c r="Y363" s="40"/>
      <c r="Z363" s="40"/>
      <c r="AC363" s="40"/>
      <c r="AD363" s="40"/>
      <c r="AE363" s="40"/>
    </row>
    <row r="364" spans="1:46" ht="12.95" customHeight="1">
      <c r="E364" t="s">
        <v>369</v>
      </c>
      <c r="Y364" s="1492" t="s">
        <v>591</v>
      </c>
      <c r="Z364" s="1492"/>
    </row>
    <row r="365" spans="1:46" ht="12.95" customHeight="1">
      <c r="D365" s="4" t="s">
        <v>978</v>
      </c>
      <c r="Q365" s="1482"/>
      <c r="R365" s="1482"/>
      <c r="S365" s="1482"/>
      <c r="T365" s="1482"/>
      <c r="U365" s="1482"/>
      <c r="V365" s="1482"/>
      <c r="W365" s="1482"/>
      <c r="X365" s="1482"/>
      <c r="Y365" s="1482"/>
      <c r="Z365" s="1482"/>
      <c r="AA365" s="1482"/>
      <c r="AB365" s="1482"/>
      <c r="AC365" s="1482"/>
      <c r="AD365" s="1482"/>
      <c r="AE365" s="1482"/>
      <c r="AF365" s="1482"/>
      <c r="AG365" s="1482"/>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92" t="s">
        <v>591</v>
      </c>
      <c r="K367" s="1492"/>
      <c r="L367" s="40"/>
      <c r="M367" s="40"/>
      <c r="N367" s="40"/>
      <c r="O367" s="40"/>
      <c r="P367" s="40"/>
      <c r="Q367" s="40"/>
      <c r="R367" s="40"/>
      <c r="S367" s="40"/>
      <c r="T367" s="40"/>
      <c r="U367" s="40"/>
      <c r="V367" s="40"/>
      <c r="W367" s="40"/>
      <c r="X367" s="40"/>
      <c r="Y367" s="40"/>
      <c r="Z367" s="40"/>
      <c r="AC367" s="40"/>
      <c r="AD367" s="40"/>
      <c r="AE367" s="40"/>
    </row>
    <row r="368" spans="1:46" ht="12.95" customHeight="1">
      <c r="E368" s="1523" t="s">
        <v>706</v>
      </c>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row>
    <row r="369" spans="1:34" ht="12.95" customHeight="1">
      <c r="E369" s="1523"/>
      <c r="F369" s="1523"/>
      <c r="G369" s="1523"/>
      <c r="H369" s="1523"/>
      <c r="I369" s="1523"/>
      <c r="J369" s="1523"/>
      <c r="K369" s="1523"/>
      <c r="L369" s="1523"/>
      <c r="M369" s="1523"/>
      <c r="N369" s="1523"/>
      <c r="O369" s="1523"/>
      <c r="P369" s="1523"/>
      <c r="Q369" s="1523"/>
      <c r="R369" s="1523"/>
      <c r="S369" s="1523"/>
      <c r="T369" s="1523"/>
      <c r="U369" s="1523"/>
      <c r="V369" s="1523"/>
      <c r="W369" s="1523"/>
      <c r="X369" s="1523"/>
      <c r="Y369" s="1523"/>
      <c r="Z369" s="1523"/>
      <c r="AA369" s="1523"/>
      <c r="AB369" s="1523"/>
      <c r="AC369" s="1523"/>
      <c r="AD369" s="1523"/>
      <c r="AE369" s="1523"/>
      <c r="AF369" s="1523"/>
      <c r="AG369" s="1523"/>
      <c r="AH369" s="1523"/>
    </row>
    <row r="370" spans="1:34" ht="12.95" customHeight="1">
      <c r="E370" s="4" t="s">
        <v>448</v>
      </c>
      <c r="F370" s="4"/>
      <c r="G370" s="4"/>
      <c r="H370" s="4"/>
      <c r="I370" s="4"/>
      <c r="J370" s="4"/>
      <c r="K370" s="4"/>
      <c r="L370" s="4"/>
      <c r="N370" s="1399"/>
      <c r="O370" s="1399"/>
      <c r="P370" s="1399"/>
      <c r="Q370" s="1399"/>
      <c r="R370" s="4"/>
      <c r="U370" s="4" t="s">
        <v>449</v>
      </c>
      <c r="V370" s="4"/>
      <c r="W370" s="4"/>
      <c r="X370" s="4"/>
      <c r="Y370" s="4"/>
      <c r="Z370" s="4"/>
      <c r="AA370" s="4"/>
      <c r="AB370" s="4"/>
      <c r="AC370" s="1399"/>
      <c r="AD370" s="1399"/>
      <c r="AE370" s="1399"/>
      <c r="AF370" s="1399"/>
    </row>
    <row r="371" spans="1:34" ht="12.95" customHeight="1">
      <c r="E371" s="4" t="s">
        <v>450</v>
      </c>
      <c r="F371" s="4"/>
      <c r="G371" s="4"/>
      <c r="H371" s="4"/>
      <c r="I371" s="4"/>
      <c r="J371" s="4"/>
      <c r="K371" s="4"/>
      <c r="L371" s="4"/>
      <c r="N371" s="1399"/>
      <c r="O371" s="1399"/>
      <c r="P371" s="1399"/>
      <c r="Q371" s="1399"/>
      <c r="R371" s="4"/>
      <c r="U371" s="4" t="s">
        <v>0</v>
      </c>
      <c r="V371" s="4"/>
      <c r="W371" s="4"/>
      <c r="X371" s="4"/>
      <c r="Y371" s="4"/>
      <c r="Z371" s="4"/>
      <c r="AA371" s="4"/>
      <c r="AB371" s="4"/>
      <c r="AC371" s="1399"/>
      <c r="AD371" s="1399"/>
      <c r="AE371" s="1399"/>
      <c r="AF371" s="1399"/>
    </row>
    <row r="372" spans="1:34" ht="12.95" customHeight="1">
      <c r="E372" s="4" t="s">
        <v>1</v>
      </c>
      <c r="F372" s="4"/>
      <c r="G372" s="4"/>
      <c r="H372" s="4"/>
      <c r="I372" s="4"/>
      <c r="J372" s="4"/>
      <c r="K372" s="4"/>
      <c r="L372" s="4"/>
      <c r="N372" s="1399"/>
      <c r="O372" s="1399"/>
      <c r="P372" s="1399"/>
      <c r="Q372" s="1399"/>
      <c r="R372" s="4"/>
      <c r="V372" s="4"/>
      <c r="W372" s="4"/>
      <c r="X372" s="4"/>
      <c r="Y372" s="4"/>
      <c r="Z372" s="4"/>
      <c r="AA372" s="4"/>
      <c r="AB372" s="4"/>
    </row>
    <row r="373" spans="1:34" ht="12.95" customHeight="1">
      <c r="E373" s="4" t="s">
        <v>2</v>
      </c>
      <c r="F373" s="4"/>
      <c r="G373" s="4"/>
      <c r="H373" s="4"/>
      <c r="I373" s="4"/>
      <c r="J373" s="4"/>
      <c r="K373" s="4"/>
      <c r="L373" s="4"/>
      <c r="N373" s="1534"/>
      <c r="O373" s="1534"/>
      <c r="P373" s="1534"/>
      <c r="Q373" s="1534"/>
      <c r="R373" s="1534"/>
      <c r="S373" s="1534"/>
      <c r="T373" s="1534"/>
      <c r="U373" s="1534"/>
      <c r="V373" s="1534"/>
      <c r="W373" s="1534"/>
      <c r="X373" s="1534"/>
      <c r="Y373" s="1534"/>
      <c r="Z373" s="1534"/>
      <c r="AA373" s="1534"/>
      <c r="AB373" s="1534"/>
      <c r="AC373" s="1534"/>
      <c r="AD373" s="1534"/>
      <c r="AE373" s="1534"/>
      <c r="AF373" s="1534"/>
    </row>
    <row r="374" spans="1:34" ht="12.95" customHeight="1">
      <c r="E374" s="4"/>
      <c r="F374" s="4"/>
      <c r="G374" s="4"/>
      <c r="H374" s="4"/>
      <c r="I374" s="4"/>
      <c r="J374" s="4"/>
      <c r="K374" s="4"/>
      <c r="L374" s="4"/>
      <c r="N374" s="1535"/>
      <c r="O374" s="1535"/>
      <c r="P374" s="1535"/>
      <c r="Q374" s="1535"/>
      <c r="R374" s="1535"/>
      <c r="S374" s="1535"/>
      <c r="T374" s="1535"/>
      <c r="U374" s="1535"/>
      <c r="V374" s="1535"/>
      <c r="W374" s="1535"/>
      <c r="X374" s="1535"/>
      <c r="Y374" s="1535"/>
      <c r="Z374" s="1535"/>
      <c r="AA374" s="1535"/>
      <c r="AB374" s="1535"/>
      <c r="AC374" s="1535"/>
      <c r="AD374" s="1535"/>
      <c r="AE374" s="1535"/>
      <c r="AF374" s="1535"/>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506"/>
      <c r="T377" s="1506"/>
      <c r="U377" s="1" t="s">
        <v>305</v>
      </c>
      <c r="V377" s="1506"/>
      <c r="W377" s="1506"/>
      <c r="Y377" t="s">
        <v>2079</v>
      </c>
      <c r="AC377" s="27" t="s">
        <v>304</v>
      </c>
      <c r="AD377" s="1506"/>
      <c r="AE377" s="1506"/>
      <c r="AF377" s="1" t="s">
        <v>305</v>
      </c>
      <c r="AG377" s="1506"/>
      <c r="AH377" s="1506"/>
    </row>
    <row r="378" spans="1:34" ht="12.95" customHeight="1">
      <c r="E378" s="4" t="s">
        <v>987</v>
      </c>
      <c r="F378" s="4"/>
      <c r="G378" s="4"/>
      <c r="H378" s="4"/>
      <c r="I378" s="4"/>
      <c r="J378" s="4"/>
      <c r="K378" s="4"/>
      <c r="L378" s="4"/>
      <c r="N378" s="1506"/>
      <c r="O378" s="1506"/>
      <c r="P378" s="1506"/>
    </row>
    <row r="379" spans="1:34" ht="12.95" customHeight="1">
      <c r="E379" s="204" t="s">
        <v>2085</v>
      </c>
      <c r="F379" s="4"/>
      <c r="G379" s="4"/>
      <c r="H379" s="4"/>
      <c r="I379" s="4"/>
      <c r="J379" s="4"/>
      <c r="K379" s="4"/>
      <c r="L379" s="4"/>
      <c r="AG379" s="1518" t="s">
        <v>591</v>
      </c>
      <c r="AH379" s="1518"/>
    </row>
    <row r="380" spans="1:34" ht="12.95" customHeight="1">
      <c r="E380" s="4"/>
      <c r="F380" s="4"/>
      <c r="G380" s="4" t="s">
        <v>2086</v>
      </c>
      <c r="H380" s="4"/>
      <c r="I380" s="4"/>
      <c r="J380" s="4"/>
      <c r="K380" s="4"/>
      <c r="L380" s="4"/>
      <c r="AG380" s="1518" t="s">
        <v>591</v>
      </c>
      <c r="AH380" s="1518"/>
    </row>
    <row r="381" spans="1:34" ht="12.95" customHeight="1">
      <c r="E381" s="4"/>
      <c r="F381" s="4"/>
      <c r="G381" s="320" t="s">
        <v>988</v>
      </c>
      <c r="H381" s="4"/>
      <c r="I381" s="4"/>
      <c r="J381" s="4"/>
      <c r="K381" s="4"/>
      <c r="L381" s="4"/>
      <c r="V381" s="1492" t="s">
        <v>591</v>
      </c>
      <c r="W381" s="1492"/>
      <c r="Y381" s="22" t="s">
        <v>980</v>
      </c>
    </row>
    <row r="382" spans="1:34" ht="12.95" customHeight="1">
      <c r="E382" s="4" t="s">
        <v>981</v>
      </c>
      <c r="F382" s="4"/>
      <c r="G382" s="4"/>
      <c r="H382" s="4"/>
      <c r="I382" s="4"/>
      <c r="J382" s="4"/>
      <c r="K382" s="4"/>
      <c r="L382" s="4"/>
      <c r="V382" s="1492" t="s">
        <v>591</v>
      </c>
      <c r="W382" s="1492"/>
      <c r="Y382" s="4" t="s">
        <v>982</v>
      </c>
    </row>
    <row r="383" spans="1:34" ht="12.95" customHeight="1"/>
    <row r="384" spans="1:34" ht="12.95" customHeight="1">
      <c r="A384" s="2" t="s">
        <v>78</v>
      </c>
      <c r="B384" s="2"/>
    </row>
    <row r="385" spans="4:36" ht="12.95" customHeight="1">
      <c r="D385" t="s">
        <v>427</v>
      </c>
      <c r="J385" s="1481" t="s">
        <v>2684</v>
      </c>
      <c r="K385" s="1482"/>
      <c r="L385" s="1482"/>
      <c r="M385" s="1482"/>
      <c r="N385" s="1482"/>
      <c r="O385" s="1482"/>
      <c r="P385" s="1482"/>
      <c r="Q385" s="1482"/>
      <c r="R385" s="1482"/>
      <c r="S385" s="1482"/>
      <c r="T385" s="1482"/>
      <c r="U385" s="1482"/>
      <c r="V385" s="8" t="s">
        <v>83</v>
      </c>
      <c r="W385" s="8"/>
      <c r="X385" s="8"/>
      <c r="Y385" s="8"/>
      <c r="Z385" s="8"/>
      <c r="AA385" s="8"/>
      <c r="AB385" s="8"/>
      <c r="AC385" s="1482"/>
      <c r="AD385" s="1482"/>
      <c r="AE385" s="1482"/>
      <c r="AF385" s="1482"/>
      <c r="AG385" s="1482"/>
      <c r="AH385" s="1482"/>
      <c r="AI385" s="1482"/>
      <c r="AJ385" s="1482"/>
    </row>
    <row r="386" spans="4:36" ht="12.95" customHeight="1">
      <c r="D386" s="3" t="s">
        <v>1182</v>
      </c>
      <c r="J386" s="1456" t="s">
        <v>2729</v>
      </c>
      <c r="K386" s="1380"/>
      <c r="L386" s="1380"/>
      <c r="M386" s="1380"/>
      <c r="N386" s="1380"/>
      <c r="O386" s="1380"/>
      <c r="P386" s="1380"/>
      <c r="Q386" s="1380"/>
      <c r="R386" s="1380"/>
      <c r="S386" s="1380"/>
      <c r="T386" s="1380"/>
      <c r="U386" s="1380"/>
      <c r="V386" s="3" t="s">
        <v>1182</v>
      </c>
      <c r="W386" s="8"/>
      <c r="X386" s="8"/>
      <c r="Y386" s="8"/>
      <c r="Z386" s="8"/>
      <c r="AA386" s="8"/>
      <c r="AB386" s="8"/>
      <c r="AC386" s="1482"/>
      <c r="AD386" s="1482"/>
      <c r="AE386" s="1482"/>
      <c r="AF386" s="1482"/>
      <c r="AG386" s="1482"/>
      <c r="AH386" s="1482"/>
      <c r="AI386" s="1482"/>
      <c r="AJ386" s="1482"/>
    </row>
    <row r="387" spans="4:36" ht="12.95" customHeight="1">
      <c r="D387" s="3" t="s">
        <v>441</v>
      </c>
      <c r="J387" s="1456" t="s">
        <v>2728</v>
      </c>
      <c r="K387" s="1380"/>
      <c r="L387" s="1380"/>
      <c r="M387" s="1380"/>
      <c r="N387" s="1380"/>
      <c r="O387" s="1380"/>
      <c r="P387" s="1380"/>
      <c r="Q387" s="1380"/>
      <c r="R387" s="1380"/>
      <c r="S387" s="1380"/>
      <c r="T387" s="1380"/>
      <c r="U387" s="1380"/>
      <c r="V387" s="3" t="s">
        <v>441</v>
      </c>
      <c r="W387" s="8"/>
      <c r="X387" s="8"/>
      <c r="Y387" s="8"/>
      <c r="Z387" s="8"/>
      <c r="AA387" s="8"/>
      <c r="AB387" s="8"/>
      <c r="AC387" s="1482"/>
      <c r="AD387" s="1482"/>
      <c r="AE387" s="1482"/>
      <c r="AF387" s="1482"/>
      <c r="AG387" s="1482"/>
      <c r="AH387" s="1482"/>
      <c r="AI387" s="1482"/>
      <c r="AJ387" s="1482"/>
    </row>
    <row r="388" spans="4:36" ht="12.95" customHeight="1">
      <c r="D388" t="s">
        <v>1178</v>
      </c>
      <c r="J388" s="1528" t="s">
        <v>2685</v>
      </c>
      <c r="K388" s="1413"/>
      <c r="L388" s="1413"/>
      <c r="M388" s="1413"/>
      <c r="N388" s="1413"/>
      <c r="O388" s="1413"/>
      <c r="P388" s="1413"/>
      <c r="Q388" s="1413"/>
      <c r="R388" s="1413"/>
      <c r="S388" s="1413"/>
      <c r="T388" s="1413"/>
      <c r="U388" s="1413"/>
      <c r="V388" s="1482"/>
      <c r="W388" s="1482"/>
      <c r="X388" s="1482"/>
      <c r="Y388" s="1482"/>
      <c r="Z388" s="1482"/>
      <c r="AA388" s="1482"/>
      <c r="AB388" s="1482"/>
      <c r="AC388" s="1482"/>
      <c r="AD388" s="1482"/>
      <c r="AE388" s="1482"/>
      <c r="AF388" s="1482"/>
      <c r="AG388" s="1482"/>
      <c r="AH388" s="1482"/>
      <c r="AI388" s="1482"/>
      <c r="AJ388" s="1482"/>
    </row>
    <row r="389" spans="4:36" ht="12.95" customHeight="1">
      <c r="D389" t="s">
        <v>4</v>
      </c>
      <c r="Q389" s="1581">
        <v>45904</v>
      </c>
      <c r="R389" s="1581"/>
      <c r="S389" s="1581"/>
      <c r="T389" s="1581"/>
      <c r="U389" s="1581"/>
      <c r="V389" t="s">
        <v>308</v>
      </c>
      <c r="AI389" s="1492" t="s">
        <v>669</v>
      </c>
      <c r="AJ389" s="1492"/>
    </row>
    <row r="390" spans="4:36" ht="12.95" customHeight="1">
      <c r="D390" t="s">
        <v>5</v>
      </c>
      <c r="Q390" s="1512">
        <v>46184</v>
      </c>
      <c r="R390" s="1513"/>
      <c r="S390" s="1513"/>
      <c r="T390" s="1513"/>
      <c r="U390" s="1513"/>
      <c r="W390" s="21" t="s">
        <v>74</v>
      </c>
      <c r="AG390" s="1507"/>
      <c r="AH390" s="1507"/>
      <c r="AI390" s="1507"/>
      <c r="AJ390" s="1507"/>
    </row>
    <row r="391" spans="4:36" ht="12.95" customHeight="1">
      <c r="D391" t="s">
        <v>426</v>
      </c>
      <c r="Q391" s="1520">
        <v>14000000</v>
      </c>
      <c r="R391" s="1520"/>
      <c r="S391" s="1520"/>
      <c r="T391" s="1520"/>
      <c r="U391" s="1520"/>
      <c r="V391" s="3" t="s">
        <v>1181</v>
      </c>
      <c r="AG391" s="1509">
        <v>46174</v>
      </c>
      <c r="AH391" s="1509"/>
      <c r="AI391" s="1509"/>
      <c r="AJ391" s="1509"/>
    </row>
    <row r="392" spans="4:36" ht="12.95" customHeight="1">
      <c r="D392" t="s">
        <v>88</v>
      </c>
      <c r="I392" s="1532"/>
      <c r="J392" s="1532"/>
      <c r="K392" s="1532"/>
      <c r="L392" s="1532"/>
      <c r="M392" s="1532"/>
      <c r="N392" s="1532"/>
      <c r="Q392" s="4" t="s">
        <v>205</v>
      </c>
      <c r="S392" s="1519"/>
      <c r="T392" s="1519"/>
      <c r="U392" s="1519"/>
      <c r="V392" t="s">
        <v>73</v>
      </c>
      <c r="AI392" s="1492" t="s">
        <v>669</v>
      </c>
      <c r="AJ392" s="1492"/>
    </row>
    <row r="393" spans="4:36" ht="12.95" customHeight="1">
      <c r="D393" t="s">
        <v>309</v>
      </c>
      <c r="Q393" s="1533"/>
      <c r="R393" s="1533"/>
      <c r="S393" s="1533"/>
      <c r="T393" s="1533"/>
      <c r="U393" s="1533"/>
      <c r="V393" t="s">
        <v>310</v>
      </c>
      <c r="AG393" s="1507"/>
      <c r="AH393" s="1507"/>
      <c r="AI393" s="1507"/>
      <c r="AJ393" s="1507"/>
    </row>
    <row r="394" spans="4:36" ht="12.95" customHeight="1">
      <c r="D394" t="s">
        <v>311</v>
      </c>
      <c r="Q394" s="1578"/>
      <c r="R394" s="1578"/>
      <c r="S394" s="1578"/>
      <c r="T394" s="1578"/>
      <c r="U394" s="1578"/>
      <c r="V394" t="s">
        <v>1163</v>
      </c>
      <c r="AG394" s="1507"/>
      <c r="AH394" s="1507"/>
      <c r="AI394" s="1507"/>
      <c r="AJ394" s="1507"/>
    </row>
    <row r="395" spans="4:36" ht="12.95" customHeight="1">
      <c r="D395" t="s">
        <v>1162</v>
      </c>
      <c r="AG395" s="1507"/>
      <c r="AH395" s="1507"/>
      <c r="AI395" s="1507"/>
      <c r="AJ395" s="1507"/>
    </row>
    <row r="396" spans="4:36" ht="12.95" customHeight="1">
      <c r="AG396" s="456"/>
      <c r="AH396" s="456"/>
      <c r="AI396" s="456"/>
      <c r="AJ396" s="456"/>
    </row>
    <row r="397" spans="4:36" ht="12.95" customHeight="1">
      <c r="D397" s="3" t="s">
        <v>2142</v>
      </c>
      <c r="AG397" s="456"/>
      <c r="AH397" s="456"/>
      <c r="AI397" s="1492" t="s">
        <v>669</v>
      </c>
      <c r="AJ397" s="1492"/>
    </row>
    <row r="398" spans="4:36" ht="12.95" customHeight="1">
      <c r="D398" s="3" t="s">
        <v>1667</v>
      </c>
      <c r="T398" s="1441"/>
      <c r="U398" s="1441"/>
      <c r="V398" s="1441"/>
      <c r="W398" s="1441"/>
      <c r="X398" s="1441"/>
      <c r="Y398" s="1441"/>
      <c r="Z398" s="1441"/>
      <c r="AA398" s="1441"/>
      <c r="AB398" s="1441"/>
      <c r="AC398" s="1441"/>
      <c r="AD398" s="1441"/>
      <c r="AE398" s="1441"/>
      <c r="AF398" s="1441"/>
      <c r="AG398" s="1441"/>
      <c r="AH398" s="1441"/>
      <c r="AI398" s="1441"/>
      <c r="AJ398" s="1441"/>
    </row>
    <row r="399" spans="4:36" ht="12.95" customHeight="1">
      <c r="D399" s="3" t="s">
        <v>1666</v>
      </c>
      <c r="T399" s="1441"/>
      <c r="U399" s="1441"/>
      <c r="V399" s="1441"/>
      <c r="W399" s="1441"/>
      <c r="X399" s="1441"/>
      <c r="Y399" s="1441"/>
      <c r="Z399" s="1441"/>
      <c r="AA399" s="1441"/>
      <c r="AB399" s="1441"/>
      <c r="AC399" s="1441"/>
      <c r="AD399" s="1441"/>
      <c r="AE399" s="1441"/>
      <c r="AF399" s="1441"/>
      <c r="AG399" s="1441"/>
      <c r="AH399" s="1441"/>
      <c r="AI399" s="1441"/>
      <c r="AJ399" s="1441"/>
    </row>
    <row r="400" spans="4:36" ht="12.95" customHeight="1">
      <c r="AG400" s="456"/>
      <c r="AH400" s="456"/>
      <c r="AI400" s="456"/>
      <c r="AJ400" s="456"/>
    </row>
    <row r="401" spans="1:36" ht="12.95" customHeight="1">
      <c r="D401" s="3" t="s">
        <v>1660</v>
      </c>
      <c r="S401" s="1441" t="s">
        <v>545</v>
      </c>
      <c r="T401" s="1441"/>
      <c r="U401" s="1441"/>
      <c r="V401" t="s">
        <v>1661</v>
      </c>
      <c r="AG401" s="1514">
        <v>18</v>
      </c>
      <c r="AH401" s="1514"/>
      <c r="AI401" s="1514"/>
      <c r="AJ401" s="1514"/>
    </row>
    <row r="402" spans="1:36" ht="12.95" customHeight="1">
      <c r="D402" s="3" t="s">
        <v>1658</v>
      </c>
      <c r="S402" s="1441" t="s">
        <v>545</v>
      </c>
      <c r="T402" s="1441"/>
      <c r="U402" s="1441"/>
      <c r="V402" t="s">
        <v>1663</v>
      </c>
      <c r="AE402" s="1521">
        <v>700000</v>
      </c>
      <c r="AF402" s="1521"/>
      <c r="AG402" s="1521"/>
      <c r="AH402" s="1521"/>
      <c r="AI402" s="1521"/>
      <c r="AJ402" s="1521"/>
    </row>
    <row r="403" spans="1:36" ht="12.95" customHeight="1">
      <c r="D403" s="3" t="s">
        <v>1659</v>
      </c>
      <c r="K403" s="1510"/>
      <c r="L403" s="1510"/>
      <c r="M403" s="1510"/>
      <c r="N403" s="1510"/>
      <c r="O403" s="1510"/>
      <c r="P403" s="1510"/>
      <c r="Q403" s="1510"/>
      <c r="R403" s="1510"/>
      <c r="S403" s="1510"/>
      <c r="T403" s="1510"/>
      <c r="U403" s="1510"/>
      <c r="V403" s="1510"/>
      <c r="W403" s="1510"/>
      <c r="X403" s="1510"/>
      <c r="Y403" s="1510"/>
      <c r="Z403" s="1510"/>
      <c r="AA403" s="1510"/>
      <c r="AB403" s="1510"/>
      <c r="AC403" s="1510"/>
      <c r="AD403" s="1510"/>
      <c r="AE403" s="1510"/>
      <c r="AF403" s="1510"/>
      <c r="AG403" s="1510"/>
      <c r="AH403" s="1510"/>
      <c r="AI403" s="1510"/>
      <c r="AJ403" s="1510"/>
    </row>
    <row r="404" spans="1:36" ht="12.95" customHeight="1">
      <c r="D404" s="3" t="s">
        <v>1662</v>
      </c>
      <c r="K404" s="1510" t="s">
        <v>2686</v>
      </c>
      <c r="L404" s="1510"/>
      <c r="M404" s="1510"/>
      <c r="N404" s="1510"/>
      <c r="O404" s="1510"/>
      <c r="P404" s="1510"/>
      <c r="Q404" s="1510"/>
      <c r="R404" s="1510"/>
      <c r="S404" s="1510"/>
      <c r="T404" s="1510"/>
      <c r="U404" s="1510"/>
      <c r="V404" s="1510"/>
      <c r="W404" s="1510"/>
      <c r="X404" s="1510"/>
      <c r="Y404" s="1510"/>
      <c r="Z404" s="1510"/>
      <c r="AA404" s="1510"/>
      <c r="AB404" s="1510"/>
      <c r="AC404" s="1510"/>
      <c r="AD404" s="1510"/>
      <c r="AE404" s="1510"/>
      <c r="AF404" s="1510"/>
      <c r="AG404" s="1510"/>
      <c r="AH404" s="1510"/>
      <c r="AI404" s="1510"/>
      <c r="AJ404" s="1510"/>
    </row>
    <row r="405" spans="1:36" ht="12.95" customHeight="1">
      <c r="D405" s="3" t="s">
        <v>1665</v>
      </c>
      <c r="E405" s="477"/>
      <c r="F405" s="477"/>
      <c r="G405" s="477"/>
      <c r="H405" s="477"/>
      <c r="I405" s="477"/>
      <c r="J405" s="477"/>
      <c r="K405" s="477"/>
      <c r="L405" s="477"/>
      <c r="M405" s="477"/>
      <c r="N405" s="477"/>
      <c r="O405" s="477"/>
      <c r="P405" s="477"/>
      <c r="Q405" s="477"/>
      <c r="R405" s="477"/>
      <c r="S405" s="1517" t="s">
        <v>2718</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81" t="s">
        <v>2659</v>
      </c>
      <c r="J410" s="1481"/>
      <c r="K410" s="1481"/>
      <c r="L410" s="1481"/>
      <c r="M410" s="1481"/>
      <c r="N410" s="1481"/>
      <c r="O410" s="1481"/>
      <c r="P410" s="1481"/>
      <c r="Q410" s="1481"/>
      <c r="R410" s="1481"/>
      <c r="S410" s="1481"/>
      <c r="T410" s="1481"/>
      <c r="U410" s="1481"/>
      <c r="V410" s="1481"/>
      <c r="W410" s="1481"/>
      <c r="X410" s="1481"/>
      <c r="Y410" s="1481"/>
      <c r="Z410" s="1481"/>
      <c r="AA410" s="1481"/>
      <c r="AB410" s="1481"/>
      <c r="AC410" s="1481"/>
      <c r="AD410" s="1481"/>
      <c r="AE410" s="1481"/>
    </row>
    <row r="411" spans="1:36" ht="12.95" customHeight="1">
      <c r="E411" t="s">
        <v>106</v>
      </c>
      <c r="R411" s="1492" t="s">
        <v>545</v>
      </c>
      <c r="S411" s="1492"/>
      <c r="AC411" s="27" t="s">
        <v>570</v>
      </c>
      <c r="AD411" s="1399">
        <v>7</v>
      </c>
      <c r="AE411" s="1399"/>
    </row>
    <row r="412" spans="1:36" ht="12.95" customHeight="1">
      <c r="E412" t="s">
        <v>107</v>
      </c>
      <c r="R412" s="1492" t="s">
        <v>591</v>
      </c>
      <c r="S412" s="1492"/>
      <c r="AC412" s="27" t="s">
        <v>570</v>
      </c>
      <c r="AD412" s="1399"/>
      <c r="AE412" s="1399"/>
    </row>
    <row r="413" spans="1:36" ht="12.95" customHeight="1">
      <c r="E413" t="s">
        <v>108</v>
      </c>
      <c r="S413" s="1492" t="s">
        <v>591</v>
      </c>
      <c r="T413" s="1492"/>
    </row>
    <row r="414" spans="1:36" ht="12.95" customHeight="1">
      <c r="E414" t="s">
        <v>169</v>
      </c>
      <c r="H414" s="1579" t="s">
        <v>333</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2.95"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2.95" customHeight="1"/>
    <row r="417" spans="1:39" ht="12.95" customHeight="1">
      <c r="A417" s="2" t="s">
        <v>590</v>
      </c>
      <c r="B417" s="2"/>
      <c r="C417" s="2"/>
      <c r="D417" s="2" t="s">
        <v>114</v>
      </c>
      <c r="AF417" s="2" t="s">
        <v>957</v>
      </c>
    </row>
    <row r="418" spans="1:39" ht="12.95" customHeight="1">
      <c r="E418" s="1506"/>
      <c r="F418" s="1506"/>
      <c r="G418" s="1506"/>
      <c r="H418" s="13" t="s">
        <v>115</v>
      </c>
      <c r="I418" s="1506"/>
      <c r="J418" s="1506"/>
      <c r="K418" s="1506"/>
      <c r="L418" t="s">
        <v>116</v>
      </c>
      <c r="N418" s="27" t="s">
        <v>575</v>
      </c>
      <c r="P418" s="1585">
        <f>120400.1/43560</f>
        <v>2.764005968778696</v>
      </c>
      <c r="Q418" s="1585"/>
      <c r="R418" s="1585"/>
      <c r="S418" t="s">
        <v>117</v>
      </c>
      <c r="W418" s="1516">
        <f>IF(E418&gt;0,(E418*I418),(P418*43560))</f>
        <v>120400.09999999999</v>
      </c>
      <c r="X418" s="1516"/>
      <c r="Y418" s="1516"/>
      <c r="Z418" t="s">
        <v>118</v>
      </c>
      <c r="AF418" s="1586">
        <f>IFERROR(IF(P418&gt;0,(AG437/P418),(AG437/(W418/43560))),0)</f>
        <v>114.32681534317663</v>
      </c>
      <c r="AG418" s="1586"/>
      <c r="AH418" s="1586"/>
      <c r="AM418" s="3"/>
    </row>
    <row r="419" spans="1:39" ht="12.95" customHeight="1">
      <c r="E419" t="s">
        <v>51</v>
      </c>
    </row>
    <row r="420" spans="1:39" ht="12.95"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2.95" customHeight="1">
      <c r="E421" s="118" t="s">
        <v>1736</v>
      </c>
      <c r="F421" s="1013"/>
      <c r="G421" s="1013"/>
      <c r="H421" s="1013"/>
      <c r="I421" s="1515">
        <v>2.76</v>
      </c>
      <c r="J421" s="1515"/>
      <c r="K421" s="1515"/>
      <c r="L421" s="1013"/>
      <c r="M421" s="118"/>
      <c r="N421" s="1013"/>
      <c r="O421" s="1013"/>
      <c r="P421" s="1837">
        <f>(DU755+DU778+DU800)/I421</f>
        <v>210.1449275362319</v>
      </c>
      <c r="Q421" s="1837"/>
      <c r="R421" s="1837"/>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92">
        <v>1</v>
      </c>
      <c r="Q424" s="1492"/>
      <c r="S424" t="s">
        <v>188</v>
      </c>
      <c r="AE424" s="1492">
        <v>1</v>
      </c>
      <c r="AF424" s="1492"/>
    </row>
    <row r="425" spans="1:39" ht="12.95" customHeight="1">
      <c r="E425" t="s">
        <v>189</v>
      </c>
      <c r="P425" s="1492">
        <v>0</v>
      </c>
      <c r="Q425" s="1492"/>
      <c r="S425" t="s">
        <v>131</v>
      </c>
      <c r="AE425" s="1492" t="s">
        <v>591</v>
      </c>
      <c r="AF425" s="1492"/>
    </row>
    <row r="426" spans="1:39" ht="12.95" customHeight="1">
      <c r="F426" s="28" t="s">
        <v>132</v>
      </c>
    </row>
    <row r="427" spans="1:39" ht="12.95" customHeight="1">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row>
    <row r="428" spans="1:39" ht="12.95" customHeight="1">
      <c r="F428" s="1537"/>
      <c r="G428" s="1537"/>
      <c r="H428" s="1537"/>
      <c r="I428" s="1537"/>
      <c r="J428" s="1537"/>
      <c r="K428" s="1537"/>
      <c r="L428" s="1537"/>
      <c r="M428" s="1537"/>
      <c r="N428" s="1537"/>
      <c r="O428" s="1537"/>
      <c r="P428" s="1537"/>
      <c r="Q428" s="1537"/>
      <c r="R428" s="1537"/>
      <c r="S428" s="1537"/>
      <c r="T428" s="1537"/>
      <c r="U428" s="1537"/>
      <c r="V428" s="1537"/>
      <c r="W428" s="1537"/>
      <c r="X428" s="1537"/>
      <c r="Y428" s="1537"/>
      <c r="Z428" s="1537"/>
      <c r="AA428" s="1537"/>
      <c r="AB428" s="1537"/>
      <c r="AC428" s="1537"/>
      <c r="AD428" s="1537"/>
      <c r="AE428" s="1537"/>
      <c r="AF428" s="1537"/>
      <c r="AG428" s="1537"/>
      <c r="AH428" s="1537"/>
    </row>
    <row r="429" spans="1:39" ht="12.95" customHeight="1">
      <c r="E429" t="s">
        <v>608</v>
      </c>
      <c r="P429" s="1"/>
      <c r="Q429" s="1492" t="s">
        <v>545</v>
      </c>
      <c r="R429" s="1492"/>
    </row>
    <row r="430" spans="1:39" ht="12.95" customHeight="1">
      <c r="F430" t="s">
        <v>609</v>
      </c>
      <c r="P430" s="1"/>
      <c r="Q430" s="1"/>
      <c r="AF430" s="1492" t="s">
        <v>591</v>
      </c>
      <c r="AG430" s="1527"/>
    </row>
    <row r="431" spans="1:39" ht="12.95" customHeight="1"/>
    <row r="432" spans="1:39" ht="12.95" customHeight="1">
      <c r="A432" s="2"/>
      <c r="B432" s="2"/>
      <c r="C432" s="2"/>
      <c r="E432" s="4" t="s">
        <v>307</v>
      </c>
      <c r="Z432" s="1492" t="s">
        <v>669</v>
      </c>
      <c r="AA432" s="149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92" t="s">
        <v>591</v>
      </c>
      <c r="AA434" s="1492"/>
    </row>
    <row r="435" spans="1:55" ht="12.95" customHeight="1"/>
    <row r="436" spans="1:55" ht="12.95" customHeight="1">
      <c r="A436" s="2" t="s">
        <v>467</v>
      </c>
      <c r="B436" s="2"/>
      <c r="C436" s="2"/>
      <c r="D436" s="2" t="s">
        <v>764</v>
      </c>
      <c r="AF436" s="48"/>
    </row>
    <row r="437" spans="1:55" ht="12.95" customHeight="1">
      <c r="D437" s="1524" t="s">
        <v>43</v>
      </c>
      <c r="E437" s="1525"/>
      <c r="F437" s="1525"/>
      <c r="G437" s="1525"/>
      <c r="H437" s="1525"/>
      <c r="I437" s="1525"/>
      <c r="J437" s="1525"/>
      <c r="K437" s="1525"/>
      <c r="L437" s="1525"/>
      <c r="M437" s="1525"/>
      <c r="N437" s="1525"/>
      <c r="O437" s="1525"/>
      <c r="P437" s="1525"/>
      <c r="Q437" s="1525"/>
      <c r="R437" s="1525"/>
      <c r="S437" s="1525"/>
      <c r="T437" s="1525"/>
      <c r="U437" s="1525"/>
      <c r="V437" s="1525"/>
      <c r="W437" s="1525"/>
      <c r="X437" s="1525"/>
      <c r="Y437" s="1525"/>
      <c r="Z437" s="1525"/>
      <c r="AA437" s="1525"/>
      <c r="AB437" s="1525"/>
      <c r="AC437" s="1525"/>
      <c r="AD437" s="1525"/>
      <c r="AE437" s="1525"/>
      <c r="AF437" s="1526"/>
      <c r="AG437" s="1394">
        <v>316</v>
      </c>
      <c r="AH437" s="1394"/>
      <c r="AI437" s="1394"/>
      <c r="AJ437" s="1394"/>
    </row>
    <row r="438" spans="1:55" ht="12.95" customHeight="1">
      <c r="D438" s="1446" t="s">
        <v>1222</v>
      </c>
      <c r="E438" s="1447"/>
      <c r="F438" s="1447"/>
      <c r="G438" s="1447"/>
      <c r="H438" s="1447"/>
      <c r="I438" s="1447"/>
      <c r="J438" s="1447"/>
      <c r="K438" s="1447"/>
      <c r="L438" s="1447"/>
      <c r="M438" s="1447"/>
      <c r="N438" s="1447"/>
      <c r="O438" s="1447"/>
      <c r="P438" s="1447"/>
      <c r="Q438" s="1447"/>
      <c r="R438" s="1447"/>
      <c r="S438" s="1447"/>
      <c r="T438" s="1447"/>
      <c r="U438" s="1447"/>
      <c r="V438" s="1447"/>
      <c r="W438" s="1447"/>
      <c r="X438" s="1447"/>
      <c r="Y438" s="1447"/>
      <c r="Z438" s="1447"/>
      <c r="AA438" s="1447"/>
      <c r="AB438" s="1447"/>
      <c r="AC438" s="1447"/>
      <c r="AD438" s="1447"/>
      <c r="AE438" s="1447"/>
      <c r="AF438" s="1448"/>
      <c r="AG438" s="1438">
        <v>0</v>
      </c>
      <c r="AH438" s="1439"/>
      <c r="AI438" s="1439"/>
      <c r="AJ438" s="1439"/>
    </row>
    <row r="439" spans="1:55" ht="12.95" customHeight="1">
      <c r="D439" s="1446" t="s">
        <v>1031</v>
      </c>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8"/>
      <c r="AG439" s="1394">
        <v>314</v>
      </c>
      <c r="AH439" s="1394"/>
      <c r="AI439" s="1394"/>
      <c r="AJ439" s="1394"/>
    </row>
    <row r="440" spans="1:55" ht="12.95" customHeight="1">
      <c r="D440" s="1446" t="s">
        <v>1032</v>
      </c>
      <c r="E440" s="1447"/>
      <c r="F440" s="1447"/>
      <c r="G440" s="1447"/>
      <c r="H440" s="1447"/>
      <c r="I440" s="1447"/>
      <c r="J440" s="1447"/>
      <c r="K440" s="1447"/>
      <c r="L440" s="1447"/>
      <c r="M440" s="1447"/>
      <c r="N440" s="1447"/>
      <c r="O440" s="1447"/>
      <c r="P440" s="1447"/>
      <c r="Q440" s="1447"/>
      <c r="R440" s="1447"/>
      <c r="S440" s="1447"/>
      <c r="T440" s="1447"/>
      <c r="U440" s="1447"/>
      <c r="V440" s="1447"/>
      <c r="W440" s="1447"/>
      <c r="X440" s="1447"/>
      <c r="Y440" s="1447"/>
      <c r="Z440" s="1447"/>
      <c r="AA440" s="1447"/>
      <c r="AB440" s="1447"/>
      <c r="AC440" s="1447"/>
      <c r="AD440" s="1447"/>
      <c r="AE440" s="1447"/>
      <c r="AF440" s="1448"/>
      <c r="AG440" s="1394">
        <v>314</v>
      </c>
      <c r="AH440" s="1394"/>
      <c r="AI440" s="1394"/>
      <c r="AJ440" s="1394"/>
    </row>
    <row r="441" spans="1:55" ht="12.95" customHeight="1">
      <c r="D441" s="1446" t="s">
        <v>1034</v>
      </c>
      <c r="E441" s="1447"/>
      <c r="F441" s="1447"/>
      <c r="G441" s="1447"/>
      <c r="H441" s="1447"/>
      <c r="I441" s="1447"/>
      <c r="J441" s="1447"/>
      <c r="K441" s="1447"/>
      <c r="L441" s="1447"/>
      <c r="M441" s="1447"/>
      <c r="N441" s="1447"/>
      <c r="O441" s="1447"/>
      <c r="P441" s="1447"/>
      <c r="Q441" s="1447"/>
      <c r="R441" s="1447"/>
      <c r="S441" s="1447"/>
      <c r="T441" s="1447"/>
      <c r="U441" s="1447"/>
      <c r="V441" s="1447"/>
      <c r="W441" s="1447"/>
      <c r="X441" s="1447"/>
      <c r="Y441" s="1447"/>
      <c r="Z441" s="1447"/>
      <c r="AA441" s="1447"/>
      <c r="AB441" s="1447"/>
      <c r="AC441" s="1447"/>
      <c r="AD441" s="1447"/>
      <c r="AE441" s="1447"/>
      <c r="AF441" s="1448"/>
      <c r="AG441" s="1445">
        <f>IF(ISERROR(AG440/AG439),0,AG440/AG439)</f>
        <v>1</v>
      </c>
      <c r="AH441" s="1445"/>
      <c r="AI441" s="1445"/>
      <c r="AJ441" s="1445"/>
    </row>
    <row r="442" spans="1:55" ht="12.95" customHeight="1">
      <c r="D442" s="1446" t="s">
        <v>1033</v>
      </c>
      <c r="E442" s="1447"/>
      <c r="F442" s="1447"/>
      <c r="G442" s="1447"/>
      <c r="H442" s="1447"/>
      <c r="I442" s="1447"/>
      <c r="J442" s="1447"/>
      <c r="K442" s="1447"/>
      <c r="L442" s="1447"/>
      <c r="M442" s="1447"/>
      <c r="N442" s="1447"/>
      <c r="O442" s="1447"/>
      <c r="P442" s="1447"/>
      <c r="Q442" s="1447"/>
      <c r="R442" s="1447"/>
      <c r="S442" s="1447"/>
      <c r="T442" s="1447"/>
      <c r="U442" s="1447"/>
      <c r="V442" s="1447"/>
      <c r="W442" s="1447"/>
      <c r="X442" s="1447"/>
      <c r="Y442" s="1447"/>
      <c r="Z442" s="1447"/>
      <c r="AA442" s="1447"/>
      <c r="AB442" s="1447"/>
      <c r="AC442" s="1447"/>
      <c r="AD442" s="1447"/>
      <c r="AE442" s="1447"/>
      <c r="AF442" s="1448"/>
      <c r="AG442" s="1444">
        <f>(56228*4)+55966+16369</f>
        <v>297247</v>
      </c>
      <c r="AH442" s="1444"/>
      <c r="AI442" s="1444"/>
      <c r="AJ442" s="1444"/>
    </row>
    <row r="443" spans="1:55" ht="12.95" customHeight="1">
      <c r="D443" s="1446" t="s">
        <v>1035</v>
      </c>
      <c r="E443" s="1447"/>
      <c r="F443" s="1447"/>
      <c r="G443" s="1447"/>
      <c r="H443" s="1447"/>
      <c r="I443" s="1447"/>
      <c r="J443" s="1447"/>
      <c r="K443" s="1447"/>
      <c r="L443" s="1447"/>
      <c r="M443" s="1447"/>
      <c r="N443" s="1447"/>
      <c r="O443" s="1447"/>
      <c r="P443" s="1447"/>
      <c r="Q443" s="1447"/>
      <c r="R443" s="1447"/>
      <c r="S443" s="1447"/>
      <c r="T443" s="1447"/>
      <c r="U443" s="1447"/>
      <c r="V443" s="1447"/>
      <c r="W443" s="1447"/>
      <c r="X443" s="1447"/>
      <c r="Y443" s="1447"/>
      <c r="Z443" s="1447"/>
      <c r="AA443" s="1447"/>
      <c r="AB443" s="1447"/>
      <c r="AC443" s="1447"/>
      <c r="AD443" s="1447"/>
      <c r="AE443" s="1447"/>
      <c r="AF443" s="1448"/>
      <c r="AG443" s="1444">
        <v>297247</v>
      </c>
      <c r="AH443" s="1444"/>
      <c r="AI443" s="1444"/>
      <c r="AJ443" s="1444"/>
    </row>
    <row r="444" spans="1:55" ht="12.95" customHeight="1">
      <c r="D444" s="1446" t="s">
        <v>1036</v>
      </c>
      <c r="E444" s="1447"/>
      <c r="F444" s="1447"/>
      <c r="G444" s="1447"/>
      <c r="H444" s="1447"/>
      <c r="I444" s="1447"/>
      <c r="J444" s="1447"/>
      <c r="K444" s="1447"/>
      <c r="L444" s="1447"/>
      <c r="M444" s="1447"/>
      <c r="N444" s="1447"/>
      <c r="O444" s="1447"/>
      <c r="P444" s="1447"/>
      <c r="Q444" s="1447"/>
      <c r="R444" s="1447"/>
      <c r="S444" s="1447"/>
      <c r="T444" s="1447"/>
      <c r="U444" s="1447"/>
      <c r="V444" s="1447"/>
      <c r="W444" s="1447"/>
      <c r="X444" s="1447"/>
      <c r="Y444" s="1447"/>
      <c r="Z444" s="1447"/>
      <c r="AA444" s="1447"/>
      <c r="AB444" s="1447"/>
      <c r="AC444" s="1447"/>
      <c r="AD444" s="1447"/>
      <c r="AE444" s="1447"/>
      <c r="AF444" s="1448"/>
      <c r="AG444" s="1445">
        <f>IF(ISERROR(AG443/AG442),0,AG443/AG442)</f>
        <v>1</v>
      </c>
      <c r="AH444" s="1445"/>
      <c r="AI444" s="1445"/>
      <c r="AJ444" s="1445"/>
    </row>
    <row r="445" spans="1:55" ht="12.95" customHeight="1">
      <c r="D445" s="1446" t="s">
        <v>1037</v>
      </c>
      <c r="E445" s="1447"/>
      <c r="F445" s="1447"/>
      <c r="G445" s="1447"/>
      <c r="H445" s="1447"/>
      <c r="I445" s="1447"/>
      <c r="J445" s="1447"/>
      <c r="K445" s="1447"/>
      <c r="L445" s="1447"/>
      <c r="M445" s="1447"/>
      <c r="N445" s="1447"/>
      <c r="O445" s="1447"/>
      <c r="P445" s="1447"/>
      <c r="Q445" s="1447"/>
      <c r="R445" s="1447"/>
      <c r="S445" s="1447"/>
      <c r="T445" s="1447"/>
      <c r="U445" s="1447"/>
      <c r="V445" s="1447"/>
      <c r="W445" s="1447"/>
      <c r="X445" s="1447"/>
      <c r="Y445" s="1447"/>
      <c r="Z445" s="1447"/>
      <c r="AA445" s="1447"/>
      <c r="AB445" s="1447"/>
      <c r="AC445" s="1447"/>
      <c r="AD445" s="1447"/>
      <c r="AE445" s="1447"/>
      <c r="AF445" s="1448"/>
      <c r="AG445" s="1445">
        <f>MIN(IF(AG441&gt;AG444,AG444,AG441),1)</f>
        <v>1</v>
      </c>
      <c r="AH445" s="1445"/>
      <c r="AI445" s="1445"/>
      <c r="AJ445" s="1445"/>
    </row>
    <row r="446" spans="1:55" ht="12.95" customHeight="1">
      <c r="D446" s="1446" t="s">
        <v>2087</v>
      </c>
      <c r="E446" s="1525"/>
      <c r="F446" s="1525"/>
      <c r="G446" s="1525"/>
      <c r="H446" s="1525"/>
      <c r="I446" s="1525"/>
      <c r="J446" s="1525"/>
      <c r="K446" s="1525"/>
      <c r="L446" s="1525"/>
      <c r="M446" s="1525"/>
      <c r="N446" s="1525"/>
      <c r="O446" s="1525"/>
      <c r="P446" s="1525"/>
      <c r="Q446" s="1525"/>
      <c r="R446" s="1525"/>
      <c r="S446" s="1525"/>
      <c r="T446" s="1525"/>
      <c r="U446" s="1525"/>
      <c r="V446" s="1525"/>
      <c r="W446" s="1525"/>
      <c r="X446" s="1525"/>
      <c r="Y446" s="1525"/>
      <c r="Z446" s="1525"/>
      <c r="AA446" s="1525"/>
      <c r="AB446" s="1525"/>
      <c r="AC446" s="1525"/>
      <c r="AD446" s="1525"/>
      <c r="AE446" s="1525"/>
      <c r="AF446" s="1526"/>
      <c r="AG446" s="1444">
        <f>5207+2107+1069</f>
        <v>8383</v>
      </c>
      <c r="AH446" s="1444"/>
      <c r="AI446" s="1444"/>
      <c r="AJ446" s="1444"/>
      <c r="AZ446" s="34"/>
      <c r="BA446" s="34"/>
      <c r="BB446" s="34"/>
      <c r="BC446" s="34"/>
    </row>
    <row r="447" spans="1:55" ht="12.95" customHeight="1">
      <c r="D447" s="1524" t="s">
        <v>569</v>
      </c>
      <c r="E447" s="1525"/>
      <c r="F447" s="1525"/>
      <c r="G447" s="1525"/>
      <c r="H447" s="1525"/>
      <c r="I447" s="1525"/>
      <c r="J447" s="1525"/>
      <c r="K447" s="1525"/>
      <c r="L447" s="1525"/>
      <c r="M447" s="1525"/>
      <c r="N447" s="1525"/>
      <c r="O447" s="1525"/>
      <c r="P447" s="1525"/>
      <c r="Q447" s="1525"/>
      <c r="R447" s="1525"/>
      <c r="S447" s="1525"/>
      <c r="T447" s="1525"/>
      <c r="U447" s="1525"/>
      <c r="V447" s="1525"/>
      <c r="W447" s="1525"/>
      <c r="X447" s="1525"/>
      <c r="Y447" s="1525"/>
      <c r="Z447" s="1525"/>
      <c r="AA447" s="1525"/>
      <c r="AB447" s="1525"/>
      <c r="AC447" s="1525"/>
      <c r="AD447" s="1525"/>
      <c r="AE447" s="1525"/>
      <c r="AF447" s="1526"/>
      <c r="AG447" s="1444">
        <v>0</v>
      </c>
      <c r="AH447" s="1444"/>
      <c r="AI447" s="1444"/>
      <c r="AJ447" s="1444"/>
      <c r="AZ447" s="3"/>
      <c r="BA447" s="3"/>
      <c r="BB447" s="3"/>
      <c r="BC447" s="3"/>
    </row>
    <row r="448" spans="1:55" ht="12.95" customHeight="1">
      <c r="D448" s="1446" t="s">
        <v>1205</v>
      </c>
      <c r="E448" s="1525"/>
      <c r="F448" s="1525"/>
      <c r="G448" s="1525"/>
      <c r="H448" s="1525"/>
      <c r="I448" s="1525"/>
      <c r="J448" s="1525"/>
      <c r="K448" s="1525"/>
      <c r="L448" s="1525"/>
      <c r="M448" s="1525"/>
      <c r="N448" s="1525"/>
      <c r="O448" s="1525"/>
      <c r="P448" s="1525"/>
      <c r="Q448" s="1525"/>
      <c r="R448" s="1525"/>
      <c r="S448" s="1525"/>
      <c r="T448" s="1525"/>
      <c r="U448" s="1525"/>
      <c r="V448" s="1525"/>
      <c r="W448" s="1525"/>
      <c r="X448" s="1525"/>
      <c r="Y448" s="1525"/>
      <c r="Z448" s="1525"/>
      <c r="AA448" s="1525"/>
      <c r="AB448" s="1525"/>
      <c r="AC448" s="1525"/>
      <c r="AD448" s="1525"/>
      <c r="AE448" s="1525"/>
      <c r="AF448" s="1526"/>
      <c r="AG448" s="1444">
        <f>31570+755+755</f>
        <v>33080</v>
      </c>
      <c r="AH448" s="1444"/>
      <c r="AI448" s="1444"/>
      <c r="AJ448" s="1444"/>
      <c r="AZ448" s="3"/>
      <c r="BA448" s="3"/>
      <c r="BB448" s="3"/>
      <c r="BC448" s="3"/>
    </row>
    <row r="449" spans="1:55" ht="12.95" customHeight="1">
      <c r="D449" s="1446" t="s">
        <v>1038</v>
      </c>
      <c r="E449" s="1525"/>
      <c r="F449" s="1525"/>
      <c r="G449" s="1525"/>
      <c r="H449" s="1525"/>
      <c r="I449" s="1525"/>
      <c r="J449" s="1525"/>
      <c r="K449" s="1525"/>
      <c r="L449" s="1525"/>
      <c r="M449" s="1525"/>
      <c r="N449" s="1525"/>
      <c r="O449" s="1525"/>
      <c r="P449" s="1525"/>
      <c r="Q449" s="1525"/>
      <c r="R449" s="1525"/>
      <c r="S449" s="1525"/>
      <c r="T449" s="1525"/>
      <c r="U449" s="1525"/>
      <c r="V449" s="1525"/>
      <c r="W449" s="1525"/>
      <c r="X449" s="1525"/>
      <c r="Y449" s="1525"/>
      <c r="Z449" s="1525"/>
      <c r="AA449" s="1525"/>
      <c r="AB449" s="1525"/>
      <c r="AC449" s="1525"/>
      <c r="AD449" s="1525"/>
      <c r="AE449" s="1525"/>
      <c r="AF449" s="1526"/>
      <c r="AG449" s="1444">
        <f>71871+68306</f>
        <v>140177</v>
      </c>
      <c r="AH449" s="1444"/>
      <c r="AI449" s="1444"/>
      <c r="AJ449" s="1444"/>
      <c r="BB449" s="3"/>
      <c r="BC449" s="3"/>
    </row>
    <row r="450" spans="1:55" ht="12.95" customHeight="1">
      <c r="D450" s="1575" t="s">
        <v>1039</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49">
        <f>AG442+AG446+AG448+AG449</f>
        <v>478887</v>
      </c>
      <c r="AH450" s="1449"/>
      <c r="AI450" s="1449"/>
      <c r="AJ450" s="1449"/>
      <c r="AZ450" s="3"/>
      <c r="BA450" s="3"/>
      <c r="BB450" s="3"/>
      <c r="BC450" s="3"/>
    </row>
    <row r="451" spans="1:55" ht="12.95" customHeight="1">
      <c r="D451" s="1596" t="s">
        <v>1206</v>
      </c>
      <c r="E451" s="1596"/>
      <c r="F451" s="1596"/>
      <c r="G451" s="1596"/>
      <c r="H451" s="1596"/>
      <c r="I451" s="1596"/>
      <c r="J451" s="1596"/>
      <c r="K451" s="1596"/>
      <c r="L451" s="1596"/>
      <c r="M451" s="1596"/>
      <c r="N451" s="1596"/>
      <c r="O451" s="1596"/>
      <c r="P451" s="1596"/>
      <c r="Q451" s="1596"/>
      <c r="R451" s="1596"/>
      <c r="S451" s="1596"/>
      <c r="T451" s="1596"/>
      <c r="U451" s="1596"/>
      <c r="V451" s="1596"/>
      <c r="W451" s="1596"/>
      <c r="X451" s="1596"/>
      <c r="Y451" s="1596"/>
      <c r="Z451" s="1596"/>
      <c r="AA451" s="1596"/>
      <c r="AB451" s="1596"/>
      <c r="AC451" s="1596"/>
      <c r="AD451" s="1596"/>
      <c r="AE451" s="1596"/>
      <c r="AF451" s="1596"/>
      <c r="AG451" s="1596"/>
      <c r="AH451" s="1596"/>
      <c r="AI451" s="1596"/>
      <c r="AJ451" s="1596"/>
      <c r="AZ451" s="3"/>
      <c r="BA451" s="3"/>
      <c r="BB451" s="3"/>
      <c r="BC451" s="3"/>
    </row>
    <row r="452" spans="1:55" ht="12.95" customHeight="1">
      <c r="D452" s="1597"/>
      <c r="E452" s="1597"/>
      <c r="F452" s="1597"/>
      <c r="G452" s="1597"/>
      <c r="H452" s="1597"/>
      <c r="I452" s="1597"/>
      <c r="J452" s="1597"/>
      <c r="K452" s="1597"/>
      <c r="L452" s="1597"/>
      <c r="M452" s="1597"/>
      <c r="N452" s="1597"/>
      <c r="O452" s="1597"/>
      <c r="P452" s="1597"/>
      <c r="Q452" s="1597"/>
      <c r="R452" s="1597"/>
      <c r="S452" s="1597"/>
      <c r="T452" s="1597"/>
      <c r="U452" s="1597"/>
      <c r="V452" s="1597"/>
      <c r="W452" s="1597"/>
      <c r="X452" s="1597"/>
      <c r="Y452" s="1597"/>
      <c r="Z452" s="1597"/>
      <c r="AA452" s="1597"/>
      <c r="AB452" s="1597"/>
      <c r="AC452" s="1597"/>
      <c r="AD452" s="1597"/>
      <c r="AE452" s="1597"/>
      <c r="AF452" s="1597"/>
      <c r="AG452" s="1597"/>
      <c r="AH452" s="1597"/>
      <c r="AI452" s="1597"/>
      <c r="AJ452" s="159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82">
        <f>IF(AG437=0,"",'Sources and Uses Budget'!B105/Application!AG437)</f>
        <v>504297.78481012658</v>
      </c>
      <c r="AD454" s="1382"/>
      <c r="AE454" s="1382"/>
      <c r="AF454" s="1382"/>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82">
        <f>IF(AG437=0,"",'Sources and Uses Budget'!C105/Application!AG437)</f>
        <v>504297.78481012658</v>
      </c>
      <c r="AD455" s="1382"/>
      <c r="AE455" s="1382"/>
      <c r="AF455" s="1382"/>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82">
        <f>IF(AG437=0,"",('Sources and Uses Budget'!$S$107+'Sources and Uses Budget'!$T$107)/Application!AG437)</f>
        <v>498376.89873417723</v>
      </c>
      <c r="AD456" s="1382"/>
      <c r="AE456" s="1382"/>
      <c r="AF456" s="1382"/>
      <c r="AG456" s="177"/>
      <c r="AH456" s="177"/>
      <c r="AI456" s="177"/>
      <c r="AJ456" s="183"/>
      <c r="AZ456" s="3"/>
      <c r="BA456" s="3"/>
      <c r="BB456" s="3"/>
      <c r="BC456" s="3"/>
    </row>
    <row r="457" spans="1:55" ht="12.95" customHeight="1">
      <c r="D457" s="177"/>
      <c r="E457" s="177"/>
      <c r="F457" s="1383" t="str">
        <f>IFERROR(IF(AC454&gt;650000,"Please provide a justification of cost per unit in Tab 12 for all projects with per unit costs of greater than $650,000.",""),"")</f>
        <v/>
      </c>
      <c r="G457" s="1383"/>
      <c r="H457" s="1383"/>
      <c r="I457" s="1383"/>
      <c r="J457" s="1383"/>
      <c r="K457" s="1383"/>
      <c r="L457" s="1383"/>
      <c r="M457" s="1383"/>
      <c r="N457" s="1383"/>
      <c r="O457" s="1383"/>
      <c r="P457" s="1383"/>
      <c r="Q457" s="1383"/>
      <c r="R457" s="1383"/>
      <c r="S457" s="1383"/>
      <c r="T457" s="1383"/>
      <c r="U457" s="1383"/>
      <c r="V457" s="1383"/>
      <c r="W457" s="1383"/>
      <c r="X457" s="1383"/>
      <c r="Y457" s="1383"/>
      <c r="Z457" s="1383"/>
      <c r="AA457" s="1383"/>
      <c r="AB457" s="1383"/>
      <c r="AC457" s="515"/>
      <c r="AD457" s="177"/>
      <c r="AE457" s="177"/>
      <c r="AF457" s="177"/>
      <c r="AG457" s="177"/>
      <c r="AH457" s="177"/>
      <c r="AI457" s="177"/>
      <c r="AJ457" s="183"/>
      <c r="AZ457" s="3"/>
      <c r="BA457" s="3"/>
      <c r="BB457" s="3"/>
      <c r="BC457" s="3"/>
    </row>
    <row r="458" spans="1:55" ht="12.95" customHeight="1">
      <c r="A458" s="2"/>
      <c r="D458" s="2"/>
      <c r="E458" s="177"/>
      <c r="F458" s="1383"/>
      <c r="G458" s="1383"/>
      <c r="H458" s="1383"/>
      <c r="I458" s="1383"/>
      <c r="J458" s="1383"/>
      <c r="K458" s="1383"/>
      <c r="L458" s="1383"/>
      <c r="M458" s="1383"/>
      <c r="N458" s="1383"/>
      <c r="O458" s="1383"/>
      <c r="P458" s="1383"/>
      <c r="Q458" s="1383"/>
      <c r="R458" s="1383"/>
      <c r="S458" s="1383"/>
      <c r="T458" s="1383"/>
      <c r="U458" s="1383"/>
      <c r="V458" s="1383"/>
      <c r="W458" s="1383"/>
      <c r="X458" s="1383"/>
      <c r="Y458" s="1383"/>
      <c r="Z458" s="1383"/>
      <c r="AA458" s="1383"/>
      <c r="AB458" s="1383"/>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93" t="s">
        <v>2099</v>
      </c>
      <c r="E465" s="1385"/>
      <c r="F465" s="1385"/>
      <c r="G465" s="1385"/>
      <c r="H465" s="1385"/>
      <c r="I465" s="1385"/>
      <c r="J465" s="1385"/>
      <c r="K465" s="1385"/>
      <c r="L465" s="1385"/>
      <c r="M465" s="1385"/>
      <c r="N465" s="1385"/>
      <c r="O465" s="1385"/>
      <c r="P465" s="1385"/>
      <c r="Q465" s="1385"/>
      <c r="R465" s="1385"/>
      <c r="S465" s="1385"/>
      <c r="T465" s="1385"/>
      <c r="U465" s="1385"/>
      <c r="V465" s="1386"/>
      <c r="W465" s="1400">
        <v>0</v>
      </c>
      <c r="X465" s="1401"/>
      <c r="Y465" s="1402"/>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84" t="s">
        <v>693</v>
      </c>
      <c r="E466" s="1385"/>
      <c r="F466" s="1385"/>
      <c r="G466" s="1385"/>
      <c r="H466" s="1385"/>
      <c r="I466" s="1385"/>
      <c r="J466" s="1385"/>
      <c r="K466" s="1385"/>
      <c r="L466" s="1385"/>
      <c r="M466" s="1385"/>
      <c r="N466" s="1385"/>
      <c r="O466" s="1385"/>
      <c r="P466" s="1385"/>
      <c r="Q466" s="1385"/>
      <c r="R466" s="1385"/>
      <c r="S466" s="1385"/>
      <c r="T466" s="1385"/>
      <c r="U466" s="1385"/>
      <c r="V466" s="1386"/>
      <c r="W466" s="1400">
        <v>0</v>
      </c>
      <c r="X466" s="1401"/>
      <c r="Y466" s="1402"/>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84" t="s">
        <v>694</v>
      </c>
      <c r="E467" s="1385"/>
      <c r="F467" s="1385"/>
      <c r="G467" s="1385"/>
      <c r="H467" s="1385"/>
      <c r="I467" s="1385"/>
      <c r="J467" s="1385"/>
      <c r="K467" s="1385"/>
      <c r="L467" s="1385"/>
      <c r="M467" s="1385"/>
      <c r="N467" s="1385"/>
      <c r="O467" s="1385"/>
      <c r="P467" s="1385"/>
      <c r="Q467" s="1385"/>
      <c r="R467" s="1385"/>
      <c r="S467" s="1385"/>
      <c r="T467" s="1385"/>
      <c r="U467" s="1385"/>
      <c r="V467" s="1386"/>
      <c r="W467" s="1400">
        <v>0</v>
      </c>
      <c r="X467" s="1401"/>
      <c r="Y467" s="1402"/>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84" t="s">
        <v>695</v>
      </c>
      <c r="E468" s="1385"/>
      <c r="F468" s="1385"/>
      <c r="G468" s="1385"/>
      <c r="H468" s="1385"/>
      <c r="I468" s="1385"/>
      <c r="J468" s="1385"/>
      <c r="K468" s="1385"/>
      <c r="L468" s="1385"/>
      <c r="M468" s="1385"/>
      <c r="N468" s="1385"/>
      <c r="O468" s="1385"/>
      <c r="P468" s="1385"/>
      <c r="Q468" s="1385"/>
      <c r="R468" s="1385"/>
      <c r="S468" s="1385"/>
      <c r="T468" s="1385"/>
      <c r="U468" s="1385"/>
      <c r="V468" s="1386"/>
      <c r="W468" s="1400">
        <v>0</v>
      </c>
      <c r="X468" s="1401"/>
      <c r="Y468" s="1402"/>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84" t="s">
        <v>881</v>
      </c>
      <c r="E469" s="1385"/>
      <c r="F469" s="1385"/>
      <c r="G469" s="1385"/>
      <c r="H469" s="1385"/>
      <c r="I469" s="1385"/>
      <c r="J469" s="1385"/>
      <c r="K469" s="1385"/>
      <c r="L469" s="1385"/>
      <c r="M469" s="1385"/>
      <c r="N469" s="1385"/>
      <c r="O469" s="1385"/>
      <c r="P469" s="1385"/>
      <c r="Q469" s="1385"/>
      <c r="R469" s="1385"/>
      <c r="S469" s="1385"/>
      <c r="T469" s="1385"/>
      <c r="U469" s="1385"/>
      <c r="V469" s="1386"/>
      <c r="W469" s="1400">
        <v>0</v>
      </c>
      <c r="X469" s="1401"/>
      <c r="Y469" s="1402"/>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84" t="s">
        <v>696</v>
      </c>
      <c r="E470" s="1385"/>
      <c r="F470" s="1385"/>
      <c r="G470" s="1385"/>
      <c r="H470" s="1385"/>
      <c r="I470" s="1385"/>
      <c r="J470" s="1385"/>
      <c r="K470" s="1385"/>
      <c r="L470" s="1385"/>
      <c r="M470" s="1385"/>
      <c r="N470" s="1385"/>
      <c r="O470" s="1385"/>
      <c r="P470" s="1385"/>
      <c r="Q470" s="1385"/>
      <c r="R470" s="1385"/>
      <c r="S470" s="1385"/>
      <c r="T470" s="1385"/>
      <c r="U470" s="1385"/>
      <c r="V470" s="1386"/>
      <c r="W470" s="1400">
        <v>0</v>
      </c>
      <c r="X470" s="1401"/>
      <c r="Y470" s="1402"/>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84" t="s">
        <v>1012</v>
      </c>
      <c r="E471" s="1385"/>
      <c r="F471" s="1385"/>
      <c r="G471" s="1385"/>
      <c r="H471" s="1385"/>
      <c r="I471" s="1385"/>
      <c r="J471" s="1385"/>
      <c r="K471" s="1385"/>
      <c r="L471" s="1385"/>
      <c r="M471" s="1385"/>
      <c r="N471" s="1385"/>
      <c r="O471" s="1385"/>
      <c r="P471" s="1385"/>
      <c r="Q471" s="1385"/>
      <c r="R471" s="1385"/>
      <c r="S471" s="1385"/>
      <c r="T471" s="1385"/>
      <c r="U471" s="1385"/>
      <c r="V471" s="1386"/>
      <c r="W471" s="1400">
        <v>0</v>
      </c>
      <c r="X471" s="1401"/>
      <c r="Y471" s="1402"/>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93" t="s">
        <v>2190</v>
      </c>
      <c r="E472" s="1403"/>
      <c r="F472" s="1403"/>
      <c r="G472" s="1403"/>
      <c r="H472" s="1403"/>
      <c r="I472" s="1403"/>
      <c r="J472" s="1403"/>
      <c r="K472" s="1403"/>
      <c r="L472" s="1403"/>
      <c r="M472" s="1403"/>
      <c r="N472" s="1403"/>
      <c r="O472" s="1403"/>
      <c r="P472" s="1403"/>
      <c r="Q472" s="1403"/>
      <c r="R472" s="1403"/>
      <c r="S472" s="1403"/>
      <c r="T472" s="1403"/>
      <c r="U472" s="1403"/>
      <c r="V472" s="1404"/>
      <c r="W472" s="1400">
        <v>0</v>
      </c>
      <c r="X472" s="1401"/>
      <c r="Y472" s="1402"/>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93" t="s">
        <v>1654</v>
      </c>
      <c r="E473" s="1385"/>
      <c r="F473" s="1385"/>
      <c r="G473" s="1385"/>
      <c r="H473" s="1385"/>
      <c r="I473" s="1385"/>
      <c r="J473" s="1385"/>
      <c r="K473" s="1385"/>
      <c r="L473" s="1385"/>
      <c r="M473" s="1385"/>
      <c r="N473" s="1385"/>
      <c r="O473" s="1385"/>
      <c r="P473" s="1385"/>
      <c r="Q473" s="1385"/>
      <c r="R473" s="1385"/>
      <c r="S473" s="1385"/>
      <c r="T473" s="1385"/>
      <c r="U473" s="1385"/>
      <c r="V473" s="1386"/>
      <c r="W473" s="1400">
        <v>49</v>
      </c>
      <c r="X473" s="1401"/>
      <c r="Y473" s="140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582" t="s">
        <v>2716</v>
      </c>
      <c r="H474" s="1583"/>
      <c r="I474" s="1583"/>
      <c r="J474" s="1583"/>
      <c r="K474" s="1583"/>
      <c r="L474" s="1583"/>
      <c r="M474" s="1583"/>
      <c r="N474" s="1583"/>
      <c r="O474" s="1583"/>
      <c r="P474" s="1583"/>
      <c r="Q474" s="1583"/>
      <c r="R474" s="1583"/>
      <c r="S474" s="1583"/>
      <c r="T474" s="1583"/>
      <c r="U474" s="1583"/>
      <c r="V474" s="1584"/>
      <c r="W474" s="1400">
        <v>265</v>
      </c>
      <c r="X474" s="1401"/>
      <c r="Y474" s="140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9" t="s">
        <v>810</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95" t="s">
        <v>392</v>
      </c>
      <c r="R485" s="1396"/>
      <c r="S485" s="1396"/>
      <c r="T485" s="1396"/>
      <c r="U485" s="1396"/>
      <c r="V485" s="1396"/>
      <c r="W485" s="1396"/>
      <c r="X485" s="1396"/>
      <c r="Y485" s="1396"/>
      <c r="Z485" s="1396"/>
      <c r="AA485" s="1396"/>
      <c r="AB485" s="1396"/>
      <c r="AC485" s="1396"/>
      <c r="AD485" s="1396"/>
      <c r="AE485" s="1396"/>
      <c r="AF485" s="1396"/>
      <c r="AG485" s="1396"/>
      <c r="AH485" s="1396"/>
      <c r="AI485" s="1396"/>
      <c r="AJ485" s="1396"/>
      <c r="AK485" s="1397"/>
      <c r="AZ485" s="3"/>
      <c r="BB485" s="3"/>
      <c r="BC485" s="3"/>
    </row>
    <row r="486" spans="1:55" ht="12.95" customHeight="1">
      <c r="B486" s="45" t="s">
        <v>393</v>
      </c>
      <c r="C486" s="5"/>
      <c r="D486" s="5"/>
      <c r="E486" s="5"/>
      <c r="F486" s="5"/>
      <c r="G486" s="5"/>
      <c r="H486" s="5"/>
      <c r="I486" s="5"/>
      <c r="J486" s="5"/>
      <c r="K486" s="5"/>
      <c r="L486" s="5"/>
      <c r="M486" s="5"/>
      <c r="N486" s="5"/>
      <c r="O486" s="5"/>
      <c r="P486" s="5"/>
      <c r="Q486" s="1437" t="s">
        <v>2687</v>
      </c>
      <c r="R486" s="1380"/>
      <c r="S486" s="1380"/>
      <c r="T486" s="1380"/>
      <c r="U486" s="1380"/>
      <c r="V486" s="1380"/>
      <c r="W486" s="1380"/>
      <c r="X486" s="1380"/>
      <c r="Y486" s="1380"/>
      <c r="Z486" s="1380"/>
      <c r="AA486" s="1380"/>
      <c r="AB486" s="1380"/>
      <c r="AC486" s="1380"/>
      <c r="AD486" s="1380"/>
      <c r="AE486" s="1380"/>
      <c r="AF486" s="1380"/>
      <c r="AG486" s="1380"/>
      <c r="AH486" s="1380"/>
      <c r="AI486" s="1380"/>
      <c r="AJ486" s="1380"/>
      <c r="AK486" s="1381"/>
      <c r="AZ486" s="3"/>
      <c r="BB486" s="3"/>
      <c r="BC486" s="3"/>
    </row>
    <row r="487" spans="1:55" ht="12.95" customHeight="1">
      <c r="B487" s="45" t="s">
        <v>394</v>
      </c>
      <c r="C487" s="5"/>
      <c r="D487" s="5"/>
      <c r="E487" s="5"/>
      <c r="F487" s="5"/>
      <c r="G487" s="5"/>
      <c r="H487" s="5"/>
      <c r="I487" s="5"/>
      <c r="J487" s="5"/>
      <c r="K487" s="5"/>
      <c r="L487" s="5"/>
      <c r="M487" s="5"/>
      <c r="N487" s="5"/>
      <c r="O487" s="5"/>
      <c r="P487" s="5"/>
      <c r="Q487" s="1437" t="s">
        <v>2688</v>
      </c>
      <c r="R487" s="1380"/>
      <c r="S487" s="1380"/>
      <c r="T487" s="1380"/>
      <c r="U487" s="1380"/>
      <c r="V487" s="1380"/>
      <c r="W487" s="1380"/>
      <c r="X487" s="1380"/>
      <c r="Y487" s="1380"/>
      <c r="Z487" s="1380"/>
      <c r="AA487" s="1380"/>
      <c r="AB487" s="1380"/>
      <c r="AC487" s="1380"/>
      <c r="AD487" s="1380"/>
      <c r="AE487" s="1380"/>
      <c r="AF487" s="1380"/>
      <c r="AG487" s="1380"/>
      <c r="AH487" s="1380"/>
      <c r="AI487" s="1380"/>
      <c r="AJ487" s="1380"/>
      <c r="AK487" s="1381"/>
      <c r="AZ487" s="3"/>
      <c r="BB487" s="3"/>
      <c r="BC487" s="3"/>
    </row>
    <row r="488" spans="1:55" ht="12.95" customHeight="1">
      <c r="B488" s="45" t="s">
        <v>395</v>
      </c>
      <c r="C488" s="5"/>
      <c r="D488" s="5"/>
      <c r="E488" s="5"/>
      <c r="F488" s="5"/>
      <c r="G488" s="5"/>
      <c r="H488" s="5"/>
      <c r="I488" s="5"/>
      <c r="J488" s="5"/>
      <c r="K488" s="5"/>
      <c r="L488" s="5"/>
      <c r="M488" s="5"/>
      <c r="N488" s="5"/>
      <c r="O488" s="5"/>
      <c r="P488" s="5"/>
      <c r="Q488" s="1437" t="s">
        <v>2689</v>
      </c>
      <c r="R488" s="1380"/>
      <c r="S488" s="1380"/>
      <c r="T488" s="1380"/>
      <c r="U488" s="1380"/>
      <c r="V488" s="1380"/>
      <c r="W488" s="1380"/>
      <c r="X488" s="1380"/>
      <c r="Y488" s="1380"/>
      <c r="Z488" s="1380"/>
      <c r="AA488" s="1380"/>
      <c r="AB488" s="1380"/>
      <c r="AC488" s="1380"/>
      <c r="AD488" s="1380"/>
      <c r="AE488" s="1380"/>
      <c r="AF488" s="1380"/>
      <c r="AG488" s="1380"/>
      <c r="AH488" s="1380"/>
      <c r="AI488" s="1380"/>
      <c r="AJ488" s="1380"/>
      <c r="AK488" s="1381"/>
      <c r="AZ488" s="3"/>
      <c r="BA488" s="3"/>
      <c r="BB488" s="3"/>
      <c r="BC488" s="3"/>
    </row>
    <row r="489" spans="1:55" ht="12.95" customHeight="1">
      <c r="B489" s="1427" t="s">
        <v>396</v>
      </c>
      <c r="C489" s="1428"/>
      <c r="D489" s="1428"/>
      <c r="E489" s="1428"/>
      <c r="F489" s="1428"/>
      <c r="G489" s="1428"/>
      <c r="H489" s="1428"/>
      <c r="I489" s="1428"/>
      <c r="J489" s="1428"/>
      <c r="K489" s="1428"/>
      <c r="L489" s="1428"/>
      <c r="M489" s="1428"/>
      <c r="N489" s="1428"/>
      <c r="O489" s="1428"/>
      <c r="P489" s="1429"/>
      <c r="Q489" s="1433" t="s">
        <v>545</v>
      </c>
      <c r="R489" s="1434"/>
      <c r="S489" s="1588" t="s">
        <v>2690</v>
      </c>
      <c r="T489" s="1589"/>
      <c r="U489" s="1589"/>
      <c r="V489" s="1589"/>
      <c r="W489" s="1589"/>
      <c r="X489" s="1589"/>
      <c r="Y489" s="1589"/>
      <c r="Z489" s="1589"/>
      <c r="AA489" s="1589"/>
      <c r="AB489" s="1589"/>
      <c r="AC489" s="1589"/>
      <c r="AD489" s="1589"/>
      <c r="AE489" s="1589"/>
      <c r="AF489" s="1589"/>
      <c r="AG489" s="1589"/>
      <c r="AH489" s="1589"/>
      <c r="AI489" s="1589"/>
      <c r="AJ489" s="1589"/>
      <c r="AK489" s="1590"/>
      <c r="AZ489" s="3"/>
      <c r="BA489" s="3"/>
      <c r="BB489" s="3"/>
      <c r="BC489" s="3"/>
    </row>
    <row r="490" spans="1:55" ht="12.95" customHeight="1">
      <c r="B490" s="1430"/>
      <c r="C490" s="1431"/>
      <c r="D490" s="1431"/>
      <c r="E490" s="1431"/>
      <c r="F490" s="1431"/>
      <c r="G490" s="1431"/>
      <c r="H490" s="1431"/>
      <c r="I490" s="1431"/>
      <c r="J490" s="1431"/>
      <c r="K490" s="1431"/>
      <c r="L490" s="1431"/>
      <c r="M490" s="1431"/>
      <c r="N490" s="1431"/>
      <c r="O490" s="1431"/>
      <c r="P490" s="1432"/>
      <c r="Q490" s="1435"/>
      <c r="R490" s="1436"/>
      <c r="S490" s="1591"/>
      <c r="T490" s="1537"/>
      <c r="U490" s="1537"/>
      <c r="V490" s="1537"/>
      <c r="W490" s="1537"/>
      <c r="X490" s="1537"/>
      <c r="Y490" s="1537"/>
      <c r="Z490" s="1537"/>
      <c r="AA490" s="1537"/>
      <c r="AB490" s="1537"/>
      <c r="AC490" s="1537"/>
      <c r="AD490" s="1537"/>
      <c r="AE490" s="1537"/>
      <c r="AF490" s="1537"/>
      <c r="AG490" s="1537"/>
      <c r="AH490" s="1537"/>
      <c r="AI490" s="1537"/>
      <c r="AJ490" s="1537"/>
      <c r="AK490" s="1592"/>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87" t="s">
        <v>669</v>
      </c>
      <c r="R491" s="1388"/>
      <c r="S491" s="1388"/>
      <c r="T491" s="1388"/>
      <c r="U491" s="1388"/>
      <c r="V491" s="1388"/>
      <c r="W491" s="1388"/>
      <c r="X491" s="1388"/>
      <c r="Y491" s="1388"/>
      <c r="Z491" s="1388"/>
      <c r="AA491" s="1388"/>
      <c r="AB491" s="1388"/>
      <c r="AC491" s="1388"/>
      <c r="AD491" s="1388"/>
      <c r="AE491" s="1388"/>
      <c r="AF491" s="1388"/>
      <c r="AG491" s="1388"/>
      <c r="AH491" s="1388"/>
      <c r="AI491" s="1388"/>
      <c r="AJ491" s="1388"/>
      <c r="AK491" s="1389"/>
      <c r="AZ491" s="3"/>
      <c r="BA491" s="3"/>
      <c r="BB491" s="3"/>
      <c r="BC491" s="3"/>
    </row>
    <row r="492" spans="1:55" ht="12.95" customHeight="1">
      <c r="B492" s="45" t="s">
        <v>397</v>
      </c>
      <c r="C492" s="5"/>
      <c r="D492" s="5"/>
      <c r="E492" s="5"/>
      <c r="F492" s="5"/>
      <c r="G492" s="5"/>
      <c r="H492" s="5"/>
      <c r="I492" s="5"/>
      <c r="J492" s="5"/>
      <c r="K492" s="5"/>
      <c r="L492" s="5"/>
      <c r="M492" s="5"/>
      <c r="N492" s="5"/>
      <c r="O492" s="5"/>
      <c r="P492" s="5"/>
      <c r="Q492" s="1437" t="s">
        <v>2688</v>
      </c>
      <c r="R492" s="1380"/>
      <c r="S492" s="1380"/>
      <c r="T492" s="1380"/>
      <c r="U492" s="1380"/>
      <c r="V492" s="1380"/>
      <c r="W492" s="1380"/>
      <c r="X492" s="1380"/>
      <c r="Y492" s="1380"/>
      <c r="Z492" s="1380"/>
      <c r="AA492" s="1380"/>
      <c r="AB492" s="1380"/>
      <c r="AC492" s="1380"/>
      <c r="AD492" s="1380"/>
      <c r="AE492" s="1380"/>
      <c r="AF492" s="1380"/>
      <c r="AG492" s="1380"/>
      <c r="AH492" s="1380"/>
      <c r="AI492" s="1380"/>
      <c r="AJ492" s="1380"/>
      <c r="AK492" s="1381"/>
      <c r="AZ492" s="3"/>
      <c r="BA492" s="3"/>
      <c r="BB492" s="3"/>
      <c r="BC492" s="3"/>
    </row>
    <row r="493" spans="1:55" ht="12.95" customHeight="1">
      <c r="B493" s="45" t="s">
        <v>398</v>
      </c>
      <c r="C493" s="5"/>
      <c r="D493" s="5"/>
      <c r="E493" s="5"/>
      <c r="F493" s="5"/>
      <c r="G493" s="5"/>
      <c r="H493" s="5"/>
      <c r="I493" s="5"/>
      <c r="J493" s="5"/>
      <c r="K493" s="5"/>
      <c r="L493" s="5"/>
      <c r="M493" s="5"/>
      <c r="N493" s="5"/>
      <c r="O493" s="5"/>
      <c r="P493" s="5"/>
      <c r="Q493" s="1437" t="s">
        <v>2691</v>
      </c>
      <c r="R493" s="1380"/>
      <c r="S493" s="1380"/>
      <c r="T493" s="1380"/>
      <c r="U493" s="1380"/>
      <c r="V493" s="1380"/>
      <c r="W493" s="1380"/>
      <c r="X493" s="1380"/>
      <c r="Y493" s="1380"/>
      <c r="Z493" s="1380"/>
      <c r="AA493" s="1380"/>
      <c r="AB493" s="1380"/>
      <c r="AC493" s="1380"/>
      <c r="AD493" s="1380"/>
      <c r="AE493" s="1380"/>
      <c r="AF493" s="1380"/>
      <c r="AG493" s="1380"/>
      <c r="AH493" s="1380"/>
      <c r="AI493" s="1380"/>
      <c r="AJ493" s="1380"/>
      <c r="AK493" s="1381"/>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9">
        <v>300</v>
      </c>
      <c r="R494" s="1380"/>
      <c r="S494" s="1380"/>
      <c r="T494" s="1380"/>
      <c r="U494" s="1380"/>
      <c r="V494" s="1380"/>
      <c r="W494" s="1380"/>
      <c r="X494" s="1380"/>
      <c r="Y494" s="1380"/>
      <c r="Z494" s="1380"/>
      <c r="AA494" s="1380"/>
      <c r="AB494" s="1380"/>
      <c r="AC494" s="1380"/>
      <c r="AD494" s="1380"/>
      <c r="AE494" s="1380"/>
      <c r="AF494" s="1380"/>
      <c r="AG494" s="1380"/>
      <c r="AH494" s="1380"/>
      <c r="AI494" s="1380"/>
      <c r="AJ494" s="1380"/>
      <c r="AK494" s="1381"/>
      <c r="AZ494" s="3"/>
      <c r="BA494" s="3"/>
      <c r="BB494" s="3"/>
      <c r="BC494" s="3"/>
    </row>
    <row r="495" spans="1:55" ht="12.95" customHeight="1">
      <c r="B495" s="121" t="s">
        <v>1669</v>
      </c>
      <c r="C495" s="5"/>
      <c r="D495" s="5"/>
      <c r="E495" s="5"/>
      <c r="F495" s="5"/>
      <c r="G495" s="5"/>
      <c r="H495" s="5"/>
      <c r="I495" s="5"/>
      <c r="J495" s="5"/>
      <c r="K495" s="5"/>
      <c r="L495" s="5"/>
      <c r="M495" s="1390">
        <v>300</v>
      </c>
      <c r="N495" s="1391"/>
      <c r="O495" s="1391"/>
      <c r="P495" s="1392"/>
      <c r="Q495" s="121" t="s">
        <v>1670</v>
      </c>
      <c r="R495" s="5"/>
      <c r="S495" s="5"/>
      <c r="T495" s="5"/>
      <c r="U495" s="5"/>
      <c r="V495" s="5"/>
      <c r="W495" s="5"/>
      <c r="X495" s="5"/>
      <c r="Y495" s="5"/>
      <c r="Z495" s="5"/>
      <c r="AA495" s="5"/>
      <c r="AB495" s="5"/>
      <c r="AC495" s="5"/>
      <c r="AD495" s="5"/>
      <c r="AE495" s="5"/>
      <c r="AF495" s="5"/>
      <c r="AG495" s="5"/>
      <c r="AH495" s="1390"/>
      <c r="AI495" s="1391"/>
      <c r="AJ495" s="1391"/>
      <c r="AK495" s="1392"/>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5" t="s">
        <v>400</v>
      </c>
      <c r="AD499" s="1396"/>
      <c r="AE499" s="1396"/>
      <c r="AF499" s="1396"/>
      <c r="AG499" s="1396"/>
      <c r="AH499" s="1396"/>
      <c r="AI499" s="1396"/>
      <c r="AJ499" s="1396"/>
      <c r="AK499" s="139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5" t="s">
        <v>401</v>
      </c>
      <c r="AD500" s="1396"/>
      <c r="AE500" s="1396"/>
      <c r="AF500" s="1396"/>
      <c r="AG500" s="50" t="s">
        <v>402</v>
      </c>
      <c r="AH500" s="1396" t="s">
        <v>403</v>
      </c>
      <c r="AI500" s="1396"/>
      <c r="AJ500" s="1396"/>
      <c r="AK500" s="1397"/>
      <c r="AZ500" s="3"/>
      <c r="BA500" s="3"/>
      <c r="BB500" s="3"/>
      <c r="BC500" s="3"/>
      <c r="BD500" s="3"/>
      <c r="BE500" s="3"/>
      <c r="BF500" s="3"/>
      <c r="BG500" s="3"/>
      <c r="BH500" s="3"/>
      <c r="BI500" s="3"/>
      <c r="BJ500" s="3"/>
      <c r="BK500" s="3"/>
      <c r="BL500" s="3"/>
      <c r="BM500" s="3"/>
      <c r="BN500" s="3"/>
    </row>
    <row r="501" spans="1:66" ht="12.95" customHeight="1">
      <c r="B501" s="1370" t="s">
        <v>404</v>
      </c>
      <c r="C501" s="1371"/>
      <c r="D501" s="1371"/>
      <c r="E501" s="1371"/>
      <c r="F501" s="1371"/>
      <c r="G501" s="1371"/>
      <c r="H501" s="1372"/>
      <c r="I501" s="42" t="s">
        <v>405</v>
      </c>
      <c r="J501" s="42"/>
      <c r="K501" s="42"/>
      <c r="L501" s="42"/>
      <c r="M501" s="42"/>
      <c r="N501" s="42"/>
      <c r="O501" s="42"/>
      <c r="P501" s="42"/>
      <c r="Q501" s="42"/>
      <c r="R501" s="42"/>
      <c r="S501" s="42"/>
      <c r="T501" s="42"/>
      <c r="U501" s="42"/>
      <c r="V501" s="42"/>
      <c r="W501" s="42"/>
      <c r="AC501" s="1398" t="s">
        <v>591</v>
      </c>
      <c r="AD501" s="1399"/>
      <c r="AE501" s="1399"/>
      <c r="AF501" s="1399"/>
      <c r="AG501" s="13" t="s">
        <v>402</v>
      </c>
      <c r="AH501" s="1413">
        <v>0</v>
      </c>
      <c r="AI501" s="1413"/>
      <c r="AJ501" s="1413"/>
      <c r="AK501" s="1414"/>
      <c r="AZ501" s="3"/>
      <c r="BA501" s="3"/>
      <c r="BB501" s="3"/>
      <c r="BC501" s="3"/>
      <c r="BD501" s="3"/>
      <c r="BE501" s="3"/>
      <c r="BF501" s="3"/>
      <c r="BG501" s="3"/>
      <c r="BH501" s="3"/>
      <c r="BI501" s="3"/>
      <c r="BJ501" s="3"/>
      <c r="BK501" s="3"/>
      <c r="BL501" s="3"/>
      <c r="BM501" s="3"/>
      <c r="BN501" s="3"/>
    </row>
    <row r="502" spans="1:66" ht="12.95" customHeight="1">
      <c r="B502" s="1373"/>
      <c r="C502" s="1374"/>
      <c r="D502" s="1374"/>
      <c r="E502" s="1374"/>
      <c r="F502" s="1374"/>
      <c r="G502" s="1374"/>
      <c r="H502" s="1375"/>
      <c r="I502" s="48" t="s">
        <v>406</v>
      </c>
      <c r="J502" s="48"/>
      <c r="K502" s="48"/>
      <c r="L502" s="48"/>
      <c r="M502" s="48"/>
      <c r="N502" s="48"/>
      <c r="O502" s="48"/>
      <c r="P502" s="48"/>
      <c r="Q502" s="48"/>
      <c r="R502" s="48"/>
      <c r="S502" s="48"/>
      <c r="T502" s="48"/>
      <c r="U502" s="48"/>
      <c r="V502" s="48"/>
      <c r="W502" s="48"/>
      <c r="X502" s="48"/>
      <c r="Y502" s="48"/>
      <c r="Z502" s="48"/>
      <c r="AA502" s="48"/>
      <c r="AB502" s="48"/>
      <c r="AC502" s="1398">
        <v>6</v>
      </c>
      <c r="AD502" s="1399"/>
      <c r="AE502" s="1399"/>
      <c r="AF502" s="1399"/>
      <c r="AG502" s="38" t="s">
        <v>402</v>
      </c>
      <c r="AH502" s="1413">
        <v>2026</v>
      </c>
      <c r="AI502" s="1413"/>
      <c r="AJ502" s="1413"/>
      <c r="AK502" s="1414"/>
      <c r="AZ502" s="3"/>
      <c r="BA502" s="3"/>
      <c r="BB502" s="3"/>
      <c r="BC502" s="3"/>
      <c r="BD502" s="3"/>
      <c r="BE502" s="3"/>
      <c r="BF502" s="3"/>
      <c r="BG502" s="3"/>
      <c r="BH502" s="3"/>
      <c r="BI502" s="3"/>
      <c r="BJ502" s="3"/>
      <c r="BK502" s="3"/>
      <c r="BL502" s="3"/>
      <c r="BM502" s="3"/>
      <c r="BN502" s="3"/>
    </row>
    <row r="503" spans="1:66" ht="12.95" customHeight="1">
      <c r="B503" s="1370" t="s">
        <v>407</v>
      </c>
      <c r="C503" s="1371"/>
      <c r="D503" s="1371"/>
      <c r="E503" s="1371"/>
      <c r="F503" s="1371"/>
      <c r="G503" s="1371"/>
      <c r="H503" s="1372"/>
      <c r="I503" s="42" t="s">
        <v>408</v>
      </c>
      <c r="J503" s="42"/>
      <c r="K503" s="42"/>
      <c r="L503" s="42"/>
      <c r="M503" s="42"/>
      <c r="N503" s="42"/>
      <c r="O503" s="42"/>
      <c r="P503" s="42"/>
      <c r="Q503" s="42"/>
      <c r="R503" s="42"/>
      <c r="S503" s="42"/>
      <c r="T503" s="42"/>
      <c r="U503" s="42"/>
      <c r="V503" s="42"/>
      <c r="W503" s="42"/>
      <c r="AC503" s="1398" t="s">
        <v>591</v>
      </c>
      <c r="AD503" s="1399"/>
      <c r="AE503" s="1399"/>
      <c r="AF503" s="1399"/>
      <c r="AG503" s="13" t="s">
        <v>402</v>
      </c>
      <c r="AH503" s="1413"/>
      <c r="AI503" s="1413"/>
      <c r="AJ503" s="1413"/>
      <c r="AK503" s="1414"/>
      <c r="AZ503" s="3"/>
      <c r="BA503" s="3"/>
      <c r="BB503" s="3"/>
      <c r="BC503" s="3"/>
      <c r="BD503" s="3"/>
      <c r="BE503" s="3"/>
      <c r="BF503" s="3"/>
      <c r="BG503" s="3"/>
      <c r="BH503" s="3"/>
      <c r="BI503" s="3"/>
      <c r="BJ503" s="3"/>
      <c r="BK503" s="3"/>
      <c r="BL503" s="3"/>
      <c r="BM503" s="3"/>
      <c r="BN503" s="3"/>
    </row>
    <row r="504" spans="1:66" ht="12.95" customHeight="1">
      <c r="B504" s="1373"/>
      <c r="C504" s="1374"/>
      <c r="D504" s="1374"/>
      <c r="E504" s="1374"/>
      <c r="F504" s="1374"/>
      <c r="G504" s="1374"/>
      <c r="H504" s="1375"/>
      <c r="I504" t="s">
        <v>409</v>
      </c>
      <c r="AC504" s="1398" t="s">
        <v>591</v>
      </c>
      <c r="AD504" s="1399"/>
      <c r="AE504" s="1399"/>
      <c r="AF504" s="1399"/>
      <c r="AG504" s="13" t="s">
        <v>402</v>
      </c>
      <c r="AH504" s="1413"/>
      <c r="AI504" s="1413"/>
      <c r="AJ504" s="1413"/>
      <c r="AK504" s="1414"/>
      <c r="AZ504" s="3"/>
      <c r="BA504" s="3"/>
      <c r="BB504" s="3"/>
      <c r="BC504" s="3"/>
      <c r="BD504" s="3"/>
      <c r="BE504" s="3"/>
      <c r="BF504" s="3"/>
      <c r="BG504" s="3"/>
      <c r="BH504" s="3"/>
      <c r="BI504" s="3"/>
      <c r="BJ504" s="3"/>
      <c r="BK504" s="3"/>
      <c r="BL504" s="3"/>
      <c r="BM504" s="3"/>
      <c r="BN504" s="3"/>
    </row>
    <row r="505" spans="1:66" ht="12.95" customHeight="1">
      <c r="B505" s="1373"/>
      <c r="C505" s="1374"/>
      <c r="D505" s="1374"/>
      <c r="E505" s="1374"/>
      <c r="F505" s="1374"/>
      <c r="G505" s="1374"/>
      <c r="H505" s="1375"/>
      <c r="I505" t="s">
        <v>410</v>
      </c>
      <c r="AC505" s="1398" t="s">
        <v>591</v>
      </c>
      <c r="AD505" s="1399"/>
      <c r="AE505" s="1399"/>
      <c r="AF505" s="1399"/>
      <c r="AG505" s="13" t="s">
        <v>402</v>
      </c>
      <c r="AH505" s="1413"/>
      <c r="AI505" s="1413"/>
      <c r="AJ505" s="1413"/>
      <c r="AK505" s="1414"/>
      <c r="AZ505" s="3"/>
      <c r="BA505" s="3"/>
      <c r="BB505" s="3"/>
      <c r="BC505" s="3"/>
      <c r="BD505" s="3"/>
      <c r="BE505" s="3"/>
      <c r="BF505" s="3"/>
      <c r="BG505" s="3"/>
      <c r="BH505" s="3"/>
      <c r="BI505" s="3"/>
      <c r="BJ505" s="3"/>
      <c r="BK505" s="3"/>
      <c r="BL505" s="3"/>
      <c r="BM505" s="3"/>
      <c r="BN505" s="3"/>
    </row>
    <row r="506" spans="1:66" ht="12.95" customHeight="1">
      <c r="B506" s="1373"/>
      <c r="C506" s="1374"/>
      <c r="D506" s="1374"/>
      <c r="E506" s="1374"/>
      <c r="F506" s="1374"/>
      <c r="G506" s="1374"/>
      <c r="H506" s="1375"/>
      <c r="I506" t="s">
        <v>411</v>
      </c>
      <c r="AC506" s="1398">
        <v>5</v>
      </c>
      <c r="AD506" s="1399"/>
      <c r="AE506" s="1399"/>
      <c r="AF506" s="1399"/>
      <c r="AG506" s="13" t="s">
        <v>402</v>
      </c>
      <c r="AH506" s="1413">
        <v>2026</v>
      </c>
      <c r="AI506" s="1413"/>
      <c r="AJ506" s="1413"/>
      <c r="AK506" s="1414"/>
      <c r="AZ506" s="3"/>
      <c r="BA506" s="3"/>
      <c r="BB506" s="3"/>
      <c r="BC506" s="3"/>
      <c r="BD506" s="3"/>
      <c r="BE506" s="3"/>
      <c r="BF506" s="3"/>
      <c r="BG506" s="3"/>
      <c r="BH506" s="3"/>
      <c r="BI506" s="3"/>
      <c r="BJ506" s="3"/>
      <c r="BK506" s="3"/>
      <c r="BL506" s="3"/>
      <c r="BM506" s="3"/>
      <c r="BN506" s="3"/>
    </row>
    <row r="507" spans="1:66" ht="12.95" customHeight="1">
      <c r="B507" s="1373"/>
      <c r="C507" s="1374"/>
      <c r="D507" s="1374"/>
      <c r="E507" s="1374"/>
      <c r="F507" s="1374"/>
      <c r="G507" s="1374"/>
      <c r="H507" s="1375"/>
      <c r="I507" s="3" t="s">
        <v>412</v>
      </c>
      <c r="AC507" s="1355">
        <v>5</v>
      </c>
      <c r="AD507" s="1356"/>
      <c r="AE507" s="1356"/>
      <c r="AF507" s="1356"/>
      <c r="AG507" s="13" t="s">
        <v>402</v>
      </c>
      <c r="AH507" s="1413">
        <v>2026</v>
      </c>
      <c r="AI507" s="1413"/>
      <c r="AJ507" s="1413"/>
      <c r="AK507" s="1414"/>
      <c r="AZ507" s="3"/>
      <c r="BA507" s="3"/>
      <c r="BB507" s="3"/>
      <c r="BC507" s="3"/>
      <c r="BD507" s="3"/>
      <c r="BE507" s="3"/>
      <c r="BF507" s="3"/>
      <c r="BG507" s="3"/>
      <c r="BH507" s="3"/>
      <c r="BI507" s="3"/>
      <c r="BJ507" s="3"/>
      <c r="BK507" s="3"/>
      <c r="BL507" s="3"/>
      <c r="BM507" s="3"/>
      <c r="BN507" s="3"/>
    </row>
    <row r="508" spans="1:66" ht="12.95" customHeight="1">
      <c r="B508" s="1373"/>
      <c r="C508" s="1374"/>
      <c r="D508" s="1374"/>
      <c r="E508" s="1374"/>
      <c r="F508" s="1374"/>
      <c r="G508" s="1374"/>
      <c r="H508" s="1375"/>
      <c r="I508" s="896" t="s">
        <v>169</v>
      </c>
      <c r="J508" s="48"/>
      <c r="K508" s="48"/>
      <c r="L508" s="1440" t="s">
        <v>333</v>
      </c>
      <c r="M508" s="1441"/>
      <c r="N508" s="1441"/>
      <c r="O508" s="1441"/>
      <c r="P508" s="1441"/>
      <c r="Q508" s="1441"/>
      <c r="R508" s="1441"/>
      <c r="S508" s="1441"/>
      <c r="T508" s="1441"/>
      <c r="U508" s="1441"/>
      <c r="V508" s="1441"/>
      <c r="W508" s="1441"/>
      <c r="X508" s="1441"/>
      <c r="Y508" s="1441"/>
      <c r="Z508" s="1441"/>
      <c r="AA508" s="1441"/>
      <c r="AB508" s="1587"/>
      <c r="AC508" s="1398" t="s">
        <v>591</v>
      </c>
      <c r="AD508" s="1399"/>
      <c r="AE508" s="1399"/>
      <c r="AF508" s="1399"/>
      <c r="AG508" s="38" t="s">
        <v>402</v>
      </c>
      <c r="AH508" s="1413"/>
      <c r="AI508" s="1413"/>
      <c r="AJ508" s="1413"/>
      <c r="AK508" s="141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94" t="s">
        <v>545</v>
      </c>
      <c r="AD509" s="1394"/>
      <c r="AE509" s="1394"/>
      <c r="AF509" s="1394"/>
      <c r="AG509" s="13"/>
      <c r="AH509" s="1409"/>
      <c r="AI509" s="1409"/>
      <c r="AJ509" s="1409"/>
      <c r="AK509" s="141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v>1</v>
      </c>
      <c r="AD510" s="1356"/>
      <c r="AE510" s="1356"/>
      <c r="AF510" s="1357"/>
      <c r="AG510" s="13"/>
      <c r="AH510" s="1409"/>
      <c r="AI510" s="1409"/>
      <c r="AJ510" s="1409"/>
      <c r="AK510" s="141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24">
        <v>0.25</v>
      </c>
      <c r="AD512" s="1425"/>
      <c r="AE512" s="1425"/>
      <c r="AF512" s="1426"/>
      <c r="AG512" s="38"/>
      <c r="AH512" s="1598"/>
      <c r="AI512" s="1598"/>
      <c r="AJ512" s="1598"/>
      <c r="AK512" s="1599"/>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593" t="s">
        <v>401</v>
      </c>
      <c r="AD513" s="1442"/>
      <c r="AE513" s="1442"/>
      <c r="AF513" s="1442"/>
      <c r="AG513" s="38" t="s">
        <v>402</v>
      </c>
      <c r="AH513" s="1442" t="s">
        <v>403</v>
      </c>
      <c r="AI513" s="1442"/>
      <c r="AJ513" s="1442"/>
      <c r="AK513" s="1443"/>
      <c r="AZ513" s="3"/>
      <c r="BA513" s="3"/>
      <c r="BB513" s="3"/>
      <c r="BC513" s="3"/>
      <c r="BD513" s="3"/>
      <c r="BE513" s="3"/>
      <c r="BF513" s="3"/>
      <c r="BG513" s="3"/>
      <c r="BH513" s="3"/>
      <c r="BI513" s="3"/>
      <c r="BJ513" s="3"/>
      <c r="BK513" s="3"/>
      <c r="BL513" s="3"/>
      <c r="BM513" s="3"/>
      <c r="BN513" s="3" t="s">
        <v>2104</v>
      </c>
    </row>
    <row r="514" spans="2:66" ht="12.95" customHeight="1">
      <c r="B514" s="1370" t="s">
        <v>413</v>
      </c>
      <c r="C514" s="1371"/>
      <c r="D514" s="1371"/>
      <c r="E514" s="1371"/>
      <c r="F514" s="1371"/>
      <c r="G514" s="1371"/>
      <c r="H514" s="1372"/>
      <c r="I514" s="42" t="s">
        <v>414</v>
      </c>
      <c r="J514" s="42"/>
      <c r="K514" s="42"/>
      <c r="L514" s="42"/>
      <c r="M514" s="42"/>
      <c r="N514" s="42"/>
      <c r="O514" s="42"/>
      <c r="P514" s="42"/>
      <c r="Q514" s="42"/>
      <c r="R514" s="42"/>
      <c r="S514" s="42"/>
      <c r="T514" s="42"/>
      <c r="U514" s="42"/>
      <c r="V514" s="42"/>
      <c r="W514" s="42"/>
      <c r="AC514" s="1398">
        <v>9</v>
      </c>
      <c r="AD514" s="1399"/>
      <c r="AE514" s="1399"/>
      <c r="AF514" s="1399"/>
      <c r="AG514" s="13" t="s">
        <v>402</v>
      </c>
      <c r="AH514" s="1413">
        <v>2025</v>
      </c>
      <c r="AI514" s="1413"/>
      <c r="AJ514" s="1413"/>
      <c r="AK514" s="1414"/>
      <c r="AZ514" s="3"/>
      <c r="BA514" s="3"/>
      <c r="BB514" s="3"/>
      <c r="BC514" s="3"/>
      <c r="BD514" s="3"/>
      <c r="BE514" s="3"/>
      <c r="BF514" s="3"/>
      <c r="BG514" s="3"/>
      <c r="BH514" s="3"/>
      <c r="BI514" s="3"/>
      <c r="BJ514" s="3"/>
      <c r="BK514" s="3"/>
      <c r="BL514" s="3"/>
      <c r="BM514" s="3"/>
      <c r="BN514" s="3" t="s">
        <v>2105</v>
      </c>
    </row>
    <row r="515" spans="2:66" ht="12.95" customHeight="1">
      <c r="B515" s="1373"/>
      <c r="C515" s="1374"/>
      <c r="D515" s="1374"/>
      <c r="E515" s="1374"/>
      <c r="F515" s="1374"/>
      <c r="G515" s="1374"/>
      <c r="H515" s="1375"/>
      <c r="I515" t="s">
        <v>415</v>
      </c>
      <c r="AC515" s="1398">
        <v>9</v>
      </c>
      <c r="AD515" s="1399"/>
      <c r="AE515" s="1399"/>
      <c r="AF515" s="1399"/>
      <c r="AG515" s="13" t="s">
        <v>402</v>
      </c>
      <c r="AH515" s="1413">
        <v>2025</v>
      </c>
      <c r="AI515" s="1413"/>
      <c r="AJ515" s="1413"/>
      <c r="AK515" s="1414"/>
      <c r="AZ515" s="3"/>
      <c r="BA515" s="3"/>
      <c r="BB515" s="3"/>
      <c r="BC515" s="3"/>
      <c r="BD515" s="3"/>
      <c r="BE515" s="3"/>
      <c r="BF515" s="3"/>
      <c r="BG515" s="3"/>
      <c r="BH515" s="3"/>
      <c r="BI515" s="3"/>
      <c r="BJ515" s="3"/>
      <c r="BK515" s="3"/>
      <c r="BL515" s="3"/>
      <c r="BM515" s="3"/>
      <c r="BN515" s="3" t="s">
        <v>2106</v>
      </c>
    </row>
    <row r="516" spans="2:66" ht="12.95" customHeight="1">
      <c r="B516" s="1373"/>
      <c r="C516" s="1374"/>
      <c r="D516" s="1374"/>
      <c r="E516" s="1374"/>
      <c r="F516" s="1374"/>
      <c r="G516" s="1374"/>
      <c r="H516" s="1375"/>
      <c r="I516" s="48" t="s">
        <v>416</v>
      </c>
      <c r="J516" s="48"/>
      <c r="K516" s="48"/>
      <c r="L516" s="48"/>
      <c r="M516" s="48"/>
      <c r="N516" s="48"/>
      <c r="O516" s="48"/>
      <c r="P516" s="48"/>
      <c r="Q516" s="48"/>
      <c r="R516" s="48"/>
      <c r="S516" s="48"/>
      <c r="T516" s="48"/>
      <c r="U516" s="48"/>
      <c r="V516" s="48"/>
      <c r="W516" s="48"/>
      <c r="X516" s="48"/>
      <c r="Y516" s="48"/>
      <c r="Z516" s="48"/>
      <c r="AA516" s="48"/>
      <c r="AB516" s="48"/>
      <c r="AC516" s="1398">
        <v>6</v>
      </c>
      <c r="AD516" s="1399"/>
      <c r="AE516" s="1399"/>
      <c r="AF516" s="1399"/>
      <c r="AG516" s="38" t="s">
        <v>402</v>
      </c>
      <c r="AH516" s="1413">
        <v>2026</v>
      </c>
      <c r="AI516" s="1413"/>
      <c r="AJ516" s="1413"/>
      <c r="AK516" s="1414"/>
      <c r="AZ516" s="3"/>
      <c r="BA516" s="3"/>
      <c r="BB516" s="3"/>
      <c r="BC516" s="3"/>
      <c r="BD516" s="3"/>
      <c r="BE516" s="3"/>
      <c r="BF516" s="3"/>
      <c r="BG516" s="3"/>
      <c r="BH516" s="3"/>
      <c r="BI516" s="3"/>
      <c r="BJ516" s="3"/>
      <c r="BK516" s="3"/>
      <c r="BL516" s="3"/>
      <c r="BM516" s="3"/>
      <c r="BN516" s="3" t="s">
        <v>2107</v>
      </c>
    </row>
    <row r="517" spans="2:66" ht="12.95" customHeight="1">
      <c r="B517" s="1370" t="s">
        <v>417</v>
      </c>
      <c r="C517" s="1371"/>
      <c r="D517" s="1371"/>
      <c r="E517" s="1371"/>
      <c r="F517" s="1371"/>
      <c r="G517" s="1371"/>
      <c r="H517" s="1372"/>
      <c r="I517" s="42" t="s">
        <v>414</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402</v>
      </c>
      <c r="AH517" s="1413">
        <v>2025</v>
      </c>
      <c r="AI517" s="1413"/>
      <c r="AJ517" s="1413"/>
      <c r="AK517" s="1414"/>
      <c r="AZ517" s="3"/>
      <c r="BB517" s="3"/>
      <c r="BC517" s="3"/>
      <c r="BD517" s="3"/>
      <c r="BE517" s="3"/>
      <c r="BF517" s="3"/>
      <c r="BG517" s="3"/>
      <c r="BH517" s="3"/>
      <c r="BI517" s="3"/>
      <c r="BJ517" s="3"/>
      <c r="BK517" s="3"/>
      <c r="BL517" s="3"/>
      <c r="BM517" s="3"/>
      <c r="BN517" s="3" t="s">
        <v>2108</v>
      </c>
    </row>
    <row r="518" spans="2:66" ht="12.95" customHeight="1">
      <c r="B518" s="1373"/>
      <c r="C518" s="1374"/>
      <c r="D518" s="1374"/>
      <c r="E518" s="1374"/>
      <c r="F518" s="1374"/>
      <c r="G518" s="1374"/>
      <c r="H518" s="1375"/>
      <c r="I518" t="s">
        <v>415</v>
      </c>
      <c r="AC518" s="1398">
        <v>9</v>
      </c>
      <c r="AD518" s="1399"/>
      <c r="AE518" s="1399"/>
      <c r="AF518" s="1399"/>
      <c r="AG518" s="13" t="s">
        <v>402</v>
      </c>
      <c r="AH518" s="1413">
        <v>2025</v>
      </c>
      <c r="AI518" s="1413"/>
      <c r="AJ518" s="1413"/>
      <c r="AK518" s="1414"/>
      <c r="BB518" s="3"/>
      <c r="BC518" s="3"/>
      <c r="BD518" s="3"/>
      <c r="BE518" s="3"/>
      <c r="BF518" s="3"/>
      <c r="BG518" s="3"/>
      <c r="BH518" s="3"/>
      <c r="BI518" s="3"/>
      <c r="BJ518" s="3"/>
      <c r="BK518" s="3"/>
      <c r="BL518" s="3"/>
      <c r="BM518" s="3"/>
      <c r="BN518" s="3" t="s">
        <v>2109</v>
      </c>
    </row>
    <row r="519" spans="2:66" ht="12.95" customHeight="1">
      <c r="B519" s="1376"/>
      <c r="C519" s="1377"/>
      <c r="D519" s="1377"/>
      <c r="E519" s="1377"/>
      <c r="F519" s="1377"/>
      <c r="G519" s="1377"/>
      <c r="H519" s="1378"/>
      <c r="I519" s="48" t="s">
        <v>416</v>
      </c>
      <c r="J519" s="48"/>
      <c r="K519" s="48"/>
      <c r="L519" s="48"/>
      <c r="M519" s="48"/>
      <c r="N519" s="48"/>
      <c r="O519" s="48"/>
      <c r="P519" s="48"/>
      <c r="Q519" s="48"/>
      <c r="R519" s="48"/>
      <c r="S519" s="48"/>
      <c r="T519" s="48"/>
      <c r="U519" s="48"/>
      <c r="V519" s="48"/>
      <c r="W519" s="48"/>
      <c r="X519" s="48"/>
      <c r="Y519" s="48"/>
      <c r="Z519" s="48"/>
      <c r="AA519" s="48"/>
      <c r="AB519" s="48"/>
      <c r="AC519" s="1398">
        <v>3</v>
      </c>
      <c r="AD519" s="1399"/>
      <c r="AE519" s="1399"/>
      <c r="AF519" s="1399"/>
      <c r="AG519" s="38" t="s">
        <v>402</v>
      </c>
      <c r="AH519" s="1413">
        <v>2029</v>
      </c>
      <c r="AI519" s="1413"/>
      <c r="AJ519" s="1413"/>
      <c r="AK519" s="1414"/>
      <c r="BB519" s="3"/>
      <c r="BC519" s="3"/>
      <c r="BD519" s="3"/>
      <c r="BE519" s="3"/>
      <c r="BF519" s="3"/>
      <c r="BG519" s="3"/>
      <c r="BH519" s="3"/>
      <c r="BI519" s="3"/>
      <c r="BJ519" s="3"/>
      <c r="BK519" s="3"/>
      <c r="BL519" s="3"/>
      <c r="BM519" s="3"/>
      <c r="BN519" s="3" t="s">
        <v>2110</v>
      </c>
    </row>
    <row r="520" spans="2:66" ht="12.95" customHeight="1">
      <c r="B520" s="1370" t="s">
        <v>418</v>
      </c>
      <c r="C520" s="1371"/>
      <c r="D520" s="1371"/>
      <c r="E520" s="1371"/>
      <c r="F520" s="1371"/>
      <c r="G520" s="1371"/>
      <c r="H520" s="1372"/>
      <c r="I520" s="41" t="s">
        <v>419</v>
      </c>
      <c r="J520" s="42"/>
      <c r="K520" s="42"/>
      <c r="L520" s="42"/>
      <c r="M520" s="42"/>
      <c r="N520" s="42"/>
      <c r="O520" s="1440" t="s">
        <v>333</v>
      </c>
      <c r="P520" s="1441"/>
      <c r="Q520" s="1441"/>
      <c r="R520" s="1441"/>
      <c r="S520" s="1441"/>
      <c r="T520" s="1441"/>
      <c r="U520" s="1441"/>
      <c r="V520" s="1441"/>
      <c r="W520" s="1441"/>
      <c r="X520" s="1441"/>
      <c r="Y520" s="1441"/>
      <c r="Z520" s="1441"/>
      <c r="AA520" s="1441"/>
      <c r="AB520" s="58"/>
      <c r="AC520" s="1355" t="s">
        <v>591</v>
      </c>
      <c r="AD520" s="1356"/>
      <c r="AE520" s="1356"/>
      <c r="AF520" s="1356"/>
      <c r="AG520" s="129" t="s">
        <v>402</v>
      </c>
      <c r="AH520" s="1413"/>
      <c r="AI520" s="1413"/>
      <c r="AJ520" s="1413"/>
      <c r="AK520" s="1414"/>
      <c r="AZ520" s="3"/>
      <c r="BB520" s="3"/>
      <c r="BC520" s="3"/>
      <c r="BD520" s="3"/>
      <c r="BE520" s="3"/>
      <c r="BF520" s="3"/>
      <c r="BG520" s="3"/>
      <c r="BH520" s="3"/>
      <c r="BI520" s="3"/>
      <c r="BJ520" s="3"/>
      <c r="BK520" s="3"/>
      <c r="BL520" s="3"/>
      <c r="BM520" s="3"/>
      <c r="BN520" s="3" t="s">
        <v>2111</v>
      </c>
    </row>
    <row r="521" spans="2:66" ht="12.95" customHeight="1">
      <c r="B521" s="1373"/>
      <c r="C521" s="1374"/>
      <c r="D521" s="1374"/>
      <c r="E521" s="1374"/>
      <c r="F521" s="1374"/>
      <c r="G521" s="1374"/>
      <c r="H521" s="1375"/>
      <c r="I521" s="114" t="s">
        <v>420</v>
      </c>
      <c r="AB521" s="65"/>
      <c r="AC521" s="1398" t="s">
        <v>591</v>
      </c>
      <c r="AD521" s="1399"/>
      <c r="AE521" s="1399"/>
      <c r="AF521" s="1399"/>
      <c r="AG521" s="13" t="s">
        <v>402</v>
      </c>
      <c r="AH521" s="1413"/>
      <c r="AI521" s="1413"/>
      <c r="AJ521" s="1413"/>
      <c r="AK521" s="1414"/>
      <c r="AZ521" s="3"/>
      <c r="BB521" s="3"/>
      <c r="BC521" s="3"/>
      <c r="BD521" s="3"/>
      <c r="BE521" s="3"/>
      <c r="BF521" s="3"/>
      <c r="BG521" s="3"/>
      <c r="BH521" s="3"/>
      <c r="BI521" s="3"/>
      <c r="BJ521" s="3"/>
      <c r="BK521" s="3"/>
      <c r="BL521" s="3"/>
      <c r="BM521" s="3"/>
      <c r="BN521" s="3" t="s">
        <v>2112</v>
      </c>
    </row>
    <row r="522" spans="2:66" ht="12.95" customHeight="1">
      <c r="B522" s="1373"/>
      <c r="C522" s="1374"/>
      <c r="D522" s="1374"/>
      <c r="E522" s="1374"/>
      <c r="F522" s="1374"/>
      <c r="G522" s="1374"/>
      <c r="H522" s="1375"/>
      <c r="I522" s="47" t="s">
        <v>421</v>
      </c>
      <c r="J522" s="48"/>
      <c r="K522" s="48"/>
      <c r="L522" s="48"/>
      <c r="M522" s="48"/>
      <c r="N522" s="48"/>
      <c r="O522" s="48"/>
      <c r="P522" s="48"/>
      <c r="Q522" s="48"/>
      <c r="R522" s="48"/>
      <c r="S522" s="48"/>
      <c r="T522" s="48"/>
      <c r="U522" s="48"/>
      <c r="V522" s="48"/>
      <c r="W522" s="48"/>
      <c r="X522" s="48"/>
      <c r="Y522" s="48"/>
      <c r="Z522" s="48"/>
      <c r="AA522" s="48"/>
      <c r="AB522" s="49"/>
      <c r="AC522" s="1398" t="s">
        <v>591</v>
      </c>
      <c r="AD522" s="1399"/>
      <c r="AE522" s="1399"/>
      <c r="AF522" s="1399"/>
      <c r="AG522" s="38" t="s">
        <v>402</v>
      </c>
      <c r="AH522" s="1413"/>
      <c r="AI522" s="1413"/>
      <c r="AJ522" s="1413"/>
      <c r="AK522" s="1414"/>
      <c r="AZ522" s="3"/>
      <c r="BA522" s="3"/>
      <c r="BB522" s="3"/>
      <c r="BC522" s="3"/>
      <c r="BD522" s="3"/>
      <c r="BE522" s="3"/>
      <c r="BF522" s="3"/>
      <c r="BG522" s="3"/>
      <c r="BH522" s="3"/>
      <c r="BI522" s="3"/>
      <c r="BJ522" s="3"/>
      <c r="BK522" s="3"/>
      <c r="BL522" s="3"/>
      <c r="BM522" s="3"/>
      <c r="BN522" s="3" t="s">
        <v>2113</v>
      </c>
    </row>
    <row r="523" spans="2:66" ht="12.95" customHeight="1">
      <c r="B523" s="1373"/>
      <c r="C523" s="1374"/>
      <c r="D523" s="1374"/>
      <c r="E523" s="1374"/>
      <c r="F523" s="1374"/>
      <c r="G523" s="1374"/>
      <c r="H523" s="1375"/>
      <c r="I523" s="42" t="s">
        <v>422</v>
      </c>
      <c r="J523" s="42"/>
      <c r="K523" s="42"/>
      <c r="L523" s="42"/>
      <c r="M523" s="42"/>
      <c r="N523" s="42"/>
      <c r="O523" s="1440" t="s">
        <v>333</v>
      </c>
      <c r="P523" s="1441"/>
      <c r="Q523" s="1441"/>
      <c r="R523" s="1441"/>
      <c r="S523" s="1441"/>
      <c r="T523" s="1441"/>
      <c r="U523" s="1441"/>
      <c r="V523" s="1441"/>
      <c r="W523" s="1441"/>
      <c r="X523" s="1441"/>
      <c r="Y523" s="1441"/>
      <c r="Z523" s="1441"/>
      <c r="AA523" s="1441"/>
      <c r="AC523" s="1398" t="s">
        <v>591</v>
      </c>
      <c r="AD523" s="1399"/>
      <c r="AE523" s="1399"/>
      <c r="AF523" s="1399"/>
      <c r="AG523" s="13" t="s">
        <v>402</v>
      </c>
      <c r="AH523" s="1413"/>
      <c r="AI523" s="1413"/>
      <c r="AJ523" s="1413"/>
      <c r="AK523" s="1414"/>
      <c r="AZ523" s="3"/>
      <c r="BA523" s="3"/>
      <c r="BB523" s="3"/>
      <c r="BC523" s="3"/>
      <c r="BD523" s="3"/>
      <c r="BE523" s="3"/>
      <c r="BF523" s="3"/>
      <c r="BG523" s="3"/>
      <c r="BH523" s="3"/>
      <c r="BI523" s="3"/>
      <c r="BJ523" s="3"/>
      <c r="BK523" s="3"/>
      <c r="BL523" s="3"/>
      <c r="BM523" s="3"/>
      <c r="BN523" s="3" t="s">
        <v>2114</v>
      </c>
    </row>
    <row r="524" spans="2:66" ht="12.95" customHeight="1">
      <c r="B524" s="1373"/>
      <c r="C524" s="1374"/>
      <c r="D524" s="1374"/>
      <c r="E524" s="1374"/>
      <c r="F524" s="1374"/>
      <c r="G524" s="1374"/>
      <c r="H524" s="1375"/>
      <c r="I524" t="s">
        <v>420</v>
      </c>
      <c r="AC524" s="1398" t="s">
        <v>591</v>
      </c>
      <c r="AD524" s="1399"/>
      <c r="AE524" s="1399"/>
      <c r="AF524" s="1399"/>
      <c r="AG524" s="13" t="s">
        <v>402</v>
      </c>
      <c r="AH524" s="1413"/>
      <c r="AI524" s="1413"/>
      <c r="AJ524" s="1413"/>
      <c r="AK524" s="1414"/>
      <c r="AZ524" s="3"/>
      <c r="BA524" s="3"/>
      <c r="BB524" s="3"/>
      <c r="BC524" s="3"/>
      <c r="BD524" s="3"/>
      <c r="BE524" s="3"/>
      <c r="BF524" s="3"/>
      <c r="BG524" s="3"/>
      <c r="BH524" s="3"/>
      <c r="BI524" s="3"/>
      <c r="BJ524" s="3"/>
      <c r="BK524" s="3"/>
      <c r="BL524" s="3"/>
      <c r="BM524" s="3"/>
      <c r="BN524" s="3" t="s">
        <v>2115</v>
      </c>
    </row>
    <row r="525" spans="2:66" ht="12.95" customHeight="1">
      <c r="B525" s="1373"/>
      <c r="C525" s="1374"/>
      <c r="D525" s="1374"/>
      <c r="E525" s="1374"/>
      <c r="F525" s="1374"/>
      <c r="G525" s="1374"/>
      <c r="H525" s="1375"/>
      <c r="I525" s="48" t="s">
        <v>421</v>
      </c>
      <c r="J525" s="48"/>
      <c r="K525" s="48"/>
      <c r="L525" s="48"/>
      <c r="M525" s="48"/>
      <c r="N525" s="48"/>
      <c r="O525" s="48"/>
      <c r="P525" s="48"/>
      <c r="Q525" s="48"/>
      <c r="R525" s="48"/>
      <c r="S525" s="48"/>
      <c r="T525" s="48"/>
      <c r="U525" s="48"/>
      <c r="V525" s="48"/>
      <c r="W525" s="48"/>
      <c r="X525" s="48"/>
      <c r="Y525" s="48"/>
      <c r="Z525" s="48"/>
      <c r="AA525" s="48"/>
      <c r="AB525" s="48"/>
      <c r="AC525" s="1398" t="s">
        <v>591</v>
      </c>
      <c r="AD525" s="1399"/>
      <c r="AE525" s="1399"/>
      <c r="AF525" s="1399"/>
      <c r="AG525" s="38" t="s">
        <v>402</v>
      </c>
      <c r="AH525" s="1413"/>
      <c r="AI525" s="1413"/>
      <c r="AJ525" s="1413"/>
      <c r="AK525" s="1414"/>
      <c r="AZ525" s="3"/>
      <c r="BA525" s="3"/>
      <c r="BB525" s="3"/>
      <c r="BC525" s="3"/>
      <c r="BD525" s="3"/>
      <c r="BE525" s="3"/>
      <c r="BF525" s="3"/>
      <c r="BG525" s="3"/>
      <c r="BH525" s="3"/>
      <c r="BI525" s="3"/>
      <c r="BJ525" s="3"/>
      <c r="BK525" s="3"/>
      <c r="BL525" s="3"/>
      <c r="BM525" s="3"/>
      <c r="BN525" s="3" t="s">
        <v>2116</v>
      </c>
    </row>
    <row r="526" spans="2:66" ht="12.95" customHeight="1">
      <c r="B526" s="1373"/>
      <c r="C526" s="1374"/>
      <c r="D526" s="1374"/>
      <c r="E526" s="1374"/>
      <c r="F526" s="1374"/>
      <c r="G526" s="1374"/>
      <c r="H526" s="1375"/>
      <c r="I526" s="42" t="s">
        <v>422</v>
      </c>
      <c r="J526" s="42"/>
      <c r="K526" s="42"/>
      <c r="L526" s="42"/>
      <c r="M526" s="42"/>
      <c r="N526" s="42"/>
      <c r="O526" s="1440" t="s">
        <v>333</v>
      </c>
      <c r="P526" s="1441"/>
      <c r="Q526" s="1441"/>
      <c r="R526" s="1441"/>
      <c r="S526" s="1441"/>
      <c r="T526" s="1441"/>
      <c r="U526" s="1441"/>
      <c r="V526" s="1441"/>
      <c r="W526" s="1441"/>
      <c r="X526" s="1441"/>
      <c r="Y526" s="1441"/>
      <c r="Z526" s="1441"/>
      <c r="AA526" s="1441"/>
      <c r="AC526" s="1398" t="s">
        <v>591</v>
      </c>
      <c r="AD526" s="1399"/>
      <c r="AE526" s="1399"/>
      <c r="AF526" s="1399"/>
      <c r="AG526" s="13" t="s">
        <v>402</v>
      </c>
      <c r="AH526" s="1413"/>
      <c r="AI526" s="1413"/>
      <c r="AJ526" s="1413"/>
      <c r="AK526" s="1414"/>
      <c r="AZ526" s="3"/>
      <c r="BA526" s="3"/>
      <c r="BB526" s="3"/>
      <c r="BC526" s="3"/>
      <c r="BD526" s="3"/>
      <c r="BE526" s="3"/>
      <c r="BF526" s="3"/>
      <c r="BG526" s="3"/>
      <c r="BH526" s="3"/>
      <c r="BI526" s="3"/>
      <c r="BJ526" s="3"/>
      <c r="BK526" s="3"/>
      <c r="BL526" s="3"/>
      <c r="BM526" s="3"/>
      <c r="BN526" s="3" t="s">
        <v>2117</v>
      </c>
    </row>
    <row r="527" spans="2:66" ht="12.95" customHeight="1">
      <c r="B527" s="1373"/>
      <c r="C527" s="1374"/>
      <c r="D527" s="1374"/>
      <c r="E527" s="1374"/>
      <c r="F527" s="1374"/>
      <c r="G527" s="1374"/>
      <c r="H527" s="1375"/>
      <c r="I527" t="s">
        <v>420</v>
      </c>
      <c r="AC527" s="1398" t="s">
        <v>591</v>
      </c>
      <c r="AD527" s="1399"/>
      <c r="AE527" s="1399"/>
      <c r="AF527" s="1399"/>
      <c r="AG527" s="13" t="s">
        <v>402</v>
      </c>
      <c r="AH527" s="1413"/>
      <c r="AI527" s="1413"/>
      <c r="AJ527" s="1413"/>
      <c r="AK527" s="1414"/>
      <c r="AZ527" s="3"/>
      <c r="BA527" s="3"/>
      <c r="BB527" s="3"/>
      <c r="BC527" s="3"/>
      <c r="BD527" s="3"/>
      <c r="BE527" s="3"/>
      <c r="BF527" s="3"/>
      <c r="BG527" s="3"/>
      <c r="BH527" s="3"/>
      <c r="BI527" s="3"/>
      <c r="BJ527" s="3"/>
      <c r="BK527" s="3"/>
      <c r="BL527" s="3"/>
      <c r="BM527" s="3"/>
      <c r="BN527" s="3" t="s">
        <v>2118</v>
      </c>
    </row>
    <row r="528" spans="2:66" ht="12.95" customHeight="1">
      <c r="B528" s="1373"/>
      <c r="C528" s="1374"/>
      <c r="D528" s="1374"/>
      <c r="E528" s="1374"/>
      <c r="F528" s="1374"/>
      <c r="G528" s="1374"/>
      <c r="H528" s="1375"/>
      <c r="I528" s="48" t="s">
        <v>421</v>
      </c>
      <c r="J528" s="48"/>
      <c r="K528" s="48"/>
      <c r="L528" s="48"/>
      <c r="M528" s="48"/>
      <c r="N528" s="48"/>
      <c r="O528" s="48"/>
      <c r="P528" s="48"/>
      <c r="Q528" s="48"/>
      <c r="R528" s="48"/>
      <c r="S528" s="48"/>
      <c r="T528" s="48"/>
      <c r="U528" s="48"/>
      <c r="V528" s="48"/>
      <c r="W528" s="48"/>
      <c r="X528" s="48"/>
      <c r="Y528" s="48"/>
      <c r="Z528" s="48"/>
      <c r="AA528" s="48"/>
      <c r="AB528" s="48"/>
      <c r="AC528" s="1398" t="s">
        <v>591</v>
      </c>
      <c r="AD528" s="1399"/>
      <c r="AE528" s="1399"/>
      <c r="AF528" s="1399"/>
      <c r="AG528" s="38" t="s">
        <v>402</v>
      </c>
      <c r="AH528" s="1413"/>
      <c r="AI528" s="1413"/>
      <c r="AJ528" s="1413"/>
      <c r="AK528" s="1414"/>
      <c r="AZ528" s="3"/>
      <c r="BA528" s="3"/>
      <c r="BB528" s="3"/>
      <c r="BC528" s="3"/>
      <c r="BD528" s="3"/>
      <c r="BE528" s="3"/>
      <c r="BF528" s="3"/>
      <c r="BG528" s="3"/>
      <c r="BH528" s="3"/>
      <c r="BI528" s="3"/>
      <c r="BJ528" s="3"/>
      <c r="BK528" s="3"/>
      <c r="BL528" s="3"/>
      <c r="BM528" s="3"/>
      <c r="BN528" s="3" t="s">
        <v>2119</v>
      </c>
    </row>
    <row r="529" spans="1:66" ht="12.95" customHeight="1">
      <c r="B529" s="1373"/>
      <c r="C529" s="1374"/>
      <c r="D529" s="1374"/>
      <c r="E529" s="1374"/>
      <c r="F529" s="1374"/>
      <c r="G529" s="1374"/>
      <c r="H529" s="1375"/>
      <c r="I529" s="42" t="s">
        <v>422</v>
      </c>
      <c r="J529" s="42"/>
      <c r="K529" s="42"/>
      <c r="L529" s="42"/>
      <c r="M529" s="42"/>
      <c r="N529" s="42"/>
      <c r="O529" s="1440" t="s">
        <v>333</v>
      </c>
      <c r="P529" s="1441"/>
      <c r="Q529" s="1441"/>
      <c r="R529" s="1441"/>
      <c r="S529" s="1441"/>
      <c r="T529" s="1441"/>
      <c r="U529" s="1441"/>
      <c r="V529" s="1441"/>
      <c r="W529" s="1441"/>
      <c r="X529" s="1441"/>
      <c r="Y529" s="1441"/>
      <c r="Z529" s="1441"/>
      <c r="AA529" s="1441"/>
      <c r="AC529" s="1398" t="s">
        <v>591</v>
      </c>
      <c r="AD529" s="1399"/>
      <c r="AE529" s="1399"/>
      <c r="AF529" s="1399"/>
      <c r="AG529" s="13" t="s">
        <v>402</v>
      </c>
      <c r="AH529" s="1413"/>
      <c r="AI529" s="1413"/>
      <c r="AJ529" s="1413"/>
      <c r="AK529" s="1414"/>
      <c r="AZ529" s="3"/>
      <c r="BA529" s="3"/>
      <c r="BB529" s="3"/>
      <c r="BC529" s="3"/>
      <c r="BD529" s="3"/>
      <c r="BE529" s="3"/>
      <c r="BF529" s="3"/>
      <c r="BG529" s="3"/>
      <c r="BH529" s="3"/>
      <c r="BI529" s="3"/>
      <c r="BJ529" s="3"/>
      <c r="BK529" s="3"/>
      <c r="BL529" s="3"/>
      <c r="BM529" s="3"/>
      <c r="BN529" s="3" t="s">
        <v>2120</v>
      </c>
    </row>
    <row r="530" spans="1:66" ht="12.95" customHeight="1">
      <c r="B530" s="1373"/>
      <c r="C530" s="1374"/>
      <c r="D530" s="1374"/>
      <c r="E530" s="1374"/>
      <c r="F530" s="1374"/>
      <c r="G530" s="1374"/>
      <c r="H530" s="1375"/>
      <c r="I530" t="s">
        <v>420</v>
      </c>
      <c r="AC530" s="1398" t="s">
        <v>591</v>
      </c>
      <c r="AD530" s="1399"/>
      <c r="AE530" s="1399"/>
      <c r="AF530" s="1399"/>
      <c r="AG530" s="13" t="s">
        <v>402</v>
      </c>
      <c r="AH530" s="1413"/>
      <c r="AI530" s="1413"/>
      <c r="AJ530" s="1413"/>
      <c r="AK530" s="1414"/>
      <c r="AZ530" s="3"/>
      <c r="BA530" s="3"/>
      <c r="BB530" s="3"/>
      <c r="BC530" s="3"/>
      <c r="BD530" s="3"/>
      <c r="BE530" s="3"/>
      <c r="BF530" s="3"/>
      <c r="BG530" s="3"/>
      <c r="BH530" s="3"/>
      <c r="BI530" s="3"/>
      <c r="BJ530" s="3"/>
      <c r="BK530" s="3"/>
      <c r="BL530" s="3"/>
      <c r="BM530" s="3"/>
      <c r="BN530" s="3" t="s">
        <v>2121</v>
      </c>
    </row>
    <row r="531" spans="1:66" ht="12.95" customHeight="1">
      <c r="B531" s="1373"/>
      <c r="C531" s="1374"/>
      <c r="D531" s="1374"/>
      <c r="E531" s="1374"/>
      <c r="F531" s="1374"/>
      <c r="G531" s="1374"/>
      <c r="H531" s="1375"/>
      <c r="I531" s="48" t="s">
        <v>421</v>
      </c>
      <c r="J531" s="48"/>
      <c r="K531" s="48"/>
      <c r="L531" s="48"/>
      <c r="M531" s="48"/>
      <c r="N531" s="48"/>
      <c r="O531" s="48"/>
      <c r="P531" s="48"/>
      <c r="Q531" s="48"/>
      <c r="R531" s="48"/>
      <c r="S531" s="48"/>
      <c r="T531" s="48"/>
      <c r="U531" s="48"/>
      <c r="V531" s="48"/>
      <c r="W531" s="48"/>
      <c r="X531" s="48"/>
      <c r="Y531" s="48"/>
      <c r="Z531" s="48"/>
      <c r="AA531" s="48"/>
      <c r="AB531" s="48"/>
      <c r="AC531" s="1398" t="s">
        <v>591</v>
      </c>
      <c r="AD531" s="1399"/>
      <c r="AE531" s="1399"/>
      <c r="AF531" s="1399"/>
      <c r="AG531" s="38" t="s">
        <v>402</v>
      </c>
      <c r="AH531" s="1413"/>
      <c r="AI531" s="1413"/>
      <c r="AJ531" s="1413"/>
      <c r="AK531" s="1414"/>
      <c r="AZ531" s="3"/>
      <c r="BA531" s="3"/>
      <c r="BB531" s="3"/>
      <c r="BC531" s="3"/>
      <c r="BD531" s="3"/>
      <c r="BE531" s="3"/>
      <c r="BF531" s="3"/>
      <c r="BG531" s="3"/>
      <c r="BH531" s="3"/>
      <c r="BI531" s="3"/>
      <c r="BJ531" s="3"/>
      <c r="BK531" s="3"/>
      <c r="BL531" s="3"/>
      <c r="BM531" s="3"/>
      <c r="BN531" s="3" t="s">
        <v>2122</v>
      </c>
    </row>
    <row r="532" spans="1:66" ht="12.95" customHeight="1">
      <c r="B532" s="1373"/>
      <c r="C532" s="1374"/>
      <c r="D532" s="1374"/>
      <c r="E532" s="1374"/>
      <c r="F532" s="1374"/>
      <c r="G532" s="1374"/>
      <c r="H532" s="1375"/>
      <c r="I532" s="42" t="s">
        <v>422</v>
      </c>
      <c r="J532" s="42"/>
      <c r="K532" s="42"/>
      <c r="L532" s="42"/>
      <c r="M532" s="42"/>
      <c r="N532" s="42"/>
      <c r="O532" s="1440" t="s">
        <v>333</v>
      </c>
      <c r="P532" s="1441"/>
      <c r="Q532" s="1441"/>
      <c r="R532" s="1441"/>
      <c r="S532" s="1441"/>
      <c r="T532" s="1441"/>
      <c r="U532" s="1441"/>
      <c r="V532" s="1441"/>
      <c r="W532" s="1441"/>
      <c r="X532" s="1441"/>
      <c r="Y532" s="1441"/>
      <c r="Z532" s="1441"/>
      <c r="AA532" s="1441"/>
      <c r="AC532" s="1398" t="s">
        <v>591</v>
      </c>
      <c r="AD532" s="1399"/>
      <c r="AE532" s="1399"/>
      <c r="AF532" s="1399"/>
      <c r="AG532" s="13" t="s">
        <v>402</v>
      </c>
      <c r="AH532" s="1413"/>
      <c r="AI532" s="1413"/>
      <c r="AJ532" s="1413"/>
      <c r="AK532" s="1414"/>
      <c r="AZ532" s="3"/>
      <c r="BA532" s="3"/>
      <c r="BB532" s="3"/>
      <c r="BC532" s="3"/>
      <c r="BD532" s="3"/>
      <c r="BE532" s="3"/>
      <c r="BF532" s="3"/>
      <c r="BG532" s="3"/>
      <c r="BH532" s="3"/>
      <c r="BI532" s="3"/>
      <c r="BJ532" s="3"/>
      <c r="BK532" s="3"/>
      <c r="BL532" s="3"/>
      <c r="BM532" s="3"/>
      <c r="BN532" s="3" t="s">
        <v>2123</v>
      </c>
    </row>
    <row r="533" spans="1:66" ht="12.95" customHeight="1">
      <c r="B533" s="1373"/>
      <c r="C533" s="1374"/>
      <c r="D533" s="1374"/>
      <c r="E533" s="1374"/>
      <c r="F533" s="1374"/>
      <c r="G533" s="1374"/>
      <c r="H533" s="1375"/>
      <c r="I533" t="s">
        <v>420</v>
      </c>
      <c r="AC533" s="1398" t="s">
        <v>591</v>
      </c>
      <c r="AD533" s="1399"/>
      <c r="AE533" s="1399"/>
      <c r="AF533" s="1399"/>
      <c r="AG533" s="38" t="s">
        <v>402</v>
      </c>
      <c r="AH533" s="1413"/>
      <c r="AI533" s="1413"/>
      <c r="AJ533" s="1413"/>
      <c r="AK533" s="1414"/>
      <c r="AZ533" s="3"/>
      <c r="BA533" s="3"/>
      <c r="BB533" s="3"/>
      <c r="BC533" s="3"/>
      <c r="BD533" s="3"/>
      <c r="BE533" s="3"/>
      <c r="BF533" s="3"/>
      <c r="BG533" s="3"/>
      <c r="BH533" s="3"/>
      <c r="BI533" s="3"/>
      <c r="BJ533" s="3"/>
      <c r="BK533" s="3"/>
      <c r="BL533" s="3"/>
      <c r="BM533" s="3"/>
      <c r="BN533" s="3" t="s">
        <v>2124</v>
      </c>
    </row>
    <row r="534" spans="1:66" ht="12.95" customHeight="1">
      <c r="B534" s="1373"/>
      <c r="C534" s="1374"/>
      <c r="D534" s="1374"/>
      <c r="E534" s="1374"/>
      <c r="F534" s="1374"/>
      <c r="G534" s="1374"/>
      <c r="H534" s="1375"/>
      <c r="I534" s="48" t="s">
        <v>421</v>
      </c>
      <c r="J534" s="48"/>
      <c r="K534" s="48"/>
      <c r="L534" s="48"/>
      <c r="M534" s="48"/>
      <c r="N534" s="48"/>
      <c r="O534" s="48"/>
      <c r="P534" s="48"/>
      <c r="Q534" s="48"/>
      <c r="R534" s="48"/>
      <c r="S534" s="48"/>
      <c r="T534" s="48"/>
      <c r="U534" s="48"/>
      <c r="V534" s="48"/>
      <c r="W534" s="48"/>
      <c r="X534" s="48"/>
      <c r="Y534" s="48"/>
      <c r="Z534" s="48"/>
      <c r="AA534" s="48"/>
      <c r="AB534" s="48"/>
      <c r="AC534" s="1398" t="s">
        <v>591</v>
      </c>
      <c r="AD534" s="1399"/>
      <c r="AE534" s="1399"/>
      <c r="AF534" s="1399"/>
      <c r="AG534" s="13" t="s">
        <v>402</v>
      </c>
      <c r="AH534" s="1413"/>
      <c r="AI534" s="1413"/>
      <c r="AJ534" s="1413"/>
      <c r="AK534" s="1414"/>
      <c r="AZ534" s="3"/>
      <c r="BA534" s="3"/>
      <c r="BB534" s="3"/>
      <c r="BC534" s="3"/>
      <c r="BD534" s="3"/>
      <c r="BE534" s="3"/>
      <c r="BF534" s="3"/>
      <c r="BG534" s="3"/>
      <c r="BH534" s="3"/>
      <c r="BI534" s="3"/>
      <c r="BJ534" s="3"/>
      <c r="BK534" s="3"/>
      <c r="BL534" s="3"/>
      <c r="BM534" s="3"/>
      <c r="BN534" s="3" t="s">
        <v>2125</v>
      </c>
    </row>
    <row r="535" spans="1:66" ht="12.95" customHeight="1">
      <c r="B535" s="1373"/>
      <c r="C535" s="1374"/>
      <c r="D535" s="1374"/>
      <c r="E535" s="1374"/>
      <c r="F535" s="1374"/>
      <c r="G535" s="1374"/>
      <c r="H535" s="1375"/>
      <c r="I535" s="42" t="s">
        <v>422</v>
      </c>
      <c r="J535" s="42"/>
      <c r="K535" s="42"/>
      <c r="L535" s="42"/>
      <c r="M535" s="42"/>
      <c r="N535" s="42"/>
      <c r="O535" s="1440" t="s">
        <v>333</v>
      </c>
      <c r="P535" s="1441"/>
      <c r="Q535" s="1441"/>
      <c r="R535" s="1441"/>
      <c r="S535" s="1441"/>
      <c r="T535" s="1441"/>
      <c r="U535" s="1441"/>
      <c r="V535" s="1441"/>
      <c r="W535" s="1441"/>
      <c r="X535" s="1441"/>
      <c r="Y535" s="1441"/>
      <c r="Z535" s="1441"/>
      <c r="AA535" s="1441"/>
      <c r="AC535" s="1398" t="s">
        <v>591</v>
      </c>
      <c r="AD535" s="1399"/>
      <c r="AE535" s="1399"/>
      <c r="AF535" s="1399"/>
      <c r="AG535" s="38" t="s">
        <v>402</v>
      </c>
      <c r="AH535" s="1413"/>
      <c r="AI535" s="1413"/>
      <c r="AJ535" s="1413"/>
      <c r="AK535" s="1414"/>
      <c r="AZ535" s="3"/>
      <c r="BA535" s="3"/>
      <c r="BB535" s="3"/>
      <c r="BC535" s="3"/>
      <c r="BD535" s="3"/>
      <c r="BE535" s="3"/>
      <c r="BF535" s="3"/>
      <c r="BG535" s="3"/>
      <c r="BH535" s="3"/>
      <c r="BI535" s="3"/>
      <c r="BJ535" s="3"/>
      <c r="BK535" s="3"/>
      <c r="BL535" s="3"/>
      <c r="BM535" s="3"/>
      <c r="BN535" s="3" t="s">
        <v>2126</v>
      </c>
    </row>
    <row r="536" spans="1:66" ht="12.95" customHeight="1">
      <c r="B536" s="1373"/>
      <c r="C536" s="1374"/>
      <c r="D536" s="1374"/>
      <c r="E536" s="1374"/>
      <c r="F536" s="1374"/>
      <c r="G536" s="1374"/>
      <c r="H536" s="1375"/>
      <c r="I536" t="s">
        <v>420</v>
      </c>
      <c r="AC536" s="1398" t="s">
        <v>591</v>
      </c>
      <c r="AD536" s="1399"/>
      <c r="AE536" s="1399"/>
      <c r="AF536" s="1399"/>
      <c r="AG536" s="13" t="s">
        <v>402</v>
      </c>
      <c r="AH536" s="1413"/>
      <c r="AI536" s="1413"/>
      <c r="AJ536" s="1413"/>
      <c r="AK536" s="1414"/>
      <c r="AZ536" s="3"/>
      <c r="BA536" s="3"/>
      <c r="BB536" s="3"/>
      <c r="BC536" s="3"/>
      <c r="BD536" s="3"/>
      <c r="BE536" s="3"/>
      <c r="BF536" s="3"/>
      <c r="BG536" s="3"/>
      <c r="BH536" s="3"/>
      <c r="BI536" s="3"/>
      <c r="BJ536" s="3"/>
      <c r="BK536" s="3"/>
      <c r="BL536" s="3"/>
      <c r="BM536" s="3"/>
      <c r="BN536" s="3" t="s">
        <v>2127</v>
      </c>
    </row>
    <row r="537" spans="1:66" ht="12.95" customHeight="1">
      <c r="B537" s="1373"/>
      <c r="C537" s="1374"/>
      <c r="D537" s="1374"/>
      <c r="E537" s="1374"/>
      <c r="F537" s="1374"/>
      <c r="G537" s="1374"/>
      <c r="H537" s="1375"/>
      <c r="I537" s="48" t="s">
        <v>421</v>
      </c>
      <c r="J537" s="48"/>
      <c r="K537" s="48"/>
      <c r="L537" s="48"/>
      <c r="M537" s="48"/>
      <c r="N537" s="48"/>
      <c r="O537" s="48"/>
      <c r="P537" s="48"/>
      <c r="Q537" s="48"/>
      <c r="R537" s="48"/>
      <c r="S537" s="48"/>
      <c r="T537" s="48"/>
      <c r="U537" s="48"/>
      <c r="V537" s="48"/>
      <c r="W537" s="48"/>
      <c r="X537" s="48"/>
      <c r="Y537" s="48"/>
      <c r="Z537" s="48"/>
      <c r="AA537" s="48"/>
      <c r="AB537" s="48"/>
      <c r="AC537" s="1398" t="s">
        <v>591</v>
      </c>
      <c r="AD537" s="1399"/>
      <c r="AE537" s="1399"/>
      <c r="AF537" s="1399"/>
      <c r="AG537" s="38" t="s">
        <v>402</v>
      </c>
      <c r="AH537" s="1413"/>
      <c r="AI537" s="1413"/>
      <c r="AJ537" s="1413"/>
      <c r="AK537" s="1414"/>
      <c r="AZ537" s="3"/>
      <c r="BA537" s="3"/>
      <c r="BB537" s="3"/>
      <c r="BC537" s="3"/>
      <c r="BD537" s="3"/>
      <c r="BE537" s="3"/>
      <c r="BF537" s="3"/>
      <c r="BG537" s="3"/>
      <c r="BH537" s="3"/>
      <c r="BI537" s="3"/>
      <c r="BJ537" s="3"/>
      <c r="BK537" s="3"/>
      <c r="BL537" s="3"/>
      <c r="BM537" s="3"/>
      <c r="BN537" s="3" t="s">
        <v>2128</v>
      </c>
    </row>
    <row r="538" spans="1:66" ht="12.95" customHeight="1">
      <c r="B538" s="1373"/>
      <c r="C538" s="1374"/>
      <c r="D538" s="1374"/>
      <c r="E538" s="1374"/>
      <c r="F538" s="1374"/>
      <c r="G538" s="1374"/>
      <c r="H538" s="1375"/>
      <c r="I538" s="42" t="s">
        <v>562</v>
      </c>
      <c r="J538" s="42"/>
      <c r="K538" s="42"/>
      <c r="L538" s="42"/>
      <c r="M538" s="42"/>
      <c r="N538" s="42"/>
      <c r="O538" s="42"/>
      <c r="P538" s="42"/>
      <c r="Q538" s="42"/>
      <c r="R538" s="42"/>
      <c r="S538" s="42"/>
      <c r="T538" s="42"/>
      <c r="U538" s="42"/>
      <c r="V538" s="42"/>
      <c r="W538" s="42"/>
      <c r="AC538" s="1398">
        <v>6</v>
      </c>
      <c r="AD538" s="1399"/>
      <c r="AE538" s="1399"/>
      <c r="AF538" s="1399"/>
      <c r="AG538" s="38" t="s">
        <v>402</v>
      </c>
      <c r="AH538" s="1413">
        <v>2026</v>
      </c>
      <c r="AI538" s="1413"/>
      <c r="AJ538" s="1413"/>
      <c r="AK538" s="1414"/>
      <c r="AZ538" s="3"/>
      <c r="BA538" s="3"/>
      <c r="BB538" s="3"/>
      <c r="BC538" s="3"/>
      <c r="BD538" s="3"/>
      <c r="BE538" s="3"/>
      <c r="BF538" s="3"/>
      <c r="BG538" s="3"/>
      <c r="BH538" s="3"/>
      <c r="BI538" s="3"/>
      <c r="BJ538" s="3"/>
      <c r="BK538" s="3"/>
      <c r="BL538" s="3"/>
      <c r="BM538" s="3"/>
      <c r="BN538" s="3"/>
    </row>
    <row r="539" spans="1:66" ht="12.95" customHeight="1">
      <c r="B539" s="1373"/>
      <c r="C539" s="1374"/>
      <c r="D539" s="1374"/>
      <c r="E539" s="1374"/>
      <c r="F539" s="1374"/>
      <c r="G539" s="1374"/>
      <c r="H539" s="1375"/>
      <c r="I539" t="s">
        <v>563</v>
      </c>
      <c r="AC539" s="1398">
        <v>6</v>
      </c>
      <c r="AD539" s="1399"/>
      <c r="AE539" s="1399"/>
      <c r="AF539" s="1399"/>
      <c r="AG539" s="13" t="s">
        <v>402</v>
      </c>
      <c r="AH539" s="1413">
        <v>2026</v>
      </c>
      <c r="AI539" s="1413"/>
      <c r="AJ539" s="1413"/>
      <c r="AK539" s="1414"/>
      <c r="AZ539" s="3"/>
      <c r="BA539" s="3"/>
      <c r="BB539" s="3"/>
      <c r="BC539" s="3"/>
      <c r="BD539" s="3"/>
      <c r="BE539" s="3"/>
      <c r="BF539" s="3"/>
      <c r="BG539" s="3"/>
      <c r="BH539" s="3"/>
      <c r="BI539" s="3"/>
      <c r="BJ539" s="3"/>
      <c r="BK539" s="3"/>
      <c r="BL539" s="3"/>
      <c r="BM539" s="3"/>
      <c r="BN539" s="3"/>
    </row>
    <row r="540" spans="1:66" ht="12.95" customHeight="1">
      <c r="B540" s="1373"/>
      <c r="C540" s="1374"/>
      <c r="D540" s="1374"/>
      <c r="E540" s="1374"/>
      <c r="F540" s="1374"/>
      <c r="G540" s="1374"/>
      <c r="H540" s="1375"/>
      <c r="I540" t="s">
        <v>564</v>
      </c>
      <c r="AC540" s="1398">
        <v>6</v>
      </c>
      <c r="AD540" s="1399"/>
      <c r="AE540" s="1399"/>
      <c r="AF540" s="1399"/>
      <c r="AG540" s="38" t="s">
        <v>402</v>
      </c>
      <c r="AH540" s="1413">
        <v>2028</v>
      </c>
      <c r="AI540" s="1413"/>
      <c r="AJ540" s="1413"/>
      <c r="AK540" s="1414"/>
      <c r="AZ540" s="3"/>
      <c r="BA540" s="3"/>
      <c r="BB540" s="3"/>
      <c r="BC540" s="3"/>
      <c r="BD540" s="3"/>
      <c r="BE540" s="3"/>
      <c r="BF540" s="3"/>
      <c r="BG540" s="3"/>
      <c r="BH540" s="3"/>
      <c r="BI540" s="3"/>
      <c r="BJ540" s="3"/>
      <c r="BK540" s="3"/>
      <c r="BL540" s="3"/>
      <c r="BM540" s="3"/>
      <c r="BN540" s="3"/>
    </row>
    <row r="541" spans="1:66" ht="12.95" customHeight="1">
      <c r="B541" s="1373"/>
      <c r="C541" s="1374"/>
      <c r="D541" s="1374"/>
      <c r="E541" s="1374"/>
      <c r="F541" s="1374"/>
      <c r="G541" s="1374"/>
      <c r="H541" s="1375"/>
      <c r="I541" t="s">
        <v>565</v>
      </c>
      <c r="AC541" s="1398">
        <v>6</v>
      </c>
      <c r="AD541" s="1399"/>
      <c r="AE541" s="1399"/>
      <c r="AF541" s="1399"/>
      <c r="AG541" s="38" t="s">
        <v>402</v>
      </c>
      <c r="AH541" s="1413">
        <v>2028</v>
      </c>
      <c r="AI541" s="1413"/>
      <c r="AJ541" s="1413"/>
      <c r="AK541" s="1414"/>
      <c r="AZ541" s="3"/>
      <c r="BA541" s="3"/>
      <c r="BB541" s="3"/>
      <c r="BC541" s="3"/>
      <c r="BD541" s="3"/>
      <c r="BE541" s="3"/>
      <c r="BF541" s="3"/>
      <c r="BG541" s="3"/>
      <c r="BH541" s="3"/>
      <c r="BI541" s="3"/>
      <c r="BJ541" s="3"/>
      <c r="BK541" s="3"/>
      <c r="BL541" s="3"/>
      <c r="BM541" s="3"/>
      <c r="BN541" s="3"/>
    </row>
    <row r="542" spans="1:66" ht="12.95" customHeight="1">
      <c r="B542" s="1376"/>
      <c r="C542" s="1377"/>
      <c r="D542" s="1377"/>
      <c r="E542" s="1377"/>
      <c r="F542" s="1377"/>
      <c r="G542" s="1377"/>
      <c r="H542" s="1378"/>
      <c r="I542" s="48" t="s">
        <v>451</v>
      </c>
      <c r="J542" s="48"/>
      <c r="K542" s="48"/>
      <c r="L542" s="48"/>
      <c r="M542" s="48"/>
      <c r="N542" s="48"/>
      <c r="O542" s="48"/>
      <c r="P542" s="48"/>
      <c r="Q542" s="48"/>
      <c r="R542" s="48"/>
      <c r="S542" s="48"/>
      <c r="T542" s="48"/>
      <c r="U542" s="48"/>
      <c r="V542" s="48"/>
      <c r="W542" s="48"/>
      <c r="X542" s="48"/>
      <c r="Y542" s="48"/>
      <c r="Z542" s="48"/>
      <c r="AA542" s="48"/>
      <c r="AB542" s="48"/>
      <c r="AC542" s="1398">
        <v>12</v>
      </c>
      <c r="AD542" s="1399"/>
      <c r="AE542" s="1399"/>
      <c r="AF542" s="1399"/>
      <c r="AG542" s="38" t="s">
        <v>402</v>
      </c>
      <c r="AH542" s="1413">
        <v>2028</v>
      </c>
      <c r="AI542" s="1413"/>
      <c r="AJ542" s="1413"/>
      <c r="AK542" s="141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70" t="s">
        <v>2102</v>
      </c>
      <c r="C551" s="1371"/>
      <c r="D551" s="1371"/>
      <c r="E551" s="1371"/>
      <c r="F551" s="1371"/>
      <c r="G551" s="1371"/>
      <c r="H551" s="1371"/>
      <c r="I551" s="1371"/>
      <c r="J551" s="1371"/>
      <c r="K551" s="1371"/>
      <c r="L551" s="1372"/>
      <c r="M551" s="1370" t="s">
        <v>2103</v>
      </c>
      <c r="N551" s="1371"/>
      <c r="O551" s="1371"/>
      <c r="P551" s="1372"/>
      <c r="Q551" s="1370" t="s">
        <v>2129</v>
      </c>
      <c r="R551" s="1371"/>
      <c r="S551" s="1372"/>
      <c r="T551" s="1370" t="s">
        <v>2130</v>
      </c>
      <c r="U551" s="1371"/>
      <c r="V551" s="1372"/>
      <c r="W551" s="1370" t="s">
        <v>453</v>
      </c>
      <c r="X551" s="1371"/>
      <c r="Y551" s="1372"/>
      <c r="Z551" s="1370" t="s">
        <v>1851</v>
      </c>
      <c r="AA551" s="1371"/>
      <c r="AB551" s="1371"/>
      <c r="AC551" s="1371"/>
      <c r="AD551" s="1372"/>
      <c r="AE551" s="1370" t="s">
        <v>1676</v>
      </c>
      <c r="AF551" s="1371"/>
      <c r="AG551" s="1371"/>
      <c r="AH551" s="1372"/>
      <c r="AI551" s="1370" t="s">
        <v>1677</v>
      </c>
      <c r="AJ551" s="1371"/>
      <c r="AK551" s="1371"/>
      <c r="AL551" s="1372"/>
      <c r="AM551" s="1370" t="s">
        <v>454</v>
      </c>
      <c r="AN551" s="1371"/>
      <c r="AO551" s="1371"/>
      <c r="AP551" s="1371"/>
      <c r="AQ551" s="1371"/>
      <c r="AR551" s="1371"/>
      <c r="AS551" s="1372"/>
      <c r="BB551" s="3"/>
      <c r="BC551" s="3"/>
      <c r="BD551" s="3"/>
      <c r="BE551" s="3"/>
      <c r="BF551" s="3"/>
      <c r="BG551" s="3"/>
      <c r="BH551" s="3" t="s">
        <v>581</v>
      </c>
      <c r="BI551" s="3" t="str">
        <f>AG657</f>
        <v>No</v>
      </c>
    </row>
    <row r="552" spans="1:61" ht="12.95" customHeight="1">
      <c r="B552" s="1373"/>
      <c r="C552" s="1374"/>
      <c r="D552" s="1374"/>
      <c r="E552" s="1374"/>
      <c r="F552" s="1374"/>
      <c r="G552" s="1374"/>
      <c r="H552" s="1374"/>
      <c r="I552" s="1374"/>
      <c r="J552" s="1374"/>
      <c r="K552" s="1374"/>
      <c r="L552" s="1375"/>
      <c r="M552" s="1373"/>
      <c r="N552" s="1374"/>
      <c r="O552" s="1374"/>
      <c r="P552" s="1375"/>
      <c r="Q552" s="1373"/>
      <c r="R552" s="1374"/>
      <c r="S552" s="1375"/>
      <c r="T552" s="1373"/>
      <c r="U552" s="1374"/>
      <c r="V552" s="1375"/>
      <c r="W552" s="1373"/>
      <c r="X552" s="1374"/>
      <c r="Y552" s="1375"/>
      <c r="Z552" s="1373"/>
      <c r="AA552" s="1374"/>
      <c r="AB552" s="1374"/>
      <c r="AC552" s="1374"/>
      <c r="AD552" s="1375"/>
      <c r="AE552" s="1373"/>
      <c r="AF552" s="1374"/>
      <c r="AG552" s="1374"/>
      <c r="AH552" s="1375"/>
      <c r="AI552" s="1373"/>
      <c r="AJ552" s="1374"/>
      <c r="AK552" s="1374"/>
      <c r="AL552" s="1375"/>
      <c r="AM552" s="1373"/>
      <c r="AN552" s="1374"/>
      <c r="AO552" s="1374"/>
      <c r="AP552" s="1374"/>
      <c r="AQ552" s="1374"/>
      <c r="AR552" s="1374"/>
      <c r="AS552" s="1375"/>
      <c r="AU552" s="1147"/>
      <c r="BB552" s="3"/>
      <c r="BC552" s="3"/>
      <c r="BD552" s="3"/>
      <c r="BE552" s="3"/>
      <c r="BF552" s="3"/>
      <c r="BG552" s="3"/>
      <c r="BH552" s="3"/>
      <c r="BI552" s="3"/>
    </row>
    <row r="553" spans="1:61" ht="12.95" customHeight="1">
      <c r="B553" s="1376"/>
      <c r="C553" s="1377"/>
      <c r="D553" s="1377"/>
      <c r="E553" s="1377"/>
      <c r="F553" s="1377"/>
      <c r="G553" s="1377"/>
      <c r="H553" s="1377"/>
      <c r="I553" s="1377"/>
      <c r="J553" s="1377"/>
      <c r="K553" s="1377"/>
      <c r="L553" s="1378"/>
      <c r="M553" s="1376"/>
      <c r="N553" s="1377"/>
      <c r="O553" s="1377"/>
      <c r="P553" s="1378"/>
      <c r="Q553" s="1376"/>
      <c r="R553" s="1377"/>
      <c r="S553" s="1378"/>
      <c r="T553" s="1376"/>
      <c r="U553" s="1377"/>
      <c r="V553" s="1378"/>
      <c r="W553" s="1376"/>
      <c r="X553" s="1377"/>
      <c r="Y553" s="1378"/>
      <c r="Z553" s="1376"/>
      <c r="AA553" s="1377"/>
      <c r="AB553" s="1377"/>
      <c r="AC553" s="1377"/>
      <c r="AD553" s="1378"/>
      <c r="AE553" s="1376"/>
      <c r="AF553" s="1377"/>
      <c r="AG553" s="1377"/>
      <c r="AH553" s="1378"/>
      <c r="AI553" s="1376"/>
      <c r="AJ553" s="1377"/>
      <c r="AK553" s="1377"/>
      <c r="AL553" s="1378"/>
      <c r="AM553" s="1376"/>
      <c r="AN553" s="1377"/>
      <c r="AO553" s="1377"/>
      <c r="AP553" s="1377"/>
      <c r="AQ553" s="1377"/>
      <c r="AR553" s="1377"/>
      <c r="AS553" s="1378"/>
      <c r="AU553" s="1147"/>
      <c r="BB553" s="3"/>
      <c r="BC553" s="3"/>
      <c r="BD553" s="3"/>
      <c r="BE553" s="3"/>
      <c r="BF553" s="3"/>
      <c r="BG553" s="3"/>
      <c r="BH553" s="3"/>
      <c r="BI553" s="3"/>
    </row>
    <row r="554" spans="1:61" ht="12.95" customHeight="1">
      <c r="B554" s="51" t="s">
        <v>112</v>
      </c>
      <c r="C554" s="1416" t="s">
        <v>2692</v>
      </c>
      <c r="D554" s="1416"/>
      <c r="E554" s="1416"/>
      <c r="F554" s="1416"/>
      <c r="G554" s="1416"/>
      <c r="H554" s="1416"/>
      <c r="I554" s="1416"/>
      <c r="J554" s="1416"/>
      <c r="K554" s="1416"/>
      <c r="L554" s="1416"/>
      <c r="M554" s="1416" t="s">
        <v>2119</v>
      </c>
      <c r="N554" s="1416"/>
      <c r="O554" s="1416"/>
      <c r="P554" s="1416"/>
      <c r="Q554" s="1411">
        <v>36</v>
      </c>
      <c r="R554" s="1411"/>
      <c r="S554" s="1412"/>
      <c r="T554" s="1423"/>
      <c r="U554" s="1411"/>
      <c r="V554" s="1412"/>
      <c r="W554" s="1417">
        <v>0.06</v>
      </c>
      <c r="X554" s="1418"/>
      <c r="Y554" s="1419"/>
      <c r="Z554" s="1415" t="s">
        <v>2697</v>
      </c>
      <c r="AA554" s="1415"/>
      <c r="AB554" s="1415"/>
      <c r="AC554" s="1415"/>
      <c r="AD554" s="1415"/>
      <c r="AE554" s="1420">
        <v>1</v>
      </c>
      <c r="AF554" s="1421"/>
      <c r="AG554" s="1421"/>
      <c r="AH554" s="1422"/>
      <c r="AI554" s="1405"/>
      <c r="AJ554" s="1406"/>
      <c r="AK554" s="1406"/>
      <c r="AL554" s="1407"/>
      <c r="AM554" s="1450">
        <v>40500000</v>
      </c>
      <c r="AN554" s="1451"/>
      <c r="AO554" s="1451"/>
      <c r="AP554" s="1451"/>
      <c r="AQ554" s="1451"/>
      <c r="AR554" s="1451"/>
      <c r="AS554" s="1452"/>
      <c r="AT554" s="1148"/>
      <c r="AU554" s="1147"/>
      <c r="BB554" s="3"/>
      <c r="BC554" s="3"/>
      <c r="BD554" s="3"/>
      <c r="BE554" s="3"/>
      <c r="BF554" s="3"/>
      <c r="BG554" s="3"/>
      <c r="BH554" s="3"/>
      <c r="BI554" s="3"/>
    </row>
    <row r="555" spans="1:61" ht="12.95" customHeight="1">
      <c r="B555" s="52" t="s">
        <v>113</v>
      </c>
      <c r="C555" s="1408" t="s">
        <v>2693</v>
      </c>
      <c r="D555" s="1408"/>
      <c r="E555" s="1408"/>
      <c r="F555" s="1408"/>
      <c r="G555" s="1408"/>
      <c r="H555" s="1408"/>
      <c r="I555" s="1408"/>
      <c r="J555" s="1408"/>
      <c r="K555" s="1408"/>
      <c r="L555" s="1408"/>
      <c r="M555" s="1416" t="s">
        <v>2120</v>
      </c>
      <c r="N555" s="1416"/>
      <c r="O555" s="1416"/>
      <c r="P555" s="1416"/>
      <c r="Q555" s="1423">
        <v>36</v>
      </c>
      <c r="R555" s="1411"/>
      <c r="S555" s="1412"/>
      <c r="T555" s="1423"/>
      <c r="U555" s="1411"/>
      <c r="V555" s="1412"/>
      <c r="W555" s="1417">
        <v>0.06</v>
      </c>
      <c r="X555" s="1418"/>
      <c r="Y555" s="1419"/>
      <c r="Z555" s="1415" t="s">
        <v>2697</v>
      </c>
      <c r="AA555" s="1415"/>
      <c r="AB555" s="1415"/>
      <c r="AC555" s="1415"/>
      <c r="AD555" s="1415"/>
      <c r="AE555" s="1420">
        <v>1</v>
      </c>
      <c r="AF555" s="1421"/>
      <c r="AG555" s="1421"/>
      <c r="AH555" s="1422"/>
      <c r="AI555" s="1405"/>
      <c r="AJ555" s="1406"/>
      <c r="AK555" s="1406"/>
      <c r="AL555" s="1407"/>
      <c r="AM555" s="1450">
        <v>20000000</v>
      </c>
      <c r="AN555" s="1451"/>
      <c r="AO555" s="1451"/>
      <c r="AP555" s="1451"/>
      <c r="AQ555" s="1451"/>
      <c r="AR555" s="1451"/>
      <c r="AS555" s="1452"/>
      <c r="AT555" s="1148" t="str">
        <f>IF(AND(NOT(C554=""),C555="",NOT(C556="")),"!","")</f>
        <v/>
      </c>
      <c r="AU555" s="1147"/>
      <c r="BB555" s="3"/>
      <c r="BC555" s="3"/>
      <c r="BD555" s="3"/>
      <c r="BE555" s="3"/>
      <c r="BF555" s="3"/>
      <c r="BG555" s="3"/>
      <c r="BH555" s="3"/>
      <c r="BI555" s="3"/>
    </row>
    <row r="556" spans="1:61" ht="12.95" customHeight="1">
      <c r="B556" s="52" t="s">
        <v>119</v>
      </c>
      <c r="C556" s="1408" t="s">
        <v>2694</v>
      </c>
      <c r="D556" s="1408"/>
      <c r="E556" s="1408"/>
      <c r="F556" s="1408"/>
      <c r="G556" s="1408"/>
      <c r="H556" s="1408"/>
      <c r="I556" s="1408"/>
      <c r="J556" s="1408"/>
      <c r="K556" s="1408"/>
      <c r="L556" s="1408"/>
      <c r="M556" s="1416" t="s">
        <v>2118</v>
      </c>
      <c r="N556" s="1416"/>
      <c r="O556" s="1416"/>
      <c r="P556" s="1416"/>
      <c r="Q556" s="1423">
        <v>36</v>
      </c>
      <c r="R556" s="1411"/>
      <c r="S556" s="1412"/>
      <c r="T556" s="1423"/>
      <c r="U556" s="1411"/>
      <c r="V556" s="1412"/>
      <c r="W556" s="1417">
        <v>6.5000000000000002E-2</v>
      </c>
      <c r="X556" s="1418"/>
      <c r="Y556" s="1419"/>
      <c r="Z556" s="1415" t="s">
        <v>2697</v>
      </c>
      <c r="AA556" s="1415"/>
      <c r="AB556" s="1415"/>
      <c r="AC556" s="1415"/>
      <c r="AD556" s="1415"/>
      <c r="AE556" s="1420">
        <v>1</v>
      </c>
      <c r="AF556" s="1421"/>
      <c r="AG556" s="1421"/>
      <c r="AH556" s="1422"/>
      <c r="AI556" s="1405"/>
      <c r="AJ556" s="1406"/>
      <c r="AK556" s="1406"/>
      <c r="AL556" s="1407"/>
      <c r="AM556" s="1450">
        <v>66500000</v>
      </c>
      <c r="AN556" s="1451"/>
      <c r="AO556" s="1451"/>
      <c r="AP556" s="1451"/>
      <c r="AQ556" s="1451"/>
      <c r="AR556" s="1451"/>
      <c r="AS556" s="1452"/>
      <c r="AT556" s="1148" t="str">
        <f>IF(AND(NOT(C555=""),C556="",NOT(C557="")),"!","")</f>
        <v/>
      </c>
      <c r="AU556" s="1147"/>
      <c r="BB556" s="3"/>
      <c r="BC556" s="3"/>
      <c r="BD556" s="3"/>
      <c r="BE556" s="3"/>
      <c r="BF556" s="3"/>
      <c r="BG556" s="3"/>
      <c r="BH556" s="3"/>
      <c r="BI556" s="3"/>
    </row>
    <row r="557" spans="1:61" ht="12.95" customHeight="1">
      <c r="B557" s="52" t="s">
        <v>581</v>
      </c>
      <c r="C557" s="1408" t="s">
        <v>2320</v>
      </c>
      <c r="D557" s="1408"/>
      <c r="E557" s="1408"/>
      <c r="F557" s="1408"/>
      <c r="G557" s="1408"/>
      <c r="H557" s="1408"/>
      <c r="I557" s="1408"/>
      <c r="J557" s="1408"/>
      <c r="K557" s="1408"/>
      <c r="L557" s="1408"/>
      <c r="M557" s="1416" t="s">
        <v>2106</v>
      </c>
      <c r="N557" s="1416"/>
      <c r="O557" s="1416"/>
      <c r="P557" s="1416"/>
      <c r="Q557" s="1423"/>
      <c r="R557" s="1411"/>
      <c r="S557" s="1412"/>
      <c r="T557" s="1423"/>
      <c r="U557" s="1411"/>
      <c r="V557" s="1412"/>
      <c r="W557" s="1417"/>
      <c r="X557" s="1418"/>
      <c r="Y557" s="1419"/>
      <c r="Z557" s="1415" t="s">
        <v>591</v>
      </c>
      <c r="AA557" s="1415"/>
      <c r="AB557" s="1415"/>
      <c r="AC557" s="1415"/>
      <c r="AD557" s="1415"/>
      <c r="AE557" s="1420"/>
      <c r="AF557" s="1421"/>
      <c r="AG557" s="1421"/>
      <c r="AH557" s="1422"/>
      <c r="AI557" s="1405"/>
      <c r="AJ557" s="1406"/>
      <c r="AK557" s="1406"/>
      <c r="AL557" s="1407"/>
      <c r="AM557" s="1450">
        <v>19988600</v>
      </c>
      <c r="AN557" s="1451"/>
      <c r="AO557" s="1451"/>
      <c r="AP557" s="1451"/>
      <c r="AQ557" s="1451"/>
      <c r="AR557" s="1451"/>
      <c r="AS557" s="1452"/>
      <c r="AT557" s="1148" t="str">
        <f>IF(AND(NOT(C556=""),C557="",NOT(C558="")),"!","")</f>
        <v/>
      </c>
      <c r="AU557" s="1147"/>
      <c r="BB557" s="3"/>
      <c r="BC557" s="3"/>
      <c r="BD557" s="3"/>
      <c r="BE557" s="3"/>
      <c r="BF557" s="3"/>
      <c r="BG557" s="3"/>
      <c r="BH557" s="3"/>
      <c r="BI557" s="3"/>
    </row>
    <row r="558" spans="1:61" ht="12.95" customHeight="1">
      <c r="B558" s="52" t="s">
        <v>763</v>
      </c>
      <c r="C558" s="1408" t="s">
        <v>2695</v>
      </c>
      <c r="D558" s="1408"/>
      <c r="E558" s="1408"/>
      <c r="F558" s="1408"/>
      <c r="G558" s="1408"/>
      <c r="H558" s="1408"/>
      <c r="I558" s="1408"/>
      <c r="J558" s="1408"/>
      <c r="K558" s="1408"/>
      <c r="L558" s="1408"/>
      <c r="M558" s="1416" t="s">
        <v>2105</v>
      </c>
      <c r="N558" s="1416"/>
      <c r="O558" s="1416"/>
      <c r="P558" s="1416"/>
      <c r="Q558" s="1423"/>
      <c r="R558" s="1411"/>
      <c r="S558" s="1412"/>
      <c r="T558" s="1423"/>
      <c r="U558" s="1411"/>
      <c r="V558" s="1412"/>
      <c r="W558" s="1417"/>
      <c r="X558" s="1418"/>
      <c r="Y558" s="1419"/>
      <c r="Z558" s="1415" t="s">
        <v>591</v>
      </c>
      <c r="AA558" s="1415"/>
      <c r="AB558" s="1415"/>
      <c r="AC558" s="1415"/>
      <c r="AD558" s="1415"/>
      <c r="AE558" s="1420"/>
      <c r="AF558" s="1421"/>
      <c r="AG558" s="1421"/>
      <c r="AH558" s="1422"/>
      <c r="AI558" s="1405"/>
      <c r="AJ558" s="1406"/>
      <c r="AK558" s="1406"/>
      <c r="AL558" s="1407"/>
      <c r="AM558" s="1450">
        <v>2093672</v>
      </c>
      <c r="AN558" s="1451"/>
      <c r="AO558" s="1451"/>
      <c r="AP558" s="1451"/>
      <c r="AQ558" s="1451"/>
      <c r="AR558" s="1451"/>
      <c r="AS558" s="1452"/>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408" t="s">
        <v>2696</v>
      </c>
      <c r="D559" s="1408"/>
      <c r="E559" s="1408"/>
      <c r="F559" s="1408"/>
      <c r="G559" s="1408"/>
      <c r="H559" s="1408"/>
      <c r="I559" s="1408"/>
      <c r="J559" s="1408"/>
      <c r="K559" s="1408"/>
      <c r="L559" s="1408"/>
      <c r="M559" s="1416" t="s">
        <v>2110</v>
      </c>
      <c r="N559" s="1416"/>
      <c r="O559" s="1416"/>
      <c r="P559" s="1416"/>
      <c r="Q559" s="1423"/>
      <c r="R559" s="1411"/>
      <c r="S559" s="1412"/>
      <c r="T559" s="1423"/>
      <c r="U559" s="1411"/>
      <c r="V559" s="1412"/>
      <c r="W559" s="1417"/>
      <c r="X559" s="1418"/>
      <c r="Y559" s="1419"/>
      <c r="Z559" s="1415" t="s">
        <v>591</v>
      </c>
      <c r="AA559" s="1415"/>
      <c r="AB559" s="1415"/>
      <c r="AC559" s="1415"/>
      <c r="AD559" s="1415"/>
      <c r="AE559" s="1420"/>
      <c r="AF559" s="1421"/>
      <c r="AG559" s="1421"/>
      <c r="AH559" s="1422"/>
      <c r="AI559" s="1405"/>
      <c r="AJ559" s="1406"/>
      <c r="AK559" s="1406"/>
      <c r="AL559" s="1407"/>
      <c r="AM559" s="1450">
        <v>7533429</v>
      </c>
      <c r="AN559" s="1451"/>
      <c r="AO559" s="1451"/>
      <c r="AP559" s="1451"/>
      <c r="AQ559" s="1451"/>
      <c r="AR559" s="1451"/>
      <c r="AS559" s="1452"/>
      <c r="AT559" s="1148" t="str">
        <f t="shared" si="0"/>
        <v/>
      </c>
      <c r="AU559" s="1147"/>
      <c r="BB559" s="3"/>
      <c r="BC559" s="3"/>
      <c r="BD559" s="3"/>
      <c r="BE559" s="3"/>
      <c r="BF559" s="3"/>
      <c r="BG559" s="3"/>
      <c r="BH559" s="3" t="s">
        <v>584</v>
      </c>
      <c r="BI559" s="3" t="str">
        <f>AG665</f>
        <v>No</v>
      </c>
    </row>
    <row r="560" spans="1:61" ht="12.95" customHeight="1">
      <c r="B560" s="52" t="s">
        <v>455</v>
      </c>
      <c r="C560" s="1408" t="s">
        <v>2723</v>
      </c>
      <c r="D560" s="1408"/>
      <c r="E560" s="1408"/>
      <c r="F560" s="1408"/>
      <c r="G560" s="1408"/>
      <c r="H560" s="1408"/>
      <c r="I560" s="1408"/>
      <c r="J560" s="1408"/>
      <c r="K560" s="1408"/>
      <c r="L560" s="1408"/>
      <c r="M560" s="1416" t="s">
        <v>2121</v>
      </c>
      <c r="N560" s="1416"/>
      <c r="O560" s="1416"/>
      <c r="P560" s="1416"/>
      <c r="Q560" s="1423"/>
      <c r="R560" s="1411"/>
      <c r="S560" s="1412"/>
      <c r="T560" s="1423"/>
      <c r="U560" s="1411"/>
      <c r="V560" s="1412"/>
      <c r="W560" s="1417"/>
      <c r="X560" s="1418"/>
      <c r="Y560" s="1419"/>
      <c r="Z560" s="1415" t="s">
        <v>591</v>
      </c>
      <c r="AA560" s="1415"/>
      <c r="AB560" s="1415"/>
      <c r="AC560" s="1415"/>
      <c r="AD560" s="1415"/>
      <c r="AE560" s="1420"/>
      <c r="AF560" s="1421"/>
      <c r="AG560" s="1421"/>
      <c r="AH560" s="1422"/>
      <c r="AI560" s="1405"/>
      <c r="AJ560" s="1406"/>
      <c r="AK560" s="1406"/>
      <c r="AL560" s="1407"/>
      <c r="AM560" s="1450">
        <v>2742399</v>
      </c>
      <c r="AN560" s="1451"/>
      <c r="AO560" s="1451"/>
      <c r="AP560" s="1451"/>
      <c r="AQ560" s="1451"/>
      <c r="AR560" s="1451"/>
      <c r="AS560" s="1452"/>
      <c r="AT560" s="1148" t="str">
        <f t="shared" si="0"/>
        <v/>
      </c>
      <c r="AU560" s="1147"/>
      <c r="BB560" s="3"/>
      <c r="BC560" s="3"/>
      <c r="BD560" s="3"/>
      <c r="BE560" s="3"/>
      <c r="BF560" s="3"/>
      <c r="BG560" s="3"/>
      <c r="BH560" s="3"/>
      <c r="BI560" s="3"/>
    </row>
    <row r="561" spans="1:61" ht="12.95" customHeight="1">
      <c r="B561" s="52" t="s">
        <v>456</v>
      </c>
      <c r="C561" s="1408"/>
      <c r="D561" s="1408"/>
      <c r="E561" s="1408"/>
      <c r="F561" s="1408"/>
      <c r="G561" s="1408"/>
      <c r="H561" s="1408"/>
      <c r="I561" s="1408"/>
      <c r="J561" s="1408"/>
      <c r="K561" s="1408"/>
      <c r="L561" s="1408"/>
      <c r="M561" s="1416" t="s">
        <v>1184</v>
      </c>
      <c r="N561" s="1416"/>
      <c r="O561" s="1416"/>
      <c r="P561" s="1416"/>
      <c r="Q561" s="1423"/>
      <c r="R561" s="1411"/>
      <c r="S561" s="1412"/>
      <c r="T561" s="1423"/>
      <c r="U561" s="1411"/>
      <c r="V561" s="1412"/>
      <c r="W561" s="1417"/>
      <c r="X561" s="1418"/>
      <c r="Y561" s="1419"/>
      <c r="Z561" s="1415" t="s">
        <v>1184</v>
      </c>
      <c r="AA561" s="1415"/>
      <c r="AB561" s="1415"/>
      <c r="AC561" s="1415"/>
      <c r="AD561" s="1415"/>
      <c r="AE561" s="1420"/>
      <c r="AF561" s="1421"/>
      <c r="AG561" s="1421"/>
      <c r="AH561" s="1422"/>
      <c r="AI561" s="1405"/>
      <c r="AJ561" s="1406"/>
      <c r="AK561" s="1406"/>
      <c r="AL561" s="1407"/>
      <c r="AM561" s="1450"/>
      <c r="AN561" s="1451"/>
      <c r="AO561" s="1451"/>
      <c r="AP561" s="1451"/>
      <c r="AQ561" s="1451"/>
      <c r="AR561" s="1451"/>
      <c r="AS561" s="1452"/>
      <c r="AT561" s="1148" t="str">
        <f t="shared" si="0"/>
        <v/>
      </c>
      <c r="AU561" s="1147"/>
      <c r="BB561" s="3"/>
      <c r="BC561" s="3"/>
      <c r="BD561" s="3"/>
      <c r="BE561" s="3"/>
      <c r="BF561" s="3"/>
      <c r="BG561" s="3"/>
      <c r="BH561" s="3"/>
      <c r="BI561" s="3"/>
    </row>
    <row r="562" spans="1:61" ht="12.95" customHeight="1">
      <c r="B562" s="52" t="s">
        <v>461</v>
      </c>
      <c r="C562" s="1408"/>
      <c r="D562" s="1408"/>
      <c r="E562" s="1408"/>
      <c r="F562" s="1408"/>
      <c r="G562" s="1408"/>
      <c r="H562" s="1408"/>
      <c r="I562" s="1408"/>
      <c r="J562" s="1408"/>
      <c r="K562" s="1408"/>
      <c r="L562" s="1408"/>
      <c r="M562" s="1416" t="s">
        <v>1184</v>
      </c>
      <c r="N562" s="1416"/>
      <c r="O562" s="1416"/>
      <c r="P562" s="1416"/>
      <c r="Q562" s="1423"/>
      <c r="R562" s="1411"/>
      <c r="S562" s="1412"/>
      <c r="T562" s="1423"/>
      <c r="U562" s="1411"/>
      <c r="V562" s="1412"/>
      <c r="W562" s="1417"/>
      <c r="X562" s="1418"/>
      <c r="Y562" s="1419"/>
      <c r="Z562" s="1415" t="s">
        <v>1184</v>
      </c>
      <c r="AA562" s="1415"/>
      <c r="AB562" s="1415"/>
      <c r="AC562" s="1415"/>
      <c r="AD562" s="1415"/>
      <c r="AE562" s="1420"/>
      <c r="AF562" s="1421"/>
      <c r="AG562" s="1421"/>
      <c r="AH562" s="1422"/>
      <c r="AI562" s="1405"/>
      <c r="AJ562" s="1406"/>
      <c r="AK562" s="1406"/>
      <c r="AL562" s="1407"/>
      <c r="AM562" s="1450"/>
      <c r="AN562" s="1451"/>
      <c r="AO562" s="1451"/>
      <c r="AP562" s="1451"/>
      <c r="AQ562" s="1451"/>
      <c r="AR562" s="1451"/>
      <c r="AS562" s="1452"/>
      <c r="AT562" s="1148" t="str">
        <f t="shared" si="0"/>
        <v/>
      </c>
      <c r="AU562" s="1147"/>
      <c r="BB562" s="3"/>
      <c r="BC562" s="3"/>
      <c r="BD562" s="3"/>
      <c r="BE562" s="3"/>
      <c r="BF562" s="3"/>
      <c r="BG562" s="3"/>
      <c r="BH562" s="3"/>
      <c r="BI562" s="3"/>
    </row>
    <row r="563" spans="1:61" ht="12.95" customHeight="1">
      <c r="B563" s="52" t="s">
        <v>646</v>
      </c>
      <c r="C563" s="1408"/>
      <c r="D563" s="1408"/>
      <c r="E563" s="1408"/>
      <c r="F563" s="1408"/>
      <c r="G563" s="1408"/>
      <c r="H563" s="1408"/>
      <c r="I563" s="1408"/>
      <c r="J563" s="1408"/>
      <c r="K563" s="1408"/>
      <c r="L563" s="1408"/>
      <c r="M563" s="1416" t="s">
        <v>1184</v>
      </c>
      <c r="N563" s="1416"/>
      <c r="O563" s="1416"/>
      <c r="P563" s="1416"/>
      <c r="Q563" s="1423"/>
      <c r="R563" s="1411"/>
      <c r="S563" s="1412"/>
      <c r="T563" s="1423"/>
      <c r="U563" s="1411"/>
      <c r="V563" s="1412"/>
      <c r="W563" s="1417"/>
      <c r="X563" s="1418"/>
      <c r="Y563" s="1419"/>
      <c r="Z563" s="1415" t="s">
        <v>1184</v>
      </c>
      <c r="AA563" s="1415"/>
      <c r="AB563" s="1415"/>
      <c r="AC563" s="1415"/>
      <c r="AD563" s="1415"/>
      <c r="AE563" s="1420"/>
      <c r="AF563" s="1421"/>
      <c r="AG563" s="1421"/>
      <c r="AH563" s="1422"/>
      <c r="AI563" s="1405"/>
      <c r="AJ563" s="1406"/>
      <c r="AK563" s="1406"/>
      <c r="AL563" s="1407"/>
      <c r="AM563" s="1450"/>
      <c r="AN563" s="1451"/>
      <c r="AO563" s="1451"/>
      <c r="AP563" s="1451"/>
      <c r="AQ563" s="1451"/>
      <c r="AR563" s="1451"/>
      <c r="AS563" s="1452"/>
      <c r="AT563" s="1148" t="str">
        <f t="shared" si="0"/>
        <v/>
      </c>
      <c r="BB563" s="3"/>
      <c r="BC563" s="3"/>
      <c r="BD563" s="3"/>
      <c r="BE563" s="3"/>
      <c r="BF563" s="3"/>
      <c r="BG563" s="3"/>
      <c r="BH563" s="3"/>
      <c r="BI563" s="3"/>
    </row>
    <row r="564" spans="1:61" ht="12.95" customHeight="1">
      <c r="B564" s="52" t="s">
        <v>361</v>
      </c>
      <c r="C564" s="1408"/>
      <c r="D564" s="1408"/>
      <c r="E564" s="1408"/>
      <c r="F564" s="1408"/>
      <c r="G564" s="1408"/>
      <c r="H564" s="1408"/>
      <c r="I564" s="1408"/>
      <c r="J564" s="1408"/>
      <c r="K564" s="1408"/>
      <c r="L564" s="1408"/>
      <c r="M564" s="1416" t="s">
        <v>1184</v>
      </c>
      <c r="N564" s="1416"/>
      <c r="O564" s="1416"/>
      <c r="P564" s="1416"/>
      <c r="Q564" s="1423"/>
      <c r="R564" s="1411"/>
      <c r="S564" s="1412"/>
      <c r="T564" s="1423"/>
      <c r="U564" s="1411"/>
      <c r="V564" s="1412"/>
      <c r="W564" s="1417"/>
      <c r="X564" s="1418"/>
      <c r="Y564" s="1419"/>
      <c r="Z564" s="1415" t="s">
        <v>1184</v>
      </c>
      <c r="AA564" s="1415"/>
      <c r="AB564" s="1415"/>
      <c r="AC564" s="1415"/>
      <c r="AD564" s="1415"/>
      <c r="AE564" s="1420"/>
      <c r="AF564" s="1421"/>
      <c r="AG564" s="1421"/>
      <c r="AH564" s="1422"/>
      <c r="AI564" s="1405"/>
      <c r="AJ564" s="1406"/>
      <c r="AK564" s="1406"/>
      <c r="AL564" s="1407"/>
      <c r="AM564" s="1450"/>
      <c r="AN564" s="1451"/>
      <c r="AO564" s="1451"/>
      <c r="AP564" s="1451"/>
      <c r="AQ564" s="1451"/>
      <c r="AR564" s="1451"/>
      <c r="AS564" s="1452"/>
      <c r="AT564" s="1148" t="str">
        <f t="shared" si="0"/>
        <v/>
      </c>
      <c r="BB564" s="3"/>
      <c r="BC564" s="3"/>
      <c r="BD564" s="3"/>
      <c r="BE564" s="3"/>
      <c r="BF564" s="3"/>
      <c r="BG564" s="3"/>
      <c r="BH564" s="3"/>
      <c r="BI564" s="3"/>
    </row>
    <row r="565" spans="1:61" ht="12.95" customHeight="1">
      <c r="B565" s="52" t="s">
        <v>362</v>
      </c>
      <c r="C565" s="1408"/>
      <c r="D565" s="1408"/>
      <c r="E565" s="1408"/>
      <c r="F565" s="1408"/>
      <c r="G565" s="1408"/>
      <c r="H565" s="1408"/>
      <c r="I565" s="1408"/>
      <c r="J565" s="1408"/>
      <c r="K565" s="1408"/>
      <c r="L565" s="1408"/>
      <c r="M565" s="1416" t="s">
        <v>1184</v>
      </c>
      <c r="N565" s="1416"/>
      <c r="O565" s="1416"/>
      <c r="P565" s="1416"/>
      <c r="Q565" s="1423"/>
      <c r="R565" s="1411"/>
      <c r="S565" s="1412"/>
      <c r="T565" s="1423"/>
      <c r="U565" s="1411"/>
      <c r="V565" s="1412"/>
      <c r="W565" s="1417"/>
      <c r="X565" s="1418"/>
      <c r="Y565" s="1419"/>
      <c r="Z565" s="1415" t="s">
        <v>1184</v>
      </c>
      <c r="AA565" s="1415"/>
      <c r="AB565" s="1415"/>
      <c r="AC565" s="1415"/>
      <c r="AD565" s="1415"/>
      <c r="AE565" s="1420"/>
      <c r="AF565" s="1421"/>
      <c r="AG565" s="1421"/>
      <c r="AH565" s="1422"/>
      <c r="AI565" s="1405"/>
      <c r="AJ565" s="1406"/>
      <c r="AK565" s="1406"/>
      <c r="AL565" s="1407"/>
      <c r="AM565" s="1450"/>
      <c r="AN565" s="1451"/>
      <c r="AO565" s="1451"/>
      <c r="AP565" s="1451"/>
      <c r="AQ565" s="1451"/>
      <c r="AR565" s="1451"/>
      <c r="AS565" s="1452"/>
      <c r="AT565" s="1148" t="str">
        <f t="shared" si="0"/>
        <v/>
      </c>
      <c r="BB565" s="3"/>
      <c r="BC565" s="3"/>
      <c r="BD565" s="3"/>
      <c r="BE565" s="3"/>
      <c r="BF565" s="3"/>
      <c r="BG565" s="3"/>
      <c r="BH565" s="3"/>
      <c r="BI565" s="3"/>
    </row>
    <row r="566" spans="1:61" ht="12.95" customHeight="1">
      <c r="B566" s="1601" t="s">
        <v>127</v>
      </c>
      <c r="C566" s="1602"/>
      <c r="D566" s="1602"/>
      <c r="E566" s="1602"/>
      <c r="F566" s="1602"/>
      <c r="G566" s="1602"/>
      <c r="H566" s="1602"/>
      <c r="I566" s="1602"/>
      <c r="J566" s="1602"/>
      <c r="K566" s="1602"/>
      <c r="L566" s="1602"/>
      <c r="M566" s="1602"/>
      <c r="N566" s="1602"/>
      <c r="O566" s="1602"/>
      <c r="P566" s="1602"/>
      <c r="Q566" s="1602"/>
      <c r="R566" s="1602"/>
      <c r="S566" s="1602"/>
      <c r="T566" s="1602"/>
      <c r="U566" s="1677"/>
      <c r="V566" s="1602"/>
      <c r="W566" s="1602"/>
      <c r="X566" s="1602"/>
      <c r="Y566" s="1602"/>
      <c r="Z566" s="1602"/>
      <c r="AA566" s="1602"/>
      <c r="AB566" s="1602"/>
      <c r="AC566" s="1602"/>
      <c r="AD566" s="1602"/>
      <c r="AE566" s="1602"/>
      <c r="AF566" s="1602"/>
      <c r="AG566" s="1602"/>
      <c r="AH566" s="1602"/>
      <c r="AI566" s="1602"/>
      <c r="AJ566" s="1602"/>
      <c r="AK566" s="1602"/>
      <c r="AL566" s="1603"/>
      <c r="AM566" s="1458">
        <f>SUM(AM554:AS565)</f>
        <v>159358100</v>
      </c>
      <c r="AN566" s="1459"/>
      <c r="AO566" s="1459"/>
      <c r="AP566" s="1459"/>
      <c r="AQ566" s="1459"/>
      <c r="AR566" s="1459"/>
      <c r="AS566" s="1460"/>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77" t="str">
        <f>C554</f>
        <v>Citi - Tax Exempt Construction</v>
      </c>
      <c r="H568" s="1477"/>
      <c r="I568" s="1477"/>
      <c r="J568" s="1477"/>
      <c r="K568" s="1477"/>
      <c r="L568" s="1477"/>
      <c r="M568" s="1477"/>
      <c r="N568" s="1477"/>
      <c r="O568" s="1477"/>
      <c r="P568" s="1477"/>
      <c r="Q568" s="1477"/>
      <c r="R568" s="1477"/>
      <c r="S568" s="8"/>
      <c r="T568" s="55" t="s">
        <v>113</v>
      </c>
      <c r="U568" t="s">
        <v>463</v>
      </c>
      <c r="Z568" s="1477" t="str">
        <f>C555</f>
        <v>Citi - Recycled Bond</v>
      </c>
      <c r="AA568" s="1477"/>
      <c r="AB568" s="1477"/>
      <c r="AC568" s="1477"/>
      <c r="AD568" s="1477"/>
      <c r="AE568" s="1477"/>
      <c r="AF568" s="1477"/>
      <c r="AG568" s="1477"/>
      <c r="AH568" s="1477"/>
      <c r="AI568" s="1477"/>
      <c r="AJ568" s="1477"/>
      <c r="AK568" s="1477"/>
      <c r="BB568" s="3"/>
      <c r="BC568" s="3"/>
      <c r="BD568" s="3"/>
      <c r="BE568" s="3"/>
      <c r="BF568" s="3"/>
      <c r="BG568" s="3"/>
      <c r="BH568" s="3"/>
      <c r="BI568" s="3"/>
    </row>
    <row r="569" spans="1:61" ht="12.95" customHeight="1">
      <c r="A569" s="22"/>
      <c r="B569" t="s">
        <v>85</v>
      </c>
      <c r="G569" s="1481" t="s">
        <v>2700</v>
      </c>
      <c r="H569" s="1482"/>
      <c r="I569" s="1482"/>
      <c r="J569" s="1482"/>
      <c r="K569" s="1482"/>
      <c r="L569" s="1482"/>
      <c r="M569" s="1482"/>
      <c r="N569" s="1482"/>
      <c r="O569" s="1482"/>
      <c r="P569" s="1482"/>
      <c r="Q569" s="1482"/>
      <c r="R569" s="1482"/>
      <c r="S569" s="8"/>
      <c r="T569" s="22"/>
      <c r="U569" t="s">
        <v>85</v>
      </c>
      <c r="Z569" s="1481" t="s">
        <v>2700</v>
      </c>
      <c r="AA569" s="1482"/>
      <c r="AB569" s="1482"/>
      <c r="AC569" s="1482"/>
      <c r="AD569" s="1482"/>
      <c r="AE569" s="1482"/>
      <c r="AF569" s="1482"/>
      <c r="AG569" s="1482"/>
      <c r="AH569" s="1482"/>
      <c r="AI569" s="1482"/>
      <c r="AJ569" s="1482"/>
      <c r="AK569" s="1482"/>
      <c r="BB569" s="3"/>
      <c r="BC569" s="3"/>
      <c r="BD569" s="3"/>
      <c r="BE569" s="3"/>
      <c r="BF569" s="3"/>
      <c r="BG569" s="3"/>
      <c r="BH569" s="3"/>
      <c r="BI569" s="3"/>
    </row>
    <row r="570" spans="1:61" ht="12.95" customHeight="1">
      <c r="A570" s="22"/>
      <c r="B570" t="s">
        <v>580</v>
      </c>
      <c r="G570" s="1481" t="s">
        <v>2701</v>
      </c>
      <c r="H570" s="1482"/>
      <c r="I570" s="1482"/>
      <c r="J570" s="1482"/>
      <c r="K570" s="1482"/>
      <c r="L570" s="1482"/>
      <c r="M570" s="1482"/>
      <c r="N570" s="1482"/>
      <c r="O570" s="1482"/>
      <c r="P570" s="1482"/>
      <c r="Q570" s="1482"/>
      <c r="R570" s="1482"/>
      <c r="T570" s="22"/>
      <c r="U570" t="s">
        <v>580</v>
      </c>
      <c r="Z570" s="1456" t="s">
        <v>2701</v>
      </c>
      <c r="AA570" s="1380"/>
      <c r="AB570" s="1380"/>
      <c r="AC570" s="1380"/>
      <c r="AD570" s="1380"/>
      <c r="AE570" s="1380"/>
      <c r="AF570" s="1380"/>
      <c r="AG570" s="1380"/>
      <c r="AH570" s="1380"/>
      <c r="AI570" s="1380"/>
      <c r="AJ570" s="1380"/>
      <c r="AK570" s="1380"/>
      <c r="BB570" s="3"/>
      <c r="BC570" s="3"/>
      <c r="BD570" s="3"/>
      <c r="BE570" s="3"/>
      <c r="BF570" s="3"/>
      <c r="BG570" s="3"/>
      <c r="BH570" s="3"/>
      <c r="BI570" s="3"/>
    </row>
    <row r="571" spans="1:61" ht="12.95" customHeight="1">
      <c r="A571" s="22"/>
      <c r="B571" t="s">
        <v>17</v>
      </c>
      <c r="G571" s="1481" t="s">
        <v>2698</v>
      </c>
      <c r="H571" s="1482"/>
      <c r="I571" s="1482"/>
      <c r="J571" s="1482"/>
      <c r="K571" s="1482"/>
      <c r="L571" s="1482"/>
      <c r="M571" s="1482"/>
      <c r="N571" s="1482"/>
      <c r="O571" s="1482"/>
      <c r="P571" s="1482"/>
      <c r="Q571" s="1482"/>
      <c r="R571" s="1482"/>
      <c r="S571" s="8"/>
      <c r="T571" s="22"/>
      <c r="U571" t="s">
        <v>17</v>
      </c>
      <c r="Z571" s="1456" t="s">
        <v>2698</v>
      </c>
      <c r="AA571" s="1380"/>
      <c r="AB571" s="1380"/>
      <c r="AC571" s="1380"/>
      <c r="AD571" s="1380"/>
      <c r="AE571" s="1380"/>
      <c r="AF571" s="1380"/>
      <c r="AG571" s="1380"/>
      <c r="AH571" s="1380"/>
      <c r="AI571" s="1380"/>
      <c r="AJ571" s="1380"/>
      <c r="AK571" s="1380"/>
      <c r="BB571" s="3"/>
      <c r="BC571" s="3"/>
      <c r="BD571" s="3"/>
      <c r="BE571" s="3"/>
      <c r="BF571" s="3"/>
      <c r="BG571" s="3"/>
      <c r="BH571" s="3"/>
      <c r="BI571" s="3"/>
    </row>
    <row r="572" spans="1:61" ht="12.95" customHeight="1">
      <c r="A572" s="22"/>
      <c r="B572" t="s">
        <v>315</v>
      </c>
      <c r="G572" s="1545" t="s">
        <v>2702</v>
      </c>
      <c r="H572" s="1500"/>
      <c r="I572" s="1500"/>
      <c r="J572" s="1500"/>
      <c r="K572" s="1500"/>
      <c r="L572" s="1500"/>
      <c r="O572" s="33" t="s">
        <v>205</v>
      </c>
      <c r="P572" s="1457"/>
      <c r="Q572" s="1457"/>
      <c r="R572" s="1457"/>
      <c r="S572" s="10"/>
      <c r="T572" s="22"/>
      <c r="U572" t="s">
        <v>315</v>
      </c>
      <c r="Z572" s="1545" t="s">
        <v>2702</v>
      </c>
      <c r="AA572" s="1500"/>
      <c r="AB572" s="1500"/>
      <c r="AC572" s="1500"/>
      <c r="AD572" s="1500"/>
      <c r="AE572" s="1500"/>
      <c r="AH572" s="33" t="s">
        <v>205</v>
      </c>
      <c r="AI572" s="1457"/>
      <c r="AJ572" s="1457"/>
      <c r="AK572" s="1457"/>
      <c r="BB572" s="3"/>
      <c r="BC572" s="3"/>
      <c r="BD572" s="3"/>
      <c r="BE572" s="3"/>
      <c r="BF572" s="3"/>
      <c r="BG572" s="3"/>
      <c r="BH572" s="3"/>
      <c r="BI572" s="3"/>
    </row>
    <row r="573" spans="1:61" ht="12.95" customHeight="1">
      <c r="A573" s="22"/>
      <c r="B573" t="s">
        <v>18</v>
      </c>
      <c r="H573" s="1481" t="s">
        <v>2703</v>
      </c>
      <c r="I573" s="1482"/>
      <c r="J573" s="1482"/>
      <c r="K573" s="1482"/>
      <c r="L573" s="1482"/>
      <c r="M573" s="1482"/>
      <c r="N573" s="1482"/>
      <c r="O573" s="1482"/>
      <c r="P573" s="1482"/>
      <c r="Q573" s="1482"/>
      <c r="R573" s="1482"/>
      <c r="S573" s="8"/>
      <c r="T573" s="22"/>
      <c r="U573" t="s">
        <v>18</v>
      </c>
      <c r="AA573" s="1481" t="s">
        <v>2703</v>
      </c>
      <c r="AB573" s="1482"/>
      <c r="AC573" s="1482"/>
      <c r="AD573" s="1482"/>
      <c r="AE573" s="1482"/>
      <c r="AF573" s="1482"/>
      <c r="AG573" s="1482"/>
      <c r="AH573" s="1482"/>
      <c r="AI573" s="1482"/>
      <c r="AJ573" s="1482"/>
      <c r="AK573" s="1482"/>
      <c r="BB573" s="3"/>
      <c r="BC573" s="3"/>
      <c r="BD573" s="3"/>
      <c r="BE573" s="3"/>
      <c r="BF573" s="3"/>
      <c r="BG573" s="3"/>
      <c r="BH573" s="3"/>
      <c r="BI573" s="3"/>
    </row>
    <row r="574" spans="1:61" ht="12.95" customHeight="1">
      <c r="A574" s="22"/>
      <c r="B574" s="320" t="s">
        <v>1185</v>
      </c>
      <c r="H574" s="8"/>
      <c r="I574" s="8"/>
      <c r="J574" s="8"/>
      <c r="K574" s="8"/>
      <c r="L574" s="8"/>
      <c r="M574" s="1594" t="s">
        <v>2699</v>
      </c>
      <c r="N574" s="1595"/>
      <c r="O574" s="1595"/>
      <c r="P574" s="1595"/>
      <c r="Q574" s="1595"/>
      <c r="R574" s="1595"/>
      <c r="S574" s="8"/>
      <c r="T574" s="22"/>
      <c r="U574" s="320" t="s">
        <v>1185</v>
      </c>
      <c r="AA574" s="8"/>
      <c r="AB574" s="8"/>
      <c r="AC574" s="8"/>
      <c r="AD574" s="8"/>
      <c r="AE574" s="8"/>
      <c r="AF574" s="1594" t="s">
        <v>2699</v>
      </c>
      <c r="AG574" s="1595"/>
      <c r="AH574" s="1595"/>
      <c r="AI574" s="1595"/>
      <c r="AJ574" s="1595"/>
      <c r="AK574" s="1595"/>
      <c r="BB574" s="3"/>
      <c r="BC574" s="3"/>
      <c r="BD574" s="3"/>
      <c r="BE574" s="3"/>
      <c r="BF574" s="3"/>
      <c r="BG574" s="3"/>
      <c r="BH574" s="3"/>
      <c r="BI574" s="3"/>
    </row>
    <row r="575" spans="1:61" ht="12.95" customHeight="1">
      <c r="A575" s="22"/>
      <c r="B575" t="s">
        <v>20</v>
      </c>
      <c r="N575" s="1492" t="s">
        <v>545</v>
      </c>
      <c r="O575" s="1492"/>
      <c r="T575" s="22"/>
      <c r="U575" t="s">
        <v>20</v>
      </c>
      <c r="AG575" s="1492" t="s">
        <v>545</v>
      </c>
      <c r="AH575" s="149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77" t="str">
        <f>C556</f>
        <v>Citi - Taxable Construction</v>
      </c>
      <c r="H577" s="1477"/>
      <c r="I577" s="1477"/>
      <c r="J577" s="1477"/>
      <c r="K577" s="1477"/>
      <c r="L577" s="1477"/>
      <c r="M577" s="1477"/>
      <c r="N577" s="1477"/>
      <c r="O577" s="1477"/>
      <c r="P577" s="1477"/>
      <c r="Q577" s="1477"/>
      <c r="R577" s="1477"/>
      <c r="T577" s="55" t="s">
        <v>581</v>
      </c>
      <c r="U577" t="s">
        <v>463</v>
      </c>
      <c r="Z577" s="1477" t="str">
        <f>C557</f>
        <v>Deferred Developer Fee</v>
      </c>
      <c r="AA577" s="1477"/>
      <c r="AB577" s="1477"/>
      <c r="AC577" s="1477"/>
      <c r="AD577" s="1477"/>
      <c r="AE577" s="1477"/>
      <c r="AF577" s="1477"/>
      <c r="AG577" s="1477"/>
      <c r="AH577" s="1477"/>
      <c r="AI577" s="1477"/>
      <c r="AJ577" s="1477"/>
      <c r="AK577" s="1477"/>
      <c r="BB577" s="3"/>
      <c r="BC577" s="3"/>
    </row>
    <row r="578" spans="1:55" ht="12.95" customHeight="1">
      <c r="A578" s="22"/>
      <c r="B578" t="s">
        <v>85</v>
      </c>
      <c r="G578" s="1481" t="s">
        <v>2700</v>
      </c>
      <c r="H578" s="1482"/>
      <c r="I578" s="1482"/>
      <c r="J578" s="1482"/>
      <c r="K578" s="1482"/>
      <c r="L578" s="1482"/>
      <c r="M578" s="1482"/>
      <c r="N578" s="1482"/>
      <c r="O578" s="1482"/>
      <c r="P578" s="1482"/>
      <c r="Q578" s="1482"/>
      <c r="R578" s="1482"/>
      <c r="T578" s="22"/>
      <c r="U578" t="s">
        <v>85</v>
      </c>
      <c r="Z578" s="1481" t="s">
        <v>2705</v>
      </c>
      <c r="AA578" s="1482"/>
      <c r="AB578" s="1482"/>
      <c r="AC578" s="1482"/>
      <c r="AD578" s="1482"/>
      <c r="AE578" s="1482"/>
      <c r="AF578" s="1482"/>
      <c r="AG578" s="1482"/>
      <c r="AH578" s="1482"/>
      <c r="AI578" s="1482"/>
      <c r="AJ578" s="1482"/>
      <c r="AK578" s="1482"/>
      <c r="BB578" s="3"/>
      <c r="BC578" s="3"/>
    </row>
    <row r="579" spans="1:55" ht="12.95" customHeight="1">
      <c r="A579" s="22"/>
      <c r="B579" t="s">
        <v>580</v>
      </c>
      <c r="G579" s="1456" t="s">
        <v>2701</v>
      </c>
      <c r="H579" s="1380"/>
      <c r="I579" s="1380"/>
      <c r="J579" s="1380"/>
      <c r="K579" s="1380"/>
      <c r="L579" s="1380"/>
      <c r="M579" s="1380"/>
      <c r="N579" s="1380"/>
      <c r="O579" s="1380"/>
      <c r="P579" s="1380"/>
      <c r="Q579" s="1380"/>
      <c r="R579" s="1380"/>
      <c r="T579" s="22"/>
      <c r="U579" t="s">
        <v>580</v>
      </c>
      <c r="Z579" s="1456" t="s">
        <v>2706</v>
      </c>
      <c r="AA579" s="1380"/>
      <c r="AB579" s="1380"/>
      <c r="AC579" s="1380"/>
      <c r="AD579" s="1380"/>
      <c r="AE579" s="1380"/>
      <c r="AF579" s="1380"/>
      <c r="AG579" s="1380"/>
      <c r="AH579" s="1380"/>
      <c r="AI579" s="1380"/>
      <c r="AJ579" s="1380"/>
      <c r="AK579" s="1380"/>
      <c r="BB579" s="3"/>
      <c r="BC579" s="3"/>
    </row>
    <row r="580" spans="1:55" ht="12.95" customHeight="1">
      <c r="A580" s="22"/>
      <c r="B580" t="s">
        <v>17</v>
      </c>
      <c r="G580" s="1456" t="s">
        <v>2698</v>
      </c>
      <c r="H580" s="1380"/>
      <c r="I580" s="1380"/>
      <c r="J580" s="1380"/>
      <c r="K580" s="1380"/>
      <c r="L580" s="1380"/>
      <c r="M580" s="1380"/>
      <c r="N580" s="1380"/>
      <c r="O580" s="1380"/>
      <c r="P580" s="1380"/>
      <c r="Q580" s="1380"/>
      <c r="R580" s="1380"/>
      <c r="T580" s="22"/>
      <c r="U580" t="s">
        <v>17</v>
      </c>
      <c r="Z580" s="1456" t="s">
        <v>2636</v>
      </c>
      <c r="AA580" s="1380"/>
      <c r="AB580" s="1380"/>
      <c r="AC580" s="1380"/>
      <c r="AD580" s="1380"/>
      <c r="AE580" s="1380"/>
      <c r="AF580" s="1380"/>
      <c r="AG580" s="1380"/>
      <c r="AH580" s="1380"/>
      <c r="AI580" s="1380"/>
      <c r="AJ580" s="1380"/>
      <c r="AK580" s="1380"/>
      <c r="BB580" s="3"/>
      <c r="BC580" s="3"/>
    </row>
    <row r="581" spans="1:55" ht="12.95" customHeight="1">
      <c r="A581" s="22"/>
      <c r="B581" t="s">
        <v>315</v>
      </c>
      <c r="G581" s="1545" t="s">
        <v>2702</v>
      </c>
      <c r="H581" s="1500"/>
      <c r="I581" s="1500"/>
      <c r="J581" s="1500"/>
      <c r="K581" s="1500"/>
      <c r="L581" s="1500"/>
      <c r="O581" s="33" t="s">
        <v>205</v>
      </c>
      <c r="P581" s="1457"/>
      <c r="Q581" s="1457"/>
      <c r="R581" s="1457"/>
      <c r="T581" s="22"/>
      <c r="U581" t="s">
        <v>315</v>
      </c>
      <c r="Z581" s="1545" t="s">
        <v>2635</v>
      </c>
      <c r="AA581" s="1500"/>
      <c r="AB581" s="1500"/>
      <c r="AC581" s="1500"/>
      <c r="AD581" s="1500"/>
      <c r="AE581" s="1500"/>
      <c r="AH581" s="33" t="s">
        <v>205</v>
      </c>
      <c r="AI581" s="1457"/>
      <c r="AJ581" s="1457"/>
      <c r="AK581" s="1457"/>
      <c r="BB581" s="3"/>
      <c r="BC581" s="3"/>
    </row>
    <row r="582" spans="1:55" ht="12.95" customHeight="1">
      <c r="A582" s="22"/>
      <c r="B582" t="s">
        <v>18</v>
      </c>
      <c r="H582" s="1481" t="s">
        <v>2704</v>
      </c>
      <c r="I582" s="1482"/>
      <c r="J582" s="1482"/>
      <c r="K582" s="1482"/>
      <c r="L582" s="1482"/>
      <c r="M582" s="1482"/>
      <c r="N582" s="1482"/>
      <c r="O582" s="1482"/>
      <c r="P582" s="1482"/>
      <c r="Q582" s="1482"/>
      <c r="R582" s="1482"/>
      <c r="T582" s="22"/>
      <c r="U582" t="s">
        <v>18</v>
      </c>
      <c r="AA582" s="1481" t="s">
        <v>2320</v>
      </c>
      <c r="AB582" s="1482"/>
      <c r="AC582" s="1482"/>
      <c r="AD582" s="1482"/>
      <c r="AE582" s="1482"/>
      <c r="AF582" s="1482"/>
      <c r="AG582" s="1482"/>
      <c r="AH582" s="1482"/>
      <c r="AI582" s="1482"/>
      <c r="AJ582" s="1482"/>
      <c r="AK582" s="1482"/>
      <c r="BB582" s="3"/>
      <c r="BC582" s="3"/>
    </row>
    <row r="583" spans="1:55" ht="12.95" customHeight="1">
      <c r="A583" s="22"/>
      <c r="B583" t="s">
        <v>20</v>
      </c>
      <c r="N583" s="1492" t="s">
        <v>545</v>
      </c>
      <c r="O583" s="1492"/>
      <c r="T583" s="22"/>
      <c r="U583" t="s">
        <v>20</v>
      </c>
      <c r="AG583" s="1492" t="s">
        <v>545</v>
      </c>
      <c r="AH583" s="1492"/>
      <c r="BB583" s="3"/>
      <c r="BC583" s="3"/>
    </row>
    <row r="584" spans="1:55" ht="12.95" customHeight="1">
      <c r="A584" s="22"/>
      <c r="T584" s="22"/>
      <c r="BB584" s="3"/>
      <c r="BC584" s="3"/>
    </row>
    <row r="585" spans="1:55" ht="12.95" customHeight="1">
      <c r="A585" s="55" t="s">
        <v>763</v>
      </c>
      <c r="B585" t="s">
        <v>463</v>
      </c>
      <c r="G585" s="1477" t="str">
        <f>C558</f>
        <v>Deferred Costs</v>
      </c>
      <c r="H585" s="1477"/>
      <c r="I585" s="1477"/>
      <c r="J585" s="1477"/>
      <c r="K585" s="1477"/>
      <c r="L585" s="1477"/>
      <c r="M585" s="1477"/>
      <c r="N585" s="1477"/>
      <c r="O585" s="1477"/>
      <c r="P585" s="1477"/>
      <c r="Q585" s="1477"/>
      <c r="R585" s="1477"/>
      <c r="T585" s="55" t="s">
        <v>584</v>
      </c>
      <c r="U585" t="s">
        <v>463</v>
      </c>
      <c r="Z585" s="1477" t="str">
        <f>C559</f>
        <v>LIHTC Equity</v>
      </c>
      <c r="AA585" s="1477"/>
      <c r="AB585" s="1477"/>
      <c r="AC585" s="1477"/>
      <c r="AD585" s="1477"/>
      <c r="AE585" s="1477"/>
      <c r="AF585" s="1477"/>
      <c r="AG585" s="1477"/>
      <c r="AH585" s="1477"/>
      <c r="AI585" s="1477"/>
      <c r="AJ585" s="1477"/>
      <c r="AK585" s="1477"/>
      <c r="BB585" s="3"/>
      <c r="BC585" s="3"/>
    </row>
    <row r="586" spans="1:55" ht="12.95" customHeight="1">
      <c r="A586" s="22"/>
      <c r="B586" t="s">
        <v>85</v>
      </c>
      <c r="G586" s="1481" t="s">
        <v>2705</v>
      </c>
      <c r="H586" s="1482"/>
      <c r="I586" s="1482"/>
      <c r="J586" s="1482"/>
      <c r="K586" s="1482"/>
      <c r="L586" s="1482"/>
      <c r="M586" s="1482"/>
      <c r="N586" s="1482"/>
      <c r="O586" s="1482"/>
      <c r="P586" s="1482"/>
      <c r="Q586" s="1482"/>
      <c r="R586" s="1482"/>
      <c r="T586" s="22"/>
      <c r="U586" t="s">
        <v>85</v>
      </c>
      <c r="Z586" s="1481" t="s">
        <v>2724</v>
      </c>
      <c r="AA586" s="1482"/>
      <c r="AB586" s="1482"/>
      <c r="AC586" s="1482"/>
      <c r="AD586" s="1482"/>
      <c r="AE586" s="1482"/>
      <c r="AF586" s="1482"/>
      <c r="AG586" s="1482"/>
      <c r="AH586" s="1482"/>
      <c r="AI586" s="1482"/>
      <c r="AJ586" s="1482"/>
      <c r="AK586" s="1482"/>
      <c r="BB586" s="3"/>
      <c r="BC586" s="3"/>
    </row>
    <row r="587" spans="1:55" ht="12.95" customHeight="1">
      <c r="A587" s="22"/>
      <c r="B587" t="s">
        <v>580</v>
      </c>
      <c r="G587" s="1481" t="s">
        <v>2707</v>
      </c>
      <c r="H587" s="1482"/>
      <c r="I587" s="1482"/>
      <c r="J587" s="1482"/>
      <c r="K587" s="1482"/>
      <c r="L587" s="1482"/>
      <c r="M587" s="1482"/>
      <c r="N587" s="1482"/>
      <c r="O587" s="1482"/>
      <c r="P587" s="1482"/>
      <c r="Q587" s="1482"/>
      <c r="R587" s="1482"/>
      <c r="T587" s="22"/>
      <c r="U587" t="s">
        <v>580</v>
      </c>
      <c r="Z587" s="1456" t="s">
        <v>2680</v>
      </c>
      <c r="AA587" s="1380"/>
      <c r="AB587" s="1380"/>
      <c r="AC587" s="1380"/>
      <c r="AD587" s="1380"/>
      <c r="AE587" s="1380"/>
      <c r="AF587" s="1380"/>
      <c r="AG587" s="1380"/>
      <c r="AH587" s="1380"/>
      <c r="AI587" s="1380"/>
      <c r="AJ587" s="1380"/>
      <c r="AK587" s="1380"/>
      <c r="BB587" s="3"/>
      <c r="BC587" s="3"/>
    </row>
    <row r="588" spans="1:55" ht="12.95" customHeight="1">
      <c r="A588" s="22"/>
      <c r="B588" t="s">
        <v>17</v>
      </c>
      <c r="G588" s="1481" t="s">
        <v>2636</v>
      </c>
      <c r="H588" s="1482"/>
      <c r="I588" s="1482"/>
      <c r="J588" s="1482"/>
      <c r="K588" s="1482"/>
      <c r="L588" s="1482"/>
      <c r="M588" s="1482"/>
      <c r="N588" s="1482"/>
      <c r="O588" s="1482"/>
      <c r="P588" s="1482"/>
      <c r="Q588" s="1482"/>
      <c r="R588" s="1482"/>
      <c r="T588" s="22"/>
      <c r="U588" t="s">
        <v>17</v>
      </c>
      <c r="Z588" s="1456" t="s">
        <v>2674</v>
      </c>
      <c r="AA588" s="1380"/>
      <c r="AB588" s="1380"/>
      <c r="AC588" s="1380"/>
      <c r="AD588" s="1380"/>
      <c r="AE588" s="1380"/>
      <c r="AF588" s="1380"/>
      <c r="AG588" s="1380"/>
      <c r="AH588" s="1380"/>
      <c r="AI588" s="1380"/>
      <c r="AJ588" s="1380"/>
      <c r="AK588" s="1380"/>
    </row>
    <row r="589" spans="1:55" ht="12.95" customHeight="1">
      <c r="A589" s="22"/>
      <c r="B589" t="s">
        <v>315</v>
      </c>
      <c r="G589" s="1545" t="s">
        <v>2635</v>
      </c>
      <c r="H589" s="1500"/>
      <c r="I589" s="1500"/>
      <c r="J589" s="1500"/>
      <c r="K589" s="1500"/>
      <c r="L589" s="1500"/>
      <c r="O589" s="33" t="s">
        <v>205</v>
      </c>
      <c r="P589" s="1457"/>
      <c r="Q589" s="1457"/>
      <c r="R589" s="1457"/>
      <c r="T589" s="22"/>
      <c r="U589" t="s">
        <v>315</v>
      </c>
      <c r="Z589" s="1500" t="str">
        <f>AA315</f>
        <v>314-913-0551</v>
      </c>
      <c r="AA589" s="1500"/>
      <c r="AB589" s="1500"/>
      <c r="AC589" s="1500"/>
      <c r="AD589" s="1500"/>
      <c r="AE589" s="1500"/>
      <c r="AH589" s="33" t="s">
        <v>205</v>
      </c>
      <c r="AI589" s="1457"/>
      <c r="AJ589" s="1457"/>
      <c r="AK589" s="1457"/>
      <c r="AZ589" s="3"/>
      <c r="BA589" s="3"/>
      <c r="BB589" s="3"/>
      <c r="BC589" s="3"/>
    </row>
    <row r="590" spans="1:55" ht="12.95" customHeight="1">
      <c r="A590" s="22"/>
      <c r="B590" t="s">
        <v>18</v>
      </c>
      <c r="H590" s="1481" t="s">
        <v>2708</v>
      </c>
      <c r="I590" s="1482"/>
      <c r="J590" s="1482"/>
      <c r="K590" s="1482"/>
      <c r="L590" s="1482"/>
      <c r="M590" s="1482"/>
      <c r="N590" s="1482"/>
      <c r="O590" s="1482"/>
      <c r="P590" s="1482"/>
      <c r="Q590" s="1482"/>
      <c r="R590" s="1482"/>
      <c r="T590" s="22"/>
      <c r="U590" t="s">
        <v>18</v>
      </c>
      <c r="AA590" s="1481" t="s">
        <v>2709</v>
      </c>
      <c r="AB590" s="1482"/>
      <c r="AC590" s="1482"/>
      <c r="AD590" s="1482"/>
      <c r="AE590" s="1482"/>
      <c r="AF590" s="1482"/>
      <c r="AG590" s="1482"/>
      <c r="AH590" s="1482"/>
      <c r="AI590" s="1482"/>
      <c r="AJ590" s="1482"/>
      <c r="AK590" s="1482"/>
      <c r="AZ590" s="3"/>
      <c r="BA590" s="3"/>
      <c r="BB590" s="3"/>
      <c r="BC590" s="3"/>
    </row>
    <row r="591" spans="1:55" ht="12.95" customHeight="1">
      <c r="A591" s="22"/>
      <c r="B591" t="s">
        <v>20</v>
      </c>
      <c r="N591" s="1492" t="s">
        <v>545</v>
      </c>
      <c r="O591" s="1492"/>
      <c r="T591" s="22"/>
      <c r="U591" t="s">
        <v>20</v>
      </c>
      <c r="AG591" s="1492" t="s">
        <v>545</v>
      </c>
      <c r="AH591" s="1492"/>
      <c r="AZ591" s="3"/>
      <c r="BA591" s="3"/>
      <c r="BB591" s="3"/>
      <c r="BC591" s="3"/>
    </row>
    <row r="592" spans="1:55" ht="12.95" customHeight="1">
      <c r="A592" s="22"/>
      <c r="T592" s="22"/>
      <c r="AZ592" s="3"/>
      <c r="BA592" s="3"/>
      <c r="BB592" s="3"/>
      <c r="BC592" s="3"/>
    </row>
    <row r="593" spans="1:55" ht="12.95" customHeight="1">
      <c r="A593" s="55" t="s">
        <v>455</v>
      </c>
      <c r="B593" t="s">
        <v>463</v>
      </c>
      <c r="G593" s="1477" t="str">
        <f>C560</f>
        <v>Cash Flow From Operations</v>
      </c>
      <c r="H593" s="1477"/>
      <c r="I593" s="1477"/>
      <c r="J593" s="1477"/>
      <c r="K593" s="1477"/>
      <c r="L593" s="1477"/>
      <c r="M593" s="1477"/>
      <c r="N593" s="1477"/>
      <c r="O593" s="1477"/>
      <c r="P593" s="1477"/>
      <c r="Q593" s="1477"/>
      <c r="R593" s="1477"/>
      <c r="T593" s="55" t="s">
        <v>456</v>
      </c>
      <c r="U593" t="s">
        <v>463</v>
      </c>
      <c r="Z593" s="1477">
        <f>C561</f>
        <v>0</v>
      </c>
      <c r="AA593" s="1477"/>
      <c r="AB593" s="1477"/>
      <c r="AC593" s="1477"/>
      <c r="AD593" s="1477"/>
      <c r="AE593" s="1477"/>
      <c r="AF593" s="1477"/>
      <c r="AG593" s="1477"/>
      <c r="AH593" s="1477"/>
      <c r="AI593" s="1477"/>
      <c r="AJ593" s="1477"/>
      <c r="AK593" s="1477"/>
      <c r="AZ593" s="3"/>
      <c r="BA593" s="3"/>
      <c r="BB593" s="3"/>
      <c r="BC593" s="3"/>
    </row>
    <row r="594" spans="1:55" s="4" customFormat="1" ht="12.95" customHeight="1">
      <c r="A594" s="22"/>
      <c r="B594" t="s">
        <v>85</v>
      </c>
      <c r="C594"/>
      <c r="D594"/>
      <c r="E594"/>
      <c r="F594"/>
      <c r="G594" s="1481" t="s">
        <v>2705</v>
      </c>
      <c r="H594" s="1482"/>
      <c r="I594" s="1482"/>
      <c r="J594" s="1482"/>
      <c r="K594" s="1482"/>
      <c r="L594" s="1482"/>
      <c r="M594" s="1482"/>
      <c r="N594" s="1482"/>
      <c r="O594" s="1482"/>
      <c r="P594" s="1482"/>
      <c r="Q594" s="1482"/>
      <c r="R594" s="1482"/>
      <c r="S594"/>
      <c r="T594" s="22"/>
      <c r="U594" t="s">
        <v>85</v>
      </c>
      <c r="V594"/>
      <c r="W594"/>
      <c r="X594"/>
      <c r="Y594"/>
      <c r="Z594" s="1482"/>
      <c r="AA594" s="1482"/>
      <c r="AB594" s="1482"/>
      <c r="AC594" s="1482"/>
      <c r="AD594" s="1482"/>
      <c r="AE594" s="1482"/>
      <c r="AF594" s="1482"/>
      <c r="AG594" s="1482"/>
      <c r="AH594" s="1482"/>
      <c r="AI594" s="1482"/>
      <c r="AJ594" s="1482"/>
      <c r="AK594" s="148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81" t="s">
        <v>2706</v>
      </c>
      <c r="H595" s="1482"/>
      <c r="I595" s="1482"/>
      <c r="J595" s="1482"/>
      <c r="K595" s="1482"/>
      <c r="L595" s="1482"/>
      <c r="M595" s="1482"/>
      <c r="N595" s="1482"/>
      <c r="O595" s="1482"/>
      <c r="P595" s="1482"/>
      <c r="Q595" s="1482"/>
      <c r="R595" s="1482"/>
      <c r="S595"/>
      <c r="T595" s="22"/>
      <c r="U595" t="s">
        <v>580</v>
      </c>
      <c r="V595"/>
      <c r="W595"/>
      <c r="X595"/>
      <c r="Y595"/>
      <c r="Z595" s="1380"/>
      <c r="AA595" s="1380"/>
      <c r="AB595" s="1380"/>
      <c r="AC595" s="1380"/>
      <c r="AD595" s="1380"/>
      <c r="AE595" s="1380"/>
      <c r="AF595" s="1380"/>
      <c r="AG595" s="1380"/>
      <c r="AH595" s="1380"/>
      <c r="AI595" s="1380"/>
      <c r="AJ595" s="1380"/>
      <c r="AK595" s="138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81" t="s">
        <v>2636</v>
      </c>
      <c r="H596" s="1482"/>
      <c r="I596" s="1482"/>
      <c r="J596" s="1482"/>
      <c r="K596" s="1482"/>
      <c r="L596" s="1482"/>
      <c r="M596" s="1482"/>
      <c r="N596" s="1482"/>
      <c r="O596" s="1482"/>
      <c r="P596" s="1482"/>
      <c r="Q596" s="1482"/>
      <c r="R596" s="1482"/>
      <c r="S596"/>
      <c r="T596" s="22"/>
      <c r="U596" t="s">
        <v>17</v>
      </c>
      <c r="V596"/>
      <c r="W596"/>
      <c r="X596"/>
      <c r="Y596"/>
      <c r="Z596" s="1380"/>
      <c r="AA596" s="1380"/>
      <c r="AB596" s="1380"/>
      <c r="AC596" s="1380"/>
      <c r="AD596" s="1380"/>
      <c r="AE596" s="1380"/>
      <c r="AF596" s="1380"/>
      <c r="AG596" s="1380"/>
      <c r="AH596" s="1380"/>
      <c r="AI596" s="1380"/>
      <c r="AJ596" s="1380"/>
      <c r="AK596" s="1380"/>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545" t="s">
        <v>2635</v>
      </c>
      <c r="H597" s="1500"/>
      <c r="I597" s="1500"/>
      <c r="J597" s="1500"/>
      <c r="K597" s="1500"/>
      <c r="L597" s="1500"/>
      <c r="M597"/>
      <c r="N597"/>
      <c r="O597" s="33" t="s">
        <v>205</v>
      </c>
      <c r="P597" s="1457"/>
      <c r="Q597" s="1457"/>
      <c r="R597" s="1457"/>
      <c r="S597"/>
      <c r="T597" s="22"/>
      <c r="U597" t="s">
        <v>315</v>
      </c>
      <c r="V597"/>
      <c r="W597"/>
      <c r="X597"/>
      <c r="Y597"/>
      <c r="Z597" s="1500"/>
      <c r="AA597" s="1500"/>
      <c r="AB597" s="1500"/>
      <c r="AC597" s="1500"/>
      <c r="AD597" s="1500"/>
      <c r="AE597" s="1500"/>
      <c r="AF597"/>
      <c r="AG597"/>
      <c r="AH597" s="33" t="s">
        <v>205</v>
      </c>
      <c r="AI597" s="1457"/>
      <c r="AJ597" s="1457"/>
      <c r="AK597" s="145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81" t="s">
        <v>2727</v>
      </c>
      <c r="I598" s="1482"/>
      <c r="J598" s="1482"/>
      <c r="K598" s="1482"/>
      <c r="L598" s="1482"/>
      <c r="M598" s="1482"/>
      <c r="N598" s="1482"/>
      <c r="O598" s="1482"/>
      <c r="P598" s="1482"/>
      <c r="Q598" s="1482"/>
      <c r="R598" s="1482"/>
      <c r="S598"/>
      <c r="T598" s="22"/>
      <c r="U598" t="s">
        <v>18</v>
      </c>
      <c r="V598"/>
      <c r="W598"/>
      <c r="X598"/>
      <c r="Y598"/>
      <c r="Z598"/>
      <c r="AA598" s="1482"/>
      <c r="AB598" s="1482"/>
      <c r="AC598" s="1482"/>
      <c r="AD598" s="1482"/>
      <c r="AE598" s="1482"/>
      <c r="AF598" s="1482"/>
      <c r="AG598" s="1482"/>
      <c r="AH598" s="1482"/>
      <c r="AI598" s="1482"/>
      <c r="AJ598" s="1482"/>
      <c r="AK598" s="1482"/>
      <c r="AL598"/>
      <c r="AM598"/>
      <c r="AN598"/>
      <c r="AO598"/>
      <c r="AP598"/>
      <c r="AQ598"/>
      <c r="AR598"/>
      <c r="AS598"/>
      <c r="AT598"/>
      <c r="AU598"/>
      <c r="AV598"/>
      <c r="AW598"/>
      <c r="AX598"/>
      <c r="AY598"/>
      <c r="BB598" s="3"/>
      <c r="BC598" s="3"/>
    </row>
    <row r="599" spans="1:55" ht="12.95" customHeight="1">
      <c r="A599" s="22"/>
      <c r="B599" t="s">
        <v>20</v>
      </c>
      <c r="N599" s="1492" t="s">
        <v>545</v>
      </c>
      <c r="O599" s="1492"/>
      <c r="T599" s="22"/>
      <c r="U599" t="s">
        <v>20</v>
      </c>
      <c r="AG599" s="1492" t="s">
        <v>669</v>
      </c>
      <c r="AH599" s="1492"/>
      <c r="BB599" s="3"/>
      <c r="BC599" s="3"/>
    </row>
    <row r="600" spans="1:55" ht="12.95" customHeight="1">
      <c r="A600" s="22"/>
      <c r="T600" s="22"/>
      <c r="BB600" s="3"/>
      <c r="BC600" s="3"/>
    </row>
    <row r="601" spans="1:55" ht="12.95" customHeight="1">
      <c r="A601" s="55" t="s">
        <v>461</v>
      </c>
      <c r="B601" t="s">
        <v>463</v>
      </c>
      <c r="G601" s="1477">
        <f>C562</f>
        <v>0</v>
      </c>
      <c r="H601" s="1477"/>
      <c r="I601" s="1477"/>
      <c r="J601" s="1477"/>
      <c r="K601" s="1477"/>
      <c r="L601" s="1477"/>
      <c r="M601" s="1477"/>
      <c r="N601" s="1477"/>
      <c r="O601" s="1477"/>
      <c r="P601" s="1477"/>
      <c r="Q601" s="1477"/>
      <c r="R601" s="1477"/>
      <c r="T601" s="55" t="s">
        <v>646</v>
      </c>
      <c r="U601" t="s">
        <v>463</v>
      </c>
      <c r="Z601" s="1477">
        <f>C563</f>
        <v>0</v>
      </c>
      <c r="AA601" s="1477"/>
      <c r="AB601" s="1477"/>
      <c r="AC601" s="1477"/>
      <c r="AD601" s="1477"/>
      <c r="AE601" s="1477"/>
      <c r="AF601" s="1477"/>
      <c r="AG601" s="1477"/>
      <c r="AH601" s="1477"/>
      <c r="AI601" s="1477"/>
      <c r="AJ601" s="1477"/>
      <c r="AK601" s="1477"/>
      <c r="BB601" s="3"/>
      <c r="BC601" s="3"/>
    </row>
    <row r="602" spans="1:55" ht="12.95" customHeight="1">
      <c r="A602" s="22"/>
      <c r="B602" t="s">
        <v>85</v>
      </c>
      <c r="G602" s="1482"/>
      <c r="H602" s="1482"/>
      <c r="I602" s="1482"/>
      <c r="J602" s="1482"/>
      <c r="K602" s="1482"/>
      <c r="L602" s="1482"/>
      <c r="M602" s="1482"/>
      <c r="N602" s="1482"/>
      <c r="O602" s="1482"/>
      <c r="P602" s="1482"/>
      <c r="Q602" s="1482"/>
      <c r="R602" s="1482"/>
      <c r="T602" s="22"/>
      <c r="U602" t="s">
        <v>85</v>
      </c>
      <c r="Z602" s="1482"/>
      <c r="AA602" s="1482"/>
      <c r="AB602" s="1482"/>
      <c r="AC602" s="1482"/>
      <c r="AD602" s="1482"/>
      <c r="AE602" s="1482"/>
      <c r="AF602" s="1482"/>
      <c r="AG602" s="1482"/>
      <c r="AH602" s="1482"/>
      <c r="AI602" s="1482"/>
      <c r="AJ602" s="1482"/>
      <c r="AK602" s="1482"/>
      <c r="AZ602" s="3"/>
      <c r="BA602" s="3"/>
      <c r="BB602" s="3"/>
      <c r="BC602" s="3"/>
    </row>
    <row r="603" spans="1:55" ht="12.95" customHeight="1">
      <c r="A603" s="22"/>
      <c r="B603" t="s">
        <v>580</v>
      </c>
      <c r="G603" s="1482"/>
      <c r="H603" s="1482"/>
      <c r="I603" s="1482"/>
      <c r="J603" s="1482"/>
      <c r="K603" s="1482"/>
      <c r="L603" s="1482"/>
      <c r="M603" s="1482"/>
      <c r="N603" s="1482"/>
      <c r="O603" s="1482"/>
      <c r="P603" s="1482"/>
      <c r="Q603" s="1482"/>
      <c r="R603" s="1482"/>
      <c r="T603" s="22"/>
      <c r="U603" t="s">
        <v>580</v>
      </c>
      <c r="Z603" s="1380"/>
      <c r="AA603" s="1380"/>
      <c r="AB603" s="1380"/>
      <c r="AC603" s="1380"/>
      <c r="AD603" s="1380"/>
      <c r="AE603" s="1380"/>
      <c r="AF603" s="1380"/>
      <c r="AG603" s="1380"/>
      <c r="AH603" s="1380"/>
      <c r="AI603" s="1380"/>
      <c r="AJ603" s="1380"/>
      <c r="AK603" s="1380"/>
      <c r="AZ603" s="3"/>
      <c r="BA603" s="3"/>
      <c r="BB603" s="3"/>
      <c r="BC603" s="3"/>
    </row>
    <row r="604" spans="1:55" ht="12.95" customHeight="1">
      <c r="A604" s="22"/>
      <c r="B604" t="s">
        <v>17</v>
      </c>
      <c r="G604" s="1482"/>
      <c r="H604" s="1482"/>
      <c r="I604" s="1482"/>
      <c r="J604" s="1482"/>
      <c r="K604" s="1482"/>
      <c r="L604" s="1482"/>
      <c r="M604" s="1482"/>
      <c r="N604" s="1482"/>
      <c r="O604" s="1482"/>
      <c r="P604" s="1482"/>
      <c r="Q604" s="1482"/>
      <c r="R604" s="1482"/>
      <c r="T604" s="22"/>
      <c r="U604" t="s">
        <v>17</v>
      </c>
      <c r="Z604" s="1380"/>
      <c r="AA604" s="1380"/>
      <c r="AB604" s="1380"/>
      <c r="AC604" s="1380"/>
      <c r="AD604" s="1380"/>
      <c r="AE604" s="1380"/>
      <c r="AF604" s="1380"/>
      <c r="AG604" s="1380"/>
      <c r="AH604" s="1380"/>
      <c r="AI604" s="1380"/>
      <c r="AJ604" s="1380"/>
      <c r="AK604" s="1380"/>
      <c r="AZ604" s="3"/>
      <c r="BA604" s="3"/>
      <c r="BB604" s="3"/>
      <c r="BC604" s="3"/>
    </row>
    <row r="605" spans="1:55" s="4" customFormat="1" ht="12.95" customHeight="1">
      <c r="A605" s="22"/>
      <c r="B605" t="s">
        <v>315</v>
      </c>
      <c r="C605"/>
      <c r="D605"/>
      <c r="E605"/>
      <c r="F605"/>
      <c r="G605" s="1500"/>
      <c r="H605" s="1500"/>
      <c r="I605" s="1500"/>
      <c r="J605" s="1500"/>
      <c r="K605" s="1500"/>
      <c r="L605" s="1500"/>
      <c r="M605"/>
      <c r="N605"/>
      <c r="O605" s="33" t="s">
        <v>205</v>
      </c>
      <c r="P605" s="1457"/>
      <c r="Q605" s="1457"/>
      <c r="R605" s="1457"/>
      <c r="S605"/>
      <c r="T605" s="22"/>
      <c r="U605" t="s">
        <v>315</v>
      </c>
      <c r="V605"/>
      <c r="W605"/>
      <c r="X605"/>
      <c r="Y605"/>
      <c r="Z605" s="1500"/>
      <c r="AA605" s="1500"/>
      <c r="AB605" s="1500"/>
      <c r="AC605" s="1500"/>
      <c r="AD605" s="1500"/>
      <c r="AE605" s="1500"/>
      <c r="AF605"/>
      <c r="AG605"/>
      <c r="AH605" s="33" t="s">
        <v>205</v>
      </c>
      <c r="AI605" s="1457"/>
      <c r="AJ605" s="1457"/>
      <c r="AK605" s="145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82"/>
      <c r="I606" s="1482"/>
      <c r="J606" s="1482"/>
      <c r="K606" s="1482"/>
      <c r="L606" s="1482"/>
      <c r="M606" s="1482"/>
      <c r="N606" s="1482"/>
      <c r="O606" s="1482"/>
      <c r="P606" s="1482"/>
      <c r="Q606" s="1482"/>
      <c r="R606" s="1482"/>
      <c r="S606"/>
      <c r="T606" s="22"/>
      <c r="U606" t="s">
        <v>18</v>
      </c>
      <c r="V606"/>
      <c r="W606"/>
      <c r="X606"/>
      <c r="Y606"/>
      <c r="Z606"/>
      <c r="AA606" s="1482"/>
      <c r="AB606" s="1482"/>
      <c r="AC606" s="1482"/>
      <c r="AD606" s="1482"/>
      <c r="AE606" s="1482"/>
      <c r="AF606" s="1482"/>
      <c r="AG606" s="1482"/>
      <c r="AH606" s="1482"/>
      <c r="AI606" s="1482"/>
      <c r="AJ606" s="1482"/>
      <c r="AK606" s="148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92" t="s">
        <v>669</v>
      </c>
      <c r="O607" s="1492"/>
      <c r="P607"/>
      <c r="Q607"/>
      <c r="R607"/>
      <c r="S607"/>
      <c r="T607" s="22"/>
      <c r="U607" t="s">
        <v>20</v>
      </c>
      <c r="V607"/>
      <c r="W607"/>
      <c r="X607"/>
      <c r="Y607"/>
      <c r="Z607"/>
      <c r="AA607"/>
      <c r="AB607"/>
      <c r="AC607"/>
      <c r="AD607"/>
      <c r="AE607"/>
      <c r="AF607"/>
      <c r="AG607" s="1492" t="s">
        <v>669</v>
      </c>
      <c r="AH607" s="149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77">
        <f>C564</f>
        <v>0</v>
      </c>
      <c r="H609" s="1477"/>
      <c r="I609" s="1477"/>
      <c r="J609" s="1477"/>
      <c r="K609" s="1477"/>
      <c r="L609" s="1477"/>
      <c r="M609" s="1477"/>
      <c r="N609" s="1477"/>
      <c r="O609" s="1477"/>
      <c r="P609" s="1477"/>
      <c r="Q609" s="1477"/>
      <c r="R609" s="1477"/>
      <c r="T609" s="55" t="s">
        <v>362</v>
      </c>
      <c r="U609" t="s">
        <v>463</v>
      </c>
      <c r="Z609" s="1477">
        <f>C565</f>
        <v>0</v>
      </c>
      <c r="AA609" s="1477"/>
      <c r="AB609" s="1477"/>
      <c r="AC609" s="1477"/>
      <c r="AD609" s="1477"/>
      <c r="AE609" s="1477"/>
      <c r="AF609" s="1477"/>
      <c r="AG609" s="1477"/>
      <c r="AH609" s="1477"/>
      <c r="AI609" s="1477"/>
      <c r="AJ609" s="1477"/>
      <c r="AK609" s="1477"/>
      <c r="AZ609" s="3"/>
      <c r="BA609" s="3"/>
      <c r="BB609" s="3"/>
      <c r="BC609" s="3"/>
    </row>
    <row r="610" spans="1:55" ht="12.95" customHeight="1">
      <c r="B610" t="s">
        <v>85</v>
      </c>
      <c r="G610" s="1482"/>
      <c r="H610" s="1482"/>
      <c r="I610" s="1482"/>
      <c r="J610" s="1482"/>
      <c r="K610" s="1482"/>
      <c r="L610" s="1482"/>
      <c r="M610" s="1482"/>
      <c r="N610" s="1482"/>
      <c r="O610" s="1482"/>
      <c r="P610" s="1482"/>
      <c r="Q610" s="1482"/>
      <c r="R610" s="1482"/>
      <c r="U610" t="s">
        <v>85</v>
      </c>
      <c r="Z610" s="1482"/>
      <c r="AA610" s="1482"/>
      <c r="AB610" s="1482"/>
      <c r="AC610" s="1482"/>
      <c r="AD610" s="1482"/>
      <c r="AE610" s="1482"/>
      <c r="AF610" s="1482"/>
      <c r="AG610" s="1482"/>
      <c r="AH610" s="1482"/>
      <c r="AI610" s="1482"/>
      <c r="AJ610" s="1482"/>
      <c r="AK610" s="1482"/>
      <c r="AZ610" s="3"/>
      <c r="BA610" s="3"/>
      <c r="BB610" s="3"/>
      <c r="BC610" s="3"/>
    </row>
    <row r="611" spans="1:55" ht="12.95" customHeight="1">
      <c r="B611" t="s">
        <v>580</v>
      </c>
      <c r="G611" s="1482"/>
      <c r="H611" s="1482"/>
      <c r="I611" s="1482"/>
      <c r="J611" s="1482"/>
      <c r="K611" s="1482"/>
      <c r="L611" s="1482"/>
      <c r="M611" s="1482"/>
      <c r="N611" s="1482"/>
      <c r="O611" s="1482"/>
      <c r="P611" s="1482"/>
      <c r="Q611" s="1482"/>
      <c r="R611" s="1482"/>
      <c r="U611" t="s">
        <v>580</v>
      </c>
      <c r="Z611" s="1380"/>
      <c r="AA611" s="1380"/>
      <c r="AB611" s="1380"/>
      <c r="AC611" s="1380"/>
      <c r="AD611" s="1380"/>
      <c r="AE611" s="1380"/>
      <c r="AF611" s="1380"/>
      <c r="AG611" s="1380"/>
      <c r="AH611" s="1380"/>
      <c r="AI611" s="1380"/>
      <c r="AJ611" s="1380"/>
      <c r="AK611" s="1380"/>
      <c r="AZ611" s="3"/>
      <c r="BA611" s="3"/>
      <c r="BB611" s="3"/>
      <c r="BC611" s="3"/>
    </row>
    <row r="612" spans="1:55" ht="12.95" customHeight="1">
      <c r="B612" t="s">
        <v>17</v>
      </c>
      <c r="G612" s="1482"/>
      <c r="H612" s="1482"/>
      <c r="I612" s="1482"/>
      <c r="J612" s="1482"/>
      <c r="K612" s="1482"/>
      <c r="L612" s="1482"/>
      <c r="M612" s="1482"/>
      <c r="N612" s="1482"/>
      <c r="O612" s="1482"/>
      <c r="P612" s="1482"/>
      <c r="Q612" s="1482"/>
      <c r="R612" s="1482"/>
      <c r="U612" t="s">
        <v>17</v>
      </c>
      <c r="Z612" s="1380"/>
      <c r="AA612" s="1380"/>
      <c r="AB612" s="1380"/>
      <c r="AC612" s="1380"/>
      <c r="AD612" s="1380"/>
      <c r="AE612" s="1380"/>
      <c r="AF612" s="1380"/>
      <c r="AG612" s="1380"/>
      <c r="AH612" s="1380"/>
      <c r="AI612" s="1380"/>
      <c r="AJ612" s="1380"/>
      <c r="AK612" s="1380"/>
      <c r="AZ612" s="3"/>
      <c r="BA612" s="3"/>
      <c r="BB612" s="3"/>
      <c r="BC612" s="3"/>
    </row>
    <row r="613" spans="1:55" ht="12.95" customHeight="1">
      <c r="B613" t="s">
        <v>315</v>
      </c>
      <c r="G613" s="1500"/>
      <c r="H613" s="1500"/>
      <c r="I613" s="1500"/>
      <c r="J613" s="1500"/>
      <c r="K613" s="1500"/>
      <c r="L613" s="1500"/>
      <c r="O613" s="33" t="s">
        <v>205</v>
      </c>
      <c r="P613" s="1457"/>
      <c r="Q613" s="1457"/>
      <c r="R613" s="1457"/>
      <c r="U613" t="s">
        <v>315</v>
      </c>
      <c r="Z613" s="1500"/>
      <c r="AA613" s="1500"/>
      <c r="AB613" s="1500"/>
      <c r="AC613" s="1500"/>
      <c r="AD613" s="1500"/>
      <c r="AE613" s="1500"/>
      <c r="AH613" s="33" t="s">
        <v>205</v>
      </c>
      <c r="AI613" s="1457"/>
      <c r="AJ613" s="1457"/>
      <c r="AK613" s="1457"/>
      <c r="AZ613" s="3"/>
      <c r="BA613" s="3"/>
      <c r="BB613" s="3"/>
      <c r="BC613" s="3"/>
    </row>
    <row r="614" spans="1:55" ht="12.95" customHeight="1">
      <c r="B614" t="s">
        <v>18</v>
      </c>
      <c r="H614" s="1482"/>
      <c r="I614" s="1482"/>
      <c r="J614" s="1482"/>
      <c r="K614" s="1482"/>
      <c r="L614" s="1482"/>
      <c r="M614" s="1482"/>
      <c r="N614" s="1482"/>
      <c r="O614" s="1482"/>
      <c r="P614" s="1482"/>
      <c r="Q614" s="1482"/>
      <c r="R614" s="1482"/>
      <c r="U614" t="s">
        <v>18</v>
      </c>
      <c r="AA614" s="1482"/>
      <c r="AB614" s="1482"/>
      <c r="AC614" s="1482"/>
      <c r="AD614" s="1482"/>
      <c r="AE614" s="1482"/>
      <c r="AF614" s="1482"/>
      <c r="AG614" s="1482"/>
      <c r="AH614" s="1482"/>
      <c r="AI614" s="1482"/>
      <c r="AJ614" s="1482"/>
      <c r="AK614" s="1482"/>
      <c r="AU614" s="899"/>
      <c r="AV614" s="899"/>
      <c r="AW614" s="899"/>
      <c r="AX614" s="899"/>
      <c r="AY614" s="899"/>
      <c r="AZ614" s="3"/>
      <c r="BA614" s="3"/>
      <c r="BB614" s="3"/>
      <c r="BC614" s="3"/>
    </row>
    <row r="615" spans="1:55" ht="12.95" customHeight="1">
      <c r="B615" t="s">
        <v>20</v>
      </c>
      <c r="N615" s="1492" t="s">
        <v>669</v>
      </c>
      <c r="O615" s="1492"/>
      <c r="U615" t="s">
        <v>20</v>
      </c>
      <c r="AG615" s="1492" t="s">
        <v>669</v>
      </c>
      <c r="AH615" s="1492"/>
      <c r="AU615" s="899"/>
      <c r="AV615" s="899"/>
      <c r="AW615" s="899"/>
      <c r="AX615" s="899"/>
      <c r="AY615" s="899"/>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5" t="s">
        <v>2102</v>
      </c>
      <c r="C624" s="1675"/>
      <c r="D624" s="1675"/>
      <c r="E624" s="1675"/>
      <c r="F624" s="1675"/>
      <c r="G624" s="1675"/>
      <c r="H624" s="1675"/>
      <c r="I624" s="1675"/>
      <c r="J624" s="1675"/>
      <c r="K624" s="1675"/>
      <c r="L624" s="1675"/>
      <c r="M624" s="1678" t="s">
        <v>2103</v>
      </c>
      <c r="N624" s="1678"/>
      <c r="O624" s="1678"/>
      <c r="P624" s="1678"/>
      <c r="Q624" s="1678" t="s">
        <v>1852</v>
      </c>
      <c r="R624" s="1678"/>
      <c r="S624" s="1678"/>
      <c r="T624" s="1678" t="s">
        <v>1850</v>
      </c>
      <c r="U624" s="1678"/>
      <c r="V624" s="1678"/>
      <c r="W624" s="1676" t="s">
        <v>453</v>
      </c>
      <c r="X624" s="1676"/>
      <c r="Y624" s="1676"/>
      <c r="Z624" s="1371" t="s">
        <v>2132</v>
      </c>
      <c r="AA624" s="1371"/>
      <c r="AB624" s="1372"/>
      <c r="AC624" s="1679" t="s">
        <v>1676</v>
      </c>
      <c r="AD624" s="1680"/>
      <c r="AE624" s="1681"/>
      <c r="AF624" s="1370" t="s">
        <v>1930</v>
      </c>
      <c r="AG624" s="1371"/>
      <c r="AH624" s="1371"/>
      <c r="AI624" s="1371"/>
      <c r="AJ624" s="1372"/>
      <c r="AK624" s="1465" t="s">
        <v>1931</v>
      </c>
      <c r="AL624" s="1466"/>
      <c r="AM624" s="1466"/>
      <c r="AN624" s="1467"/>
      <c r="AO624" s="1678" t="s">
        <v>454</v>
      </c>
      <c r="AP624" s="1678"/>
      <c r="AQ624" s="1678"/>
      <c r="AR624" s="1678"/>
      <c r="AS624" s="1678"/>
      <c r="AU624" s="3"/>
      <c r="AZ624" s="3"/>
      <c r="BA624" s="3"/>
      <c r="BB624" s="3"/>
      <c r="BC624" s="3"/>
    </row>
    <row r="625" spans="2:157" ht="12.95" customHeight="1">
      <c r="B625" s="1675"/>
      <c r="C625" s="1675"/>
      <c r="D625" s="1675"/>
      <c r="E625" s="1675"/>
      <c r="F625" s="1675"/>
      <c r="G625" s="1675"/>
      <c r="H625" s="1675"/>
      <c r="I625" s="1675"/>
      <c r="J625" s="1675"/>
      <c r="K625" s="1675"/>
      <c r="L625" s="1675"/>
      <c r="M625" s="1678"/>
      <c r="N625" s="1678"/>
      <c r="O625" s="1678"/>
      <c r="P625" s="1678"/>
      <c r="Q625" s="1678"/>
      <c r="R625" s="1678"/>
      <c r="S625" s="1678"/>
      <c r="T625" s="1678"/>
      <c r="U625" s="1678"/>
      <c r="V625" s="1678"/>
      <c r="W625" s="1676"/>
      <c r="X625" s="1676"/>
      <c r="Y625" s="1676"/>
      <c r="Z625" s="1374"/>
      <c r="AA625" s="1374"/>
      <c r="AB625" s="1375"/>
      <c r="AC625" s="1682"/>
      <c r="AD625" s="1683"/>
      <c r="AE625" s="1684"/>
      <c r="AF625" s="1373"/>
      <c r="AG625" s="1374"/>
      <c r="AH625" s="1374"/>
      <c r="AI625" s="1374"/>
      <c r="AJ625" s="1375"/>
      <c r="AK625" s="1468"/>
      <c r="AL625" s="1469"/>
      <c r="AM625" s="1469"/>
      <c r="AN625" s="1470"/>
      <c r="AO625" s="1678"/>
      <c r="AP625" s="1678"/>
      <c r="AQ625" s="1678"/>
      <c r="AR625" s="1678"/>
      <c r="AS625" s="1678"/>
      <c r="AU625" s="3"/>
      <c r="AZ625" s="3"/>
      <c r="BA625" s="3"/>
      <c r="BB625" s="3"/>
      <c r="BC625" s="3"/>
      <c r="BD625" s="3"/>
    </row>
    <row r="626" spans="2:157" ht="12.95" customHeight="1">
      <c r="B626" s="1675"/>
      <c r="C626" s="1675"/>
      <c r="D626" s="1675"/>
      <c r="E626" s="1675"/>
      <c r="F626" s="1675"/>
      <c r="G626" s="1675"/>
      <c r="H626" s="1675"/>
      <c r="I626" s="1675"/>
      <c r="J626" s="1675"/>
      <c r="K626" s="1675"/>
      <c r="L626" s="1675"/>
      <c r="M626" s="1678"/>
      <c r="N626" s="1678"/>
      <c r="O626" s="1678"/>
      <c r="P626" s="1678"/>
      <c r="Q626" s="1678"/>
      <c r="R626" s="1678"/>
      <c r="S626" s="1678"/>
      <c r="T626" s="1678"/>
      <c r="U626" s="1678"/>
      <c r="V626" s="1678"/>
      <c r="W626" s="1676"/>
      <c r="X626" s="1676"/>
      <c r="Y626" s="1676"/>
      <c r="Z626" s="1377"/>
      <c r="AA626" s="1377"/>
      <c r="AB626" s="1378"/>
      <c r="AC626" s="1685"/>
      <c r="AD626" s="1686"/>
      <c r="AE626" s="1687"/>
      <c r="AF626" s="1376"/>
      <c r="AG626" s="1377"/>
      <c r="AH626" s="1377"/>
      <c r="AI626" s="1377"/>
      <c r="AJ626" s="1378"/>
      <c r="AK626" s="1471"/>
      <c r="AL626" s="1472"/>
      <c r="AM626" s="1472"/>
      <c r="AN626" s="1473"/>
      <c r="AO626" s="1678"/>
      <c r="AP626" s="1678"/>
      <c r="AQ626" s="1678"/>
      <c r="AR626" s="1678"/>
      <c r="AS626" s="1678"/>
      <c r="AT626" s="3"/>
      <c r="AU626" s="3"/>
      <c r="AZ626" s="3"/>
      <c r="BA626" s="3"/>
      <c r="BB626" s="3"/>
      <c r="BC626" s="3"/>
      <c r="BD626" s="3"/>
    </row>
    <row r="627" spans="2:157" ht="12.95" customHeight="1">
      <c r="B627" s="51" t="s">
        <v>112</v>
      </c>
      <c r="C627" s="1511" t="s">
        <v>2710</v>
      </c>
      <c r="D627" s="1511"/>
      <c r="E627" s="1511"/>
      <c r="F627" s="1511"/>
      <c r="G627" s="1511"/>
      <c r="H627" s="1511"/>
      <c r="I627" s="1511"/>
      <c r="J627" s="1511"/>
      <c r="K627" s="1511"/>
      <c r="L627" s="1511"/>
      <c r="M627" s="1505" t="s">
        <v>2113</v>
      </c>
      <c r="N627" s="1505"/>
      <c r="O627" s="1505"/>
      <c r="P627" s="1505"/>
      <c r="Q627" s="1559">
        <f>15*12</f>
        <v>180</v>
      </c>
      <c r="R627" s="1559"/>
      <c r="S627" s="1674"/>
      <c r="T627" s="1673">
        <f>40*12</f>
        <v>480</v>
      </c>
      <c r="U627" s="1559"/>
      <c r="V627" s="1674"/>
      <c r="W627" s="1474">
        <v>5.8500000000000003E-2</v>
      </c>
      <c r="X627" s="1475"/>
      <c r="Y627" s="1476"/>
      <c r="Z627" s="1462" t="s">
        <v>2131</v>
      </c>
      <c r="AA627" s="1463"/>
      <c r="AB627" s="1464"/>
      <c r="AC627" s="1390">
        <v>1</v>
      </c>
      <c r="AD627" s="1391"/>
      <c r="AE627" s="1392"/>
      <c r="AF627" s="1502">
        <f>-PMT(W627,40,AO627)</f>
        <v>3996858.8822857258</v>
      </c>
      <c r="AG627" s="1503"/>
      <c r="AH627" s="1503"/>
      <c r="AI627" s="1503"/>
      <c r="AJ627" s="1504"/>
      <c r="AK627" s="1478"/>
      <c r="AL627" s="1479"/>
      <c r="AM627" s="1479"/>
      <c r="AN627" s="1480"/>
      <c r="AO627" s="1642">
        <v>61292809</v>
      </c>
      <c r="AP627" s="1642"/>
      <c r="AQ627" s="1642"/>
      <c r="AR627" s="1642"/>
      <c r="AS627" s="1642"/>
      <c r="AT627" s="3"/>
      <c r="AU627" s="3"/>
      <c r="AZ627" s="3"/>
      <c r="BA627" s="3"/>
      <c r="BB627" s="3"/>
      <c r="BC627" s="3"/>
      <c r="BD627" s="3"/>
    </row>
    <row r="628" spans="2:157" ht="12.95" customHeight="1">
      <c r="B628" s="52" t="s">
        <v>113</v>
      </c>
      <c r="C628" s="1511" t="s">
        <v>2320</v>
      </c>
      <c r="D628" s="1511"/>
      <c r="E628" s="1511"/>
      <c r="F628" s="1511"/>
      <c r="G628" s="1511"/>
      <c r="H628" s="1511"/>
      <c r="I628" s="1511"/>
      <c r="J628" s="1511"/>
      <c r="K628" s="1511"/>
      <c r="L628" s="1511"/>
      <c r="M628" s="1505" t="s">
        <v>2106</v>
      </c>
      <c r="N628" s="1505"/>
      <c r="O628" s="1505"/>
      <c r="P628" s="1505"/>
      <c r="Q628" s="1673"/>
      <c r="R628" s="1559"/>
      <c r="S628" s="1674"/>
      <c r="T628" s="1673"/>
      <c r="U628" s="1559"/>
      <c r="V628" s="1674"/>
      <c r="W628" s="1474"/>
      <c r="X628" s="1475"/>
      <c r="Y628" s="1476"/>
      <c r="Z628" s="1462" t="s">
        <v>458</v>
      </c>
      <c r="AA628" s="1463"/>
      <c r="AB628" s="1464"/>
      <c r="AC628" s="1390"/>
      <c r="AD628" s="1391"/>
      <c r="AE628" s="1392"/>
      <c r="AF628" s="1502"/>
      <c r="AG628" s="1503"/>
      <c r="AH628" s="1503"/>
      <c r="AI628" s="1503"/>
      <c r="AJ628" s="1504"/>
      <c r="AK628" s="1478"/>
      <c r="AL628" s="1479"/>
      <c r="AM628" s="1479"/>
      <c r="AN628" s="1480"/>
      <c r="AO628" s="1461">
        <v>19988600</v>
      </c>
      <c r="AP628" s="1338"/>
      <c r="AQ628" s="1338"/>
      <c r="AR628" s="1338"/>
      <c r="AS628" s="1339"/>
      <c r="AT628" s="1148" t="str">
        <f>IF(AND(NOT(C627=""),C628="",NOT(C629="")),"!","")</f>
        <v/>
      </c>
      <c r="AU628" s="3"/>
      <c r="AZ628" s="3"/>
      <c r="BA628" s="3"/>
      <c r="BB628" s="3"/>
      <c r="BC628" s="3"/>
      <c r="BD628" s="3"/>
    </row>
    <row r="629" spans="2:157" ht="12.95" customHeight="1">
      <c r="B629" s="52" t="s">
        <v>119</v>
      </c>
      <c r="C629" s="1511" t="s">
        <v>2723</v>
      </c>
      <c r="D629" s="1511"/>
      <c r="E629" s="1511"/>
      <c r="F629" s="1511"/>
      <c r="G629" s="1511"/>
      <c r="H629" s="1511"/>
      <c r="I629" s="1511"/>
      <c r="J629" s="1511"/>
      <c r="K629" s="1511"/>
      <c r="L629" s="1511"/>
      <c r="M629" s="1505" t="s">
        <v>2121</v>
      </c>
      <c r="N629" s="1505"/>
      <c r="O629" s="1505"/>
      <c r="P629" s="1505"/>
      <c r="Q629" s="1673"/>
      <c r="R629" s="1559"/>
      <c r="S629" s="1674"/>
      <c r="T629" s="1673"/>
      <c r="U629" s="1559"/>
      <c r="V629" s="1674"/>
      <c r="W629" s="1474"/>
      <c r="X629" s="1475"/>
      <c r="Y629" s="1476"/>
      <c r="Z629" s="1462" t="s">
        <v>299</v>
      </c>
      <c r="AA629" s="1463"/>
      <c r="AB629" s="1464"/>
      <c r="AC629" s="1390"/>
      <c r="AD629" s="1391"/>
      <c r="AE629" s="1392"/>
      <c r="AF629" s="1502"/>
      <c r="AG629" s="1503"/>
      <c r="AH629" s="1503"/>
      <c r="AI629" s="1503"/>
      <c r="AJ629" s="1504"/>
      <c r="AK629" s="1478"/>
      <c r="AL629" s="1479"/>
      <c r="AM629" s="1479"/>
      <c r="AN629" s="1480"/>
      <c r="AO629" s="1461">
        <v>2742399</v>
      </c>
      <c r="AP629" s="1338"/>
      <c r="AQ629" s="1338"/>
      <c r="AR629" s="1338"/>
      <c r="AS629" s="1339"/>
      <c r="AT629" s="1148" t="str">
        <f t="shared" ref="AT629:AT638" si="1">IF(AND(NOT(C628=""),C629="",NOT(C630="")),"!","")</f>
        <v/>
      </c>
      <c r="AU629" s="3"/>
      <c r="AZ629" s="3"/>
      <c r="BA629" s="3"/>
      <c r="BB629" s="3"/>
      <c r="BC629" s="3"/>
      <c r="BD629" s="3"/>
    </row>
    <row r="630" spans="2:157" ht="12.95" customHeight="1">
      <c r="B630" s="52" t="s">
        <v>581</v>
      </c>
      <c r="C630" s="1499"/>
      <c r="D630" s="1499"/>
      <c r="E630" s="1499"/>
      <c r="F630" s="1499"/>
      <c r="G630" s="1499"/>
      <c r="H630" s="1499"/>
      <c r="I630" s="1499"/>
      <c r="J630" s="1499"/>
      <c r="K630" s="1499"/>
      <c r="L630" s="1499"/>
      <c r="M630" s="1505" t="s">
        <v>1184</v>
      </c>
      <c r="N630" s="1505"/>
      <c r="O630" s="1505"/>
      <c r="P630" s="1505"/>
      <c r="Q630" s="1673"/>
      <c r="R630" s="1559"/>
      <c r="S630" s="1674"/>
      <c r="T630" s="1673"/>
      <c r="U630" s="1559"/>
      <c r="V630" s="1674"/>
      <c r="W630" s="1474"/>
      <c r="X630" s="1475"/>
      <c r="Y630" s="1476"/>
      <c r="Z630" s="1462" t="s">
        <v>1184</v>
      </c>
      <c r="AA630" s="1463"/>
      <c r="AB630" s="1464"/>
      <c r="AC630" s="1390"/>
      <c r="AD630" s="1391"/>
      <c r="AE630" s="1392"/>
      <c r="AF630" s="1502"/>
      <c r="AG630" s="1503"/>
      <c r="AH630" s="1503"/>
      <c r="AI630" s="1503"/>
      <c r="AJ630" s="1504"/>
      <c r="AK630" s="1478"/>
      <c r="AL630" s="1479"/>
      <c r="AM630" s="1479"/>
      <c r="AN630" s="1480"/>
      <c r="AO630" s="1461"/>
      <c r="AP630" s="1338"/>
      <c r="AQ630" s="1338"/>
      <c r="AR630" s="1338"/>
      <c r="AS630" s="1339"/>
      <c r="AT630" s="1148" t="str">
        <f t="shared" si="1"/>
        <v/>
      </c>
      <c r="AU630" s="3"/>
      <c r="AZ630" s="3"/>
      <c r="BA630" s="3"/>
      <c r="BB630" s="3"/>
      <c r="BC630" s="3"/>
      <c r="BD630" s="3"/>
    </row>
    <row r="631" spans="2:157" ht="12.95" customHeight="1">
      <c r="B631" s="52" t="s">
        <v>763</v>
      </c>
      <c r="C631" s="1499"/>
      <c r="D631" s="1499"/>
      <c r="E631" s="1499"/>
      <c r="F631" s="1499"/>
      <c r="G631" s="1499"/>
      <c r="H631" s="1499"/>
      <c r="I631" s="1499"/>
      <c r="J631" s="1499"/>
      <c r="K631" s="1499"/>
      <c r="L631" s="1499"/>
      <c r="M631" s="1505" t="s">
        <v>1184</v>
      </c>
      <c r="N631" s="1505"/>
      <c r="O631" s="1505"/>
      <c r="P631" s="1505"/>
      <c r="Q631" s="1673"/>
      <c r="R631" s="1559"/>
      <c r="S631" s="1674"/>
      <c r="T631" s="1673"/>
      <c r="U631" s="1559"/>
      <c r="V631" s="1674"/>
      <c r="W631" s="1474"/>
      <c r="X631" s="1475"/>
      <c r="Y631" s="1476"/>
      <c r="Z631" s="1462" t="s">
        <v>1184</v>
      </c>
      <c r="AA631" s="1463"/>
      <c r="AB631" s="1464"/>
      <c r="AC631" s="1390"/>
      <c r="AD631" s="1391"/>
      <c r="AE631" s="1392"/>
      <c r="AF631" s="1502"/>
      <c r="AG631" s="1503"/>
      <c r="AH631" s="1503"/>
      <c r="AI631" s="1503"/>
      <c r="AJ631" s="1504"/>
      <c r="AK631" s="1478"/>
      <c r="AL631" s="1479"/>
      <c r="AM631" s="1479"/>
      <c r="AN631" s="1480"/>
      <c r="AO631" s="1461"/>
      <c r="AP631" s="1338"/>
      <c r="AQ631" s="1338"/>
      <c r="AR631" s="1338"/>
      <c r="AS631" s="1339"/>
      <c r="AT631" s="1148" t="str">
        <f t="shared" si="1"/>
        <v/>
      </c>
      <c r="AU631" s="3"/>
      <c r="AZ631" s="3"/>
      <c r="BA631" s="3"/>
      <c r="BB631" s="3"/>
      <c r="BC631" s="3"/>
      <c r="BD631" s="3"/>
    </row>
    <row r="632" spans="2:157" ht="12.95" customHeight="1">
      <c r="B632" s="52" t="s">
        <v>584</v>
      </c>
      <c r="C632" s="1499"/>
      <c r="D632" s="1499"/>
      <c r="E632" s="1499"/>
      <c r="F632" s="1499"/>
      <c r="G632" s="1499"/>
      <c r="H632" s="1499"/>
      <c r="I632" s="1499"/>
      <c r="J632" s="1499"/>
      <c r="K632" s="1499"/>
      <c r="L632" s="1499"/>
      <c r="M632" s="1505" t="s">
        <v>1184</v>
      </c>
      <c r="N632" s="1505"/>
      <c r="O632" s="1505"/>
      <c r="P632" s="1505"/>
      <c r="Q632" s="1673"/>
      <c r="R632" s="1559"/>
      <c r="S632" s="1674"/>
      <c r="T632" s="1673"/>
      <c r="U632" s="1559"/>
      <c r="V632" s="1674"/>
      <c r="W632" s="1474"/>
      <c r="X632" s="1475"/>
      <c r="Y632" s="1476"/>
      <c r="Z632" s="1462" t="s">
        <v>1184</v>
      </c>
      <c r="AA632" s="1463"/>
      <c r="AB632" s="1464"/>
      <c r="AC632" s="1390"/>
      <c r="AD632" s="1391"/>
      <c r="AE632" s="1392"/>
      <c r="AF632" s="1502"/>
      <c r="AG632" s="1503"/>
      <c r="AH632" s="1503"/>
      <c r="AI632" s="1503"/>
      <c r="AJ632" s="1504"/>
      <c r="AK632" s="1478"/>
      <c r="AL632" s="1479"/>
      <c r="AM632" s="1479"/>
      <c r="AN632" s="1480"/>
      <c r="AO632" s="1461"/>
      <c r="AP632" s="1338"/>
      <c r="AQ632" s="1338"/>
      <c r="AR632" s="1338"/>
      <c r="AS632" s="1339"/>
      <c r="AT632" s="1148" t="str">
        <f t="shared" si="1"/>
        <v/>
      </c>
      <c r="AU632" s="3"/>
      <c r="AZ632" s="3"/>
      <c r="BA632" s="3"/>
      <c r="BB632" s="3"/>
      <c r="BC632" s="3"/>
      <c r="BD632" s="3"/>
    </row>
    <row r="633" spans="2:157" ht="12.95" customHeight="1">
      <c r="B633" s="52" t="s">
        <v>455</v>
      </c>
      <c r="C633" s="1499"/>
      <c r="D633" s="1499"/>
      <c r="E633" s="1499"/>
      <c r="F633" s="1499"/>
      <c r="G633" s="1499"/>
      <c r="H633" s="1499"/>
      <c r="I633" s="1499"/>
      <c r="J633" s="1499"/>
      <c r="K633" s="1499"/>
      <c r="L633" s="1499"/>
      <c r="M633" s="1505" t="s">
        <v>1184</v>
      </c>
      <c r="N633" s="1505"/>
      <c r="O633" s="1505"/>
      <c r="P633" s="1505"/>
      <c r="Q633" s="1673"/>
      <c r="R633" s="1559"/>
      <c r="S633" s="1674"/>
      <c r="T633" s="1673"/>
      <c r="U633" s="1559"/>
      <c r="V633" s="1674"/>
      <c r="W633" s="1474"/>
      <c r="X633" s="1475"/>
      <c r="Y633" s="1476"/>
      <c r="Z633" s="1462" t="s">
        <v>1184</v>
      </c>
      <c r="AA633" s="1463"/>
      <c r="AB633" s="1464"/>
      <c r="AC633" s="1390"/>
      <c r="AD633" s="1391"/>
      <c r="AE633" s="1392"/>
      <c r="AF633" s="1502"/>
      <c r="AG633" s="1503"/>
      <c r="AH633" s="1503"/>
      <c r="AI633" s="1503"/>
      <c r="AJ633" s="1504"/>
      <c r="AK633" s="1478"/>
      <c r="AL633" s="1479"/>
      <c r="AM633" s="1479"/>
      <c r="AN633" s="1480"/>
      <c r="AO633" s="1461"/>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456</v>
      </c>
      <c r="C634" s="1499"/>
      <c r="D634" s="1499"/>
      <c r="E634" s="1499"/>
      <c r="F634" s="1499"/>
      <c r="G634" s="1499"/>
      <c r="H634" s="1499"/>
      <c r="I634" s="1499"/>
      <c r="J634" s="1499"/>
      <c r="K634" s="1499"/>
      <c r="L634" s="1499"/>
      <c r="M634" s="1505" t="s">
        <v>1184</v>
      </c>
      <c r="N634" s="1505"/>
      <c r="O634" s="1505"/>
      <c r="P634" s="1505"/>
      <c r="Q634" s="1673"/>
      <c r="R634" s="1559"/>
      <c r="S634" s="1674"/>
      <c r="T634" s="1673"/>
      <c r="U634" s="1559"/>
      <c r="V634" s="1674"/>
      <c r="W634" s="1474"/>
      <c r="X634" s="1475"/>
      <c r="Y634" s="1476"/>
      <c r="Z634" s="1462" t="s">
        <v>1184</v>
      </c>
      <c r="AA634" s="1463"/>
      <c r="AB634" s="1464"/>
      <c r="AC634" s="1390"/>
      <c r="AD634" s="1391"/>
      <c r="AE634" s="1392"/>
      <c r="AF634" s="1502"/>
      <c r="AG634" s="1503"/>
      <c r="AH634" s="1503"/>
      <c r="AI634" s="1503"/>
      <c r="AJ634" s="1504"/>
      <c r="AK634" s="1478"/>
      <c r="AL634" s="1479"/>
      <c r="AM634" s="1479"/>
      <c r="AN634" s="1480"/>
      <c r="AO634" s="1461"/>
      <c r="AP634" s="1338"/>
      <c r="AQ634" s="1338"/>
      <c r="AR634" s="1338"/>
      <c r="AS634" s="1339"/>
      <c r="AT634" s="1148" t="str">
        <f t="shared" si="1"/>
        <v/>
      </c>
      <c r="AU634" s="3"/>
      <c r="AV634" s="3"/>
      <c r="AW634" s="3"/>
      <c r="AX634" s="3"/>
      <c r="AY634" s="3"/>
      <c r="AZ634" s="3"/>
      <c r="BA634" s="3" t="s">
        <v>1184</v>
      </c>
      <c r="BB634" s="3"/>
      <c r="BC634" s="3"/>
      <c r="BD634" s="3"/>
    </row>
    <row r="635" spans="2:157" ht="12.95" customHeight="1">
      <c r="B635" s="52" t="s">
        <v>461</v>
      </c>
      <c r="C635" s="1499"/>
      <c r="D635" s="1499"/>
      <c r="E635" s="1499"/>
      <c r="F635" s="1499"/>
      <c r="G635" s="1499"/>
      <c r="H635" s="1499"/>
      <c r="I635" s="1499"/>
      <c r="J635" s="1499"/>
      <c r="K635" s="1499"/>
      <c r="L635" s="1499"/>
      <c r="M635" s="1505" t="s">
        <v>1184</v>
      </c>
      <c r="N635" s="1505"/>
      <c r="O635" s="1505"/>
      <c r="P635" s="1505"/>
      <c r="Q635" s="1673"/>
      <c r="R635" s="1559"/>
      <c r="S635" s="1674"/>
      <c r="T635" s="1673"/>
      <c r="U635" s="1559"/>
      <c r="V635" s="1674"/>
      <c r="W635" s="1474"/>
      <c r="X635" s="1475"/>
      <c r="Y635" s="1476"/>
      <c r="Z635" s="1462" t="s">
        <v>1184</v>
      </c>
      <c r="AA635" s="1463"/>
      <c r="AB635" s="1464"/>
      <c r="AC635" s="1390"/>
      <c r="AD635" s="1391"/>
      <c r="AE635" s="1392"/>
      <c r="AF635" s="1502"/>
      <c r="AG635" s="1503"/>
      <c r="AH635" s="1503"/>
      <c r="AI635" s="1503"/>
      <c r="AJ635" s="1504"/>
      <c r="AK635" s="1478"/>
      <c r="AL635" s="1479"/>
      <c r="AM635" s="1479"/>
      <c r="AN635" s="1480"/>
      <c r="AO635" s="1461"/>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231.5492957746479</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646</v>
      </c>
      <c r="C636" s="1499"/>
      <c r="D636" s="1499"/>
      <c r="E636" s="1499"/>
      <c r="F636" s="1499"/>
      <c r="G636" s="1499"/>
      <c r="H636" s="1499"/>
      <c r="I636" s="1499"/>
      <c r="J636" s="1499"/>
      <c r="K636" s="1499"/>
      <c r="L636" s="1499"/>
      <c r="M636" s="1505" t="s">
        <v>1184</v>
      </c>
      <c r="N636" s="1505"/>
      <c r="O636" s="1505"/>
      <c r="P636" s="1505"/>
      <c r="Q636" s="1673"/>
      <c r="R636" s="1559"/>
      <c r="S636" s="1674"/>
      <c r="T636" s="1673"/>
      <c r="U636" s="1559"/>
      <c r="V636" s="1674"/>
      <c r="W636" s="1474"/>
      <c r="X636" s="1475"/>
      <c r="Y636" s="1476"/>
      <c r="Z636" s="1462" t="s">
        <v>1184</v>
      </c>
      <c r="AA636" s="1463"/>
      <c r="AB636" s="1464"/>
      <c r="AC636" s="1390"/>
      <c r="AD636" s="1391"/>
      <c r="AE636" s="1392"/>
      <c r="AF636" s="1502"/>
      <c r="AG636" s="1503"/>
      <c r="AH636" s="1503"/>
      <c r="AI636" s="1503"/>
      <c r="AJ636" s="1504"/>
      <c r="AK636" s="1478"/>
      <c r="AL636" s="1479"/>
      <c r="AM636" s="1479"/>
      <c r="AN636" s="1480"/>
      <c r="AO636" s="1461"/>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966.67605633802816</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361</v>
      </c>
      <c r="C637" s="1499"/>
      <c r="D637" s="1499"/>
      <c r="E637" s="1499"/>
      <c r="F637" s="1499"/>
      <c r="G637" s="1499"/>
      <c r="H637" s="1499"/>
      <c r="I637" s="1499"/>
      <c r="J637" s="1499"/>
      <c r="K637" s="1499"/>
      <c r="L637" s="1499"/>
      <c r="M637" s="1505" t="s">
        <v>1184</v>
      </c>
      <c r="N637" s="1505"/>
      <c r="O637" s="1505"/>
      <c r="P637" s="1505"/>
      <c r="Q637" s="1673"/>
      <c r="R637" s="1559"/>
      <c r="S637" s="1674"/>
      <c r="T637" s="1673"/>
      <c r="U637" s="1559"/>
      <c r="V637" s="1674"/>
      <c r="W637" s="1474"/>
      <c r="X637" s="1475"/>
      <c r="Y637" s="1476"/>
      <c r="Z637" s="1462" t="s">
        <v>1184</v>
      </c>
      <c r="AA637" s="1463"/>
      <c r="AB637" s="1464"/>
      <c r="AC637" s="1390"/>
      <c r="AD637" s="1391"/>
      <c r="AE637" s="1392"/>
      <c r="AF637" s="1502"/>
      <c r="AG637" s="1503"/>
      <c r="AH637" s="1503"/>
      <c r="AI637" s="1503"/>
      <c r="AJ637" s="1504"/>
      <c r="AK637" s="1478"/>
      <c r="AL637" s="1479"/>
      <c r="AM637" s="1479"/>
      <c r="AN637" s="1480"/>
      <c r="AO637" s="1461"/>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275.63380281690144</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362</v>
      </c>
      <c r="C638" s="1499"/>
      <c r="D638" s="1499"/>
      <c r="E638" s="1499"/>
      <c r="F638" s="1499"/>
      <c r="G638" s="1499"/>
      <c r="H638" s="1499"/>
      <c r="I638" s="1499"/>
      <c r="J638" s="1499"/>
      <c r="K638" s="1499"/>
      <c r="L638" s="1499"/>
      <c r="M638" s="1505" t="s">
        <v>1184</v>
      </c>
      <c r="N638" s="1505"/>
      <c r="O638" s="1505"/>
      <c r="P638" s="1505"/>
      <c r="Q638" s="1673"/>
      <c r="R638" s="1559"/>
      <c r="S638" s="1674"/>
      <c r="T638" s="1673"/>
      <c r="U638" s="1559"/>
      <c r="V638" s="1674"/>
      <c r="W638" s="1474"/>
      <c r="X638" s="1475"/>
      <c r="Y638" s="1476"/>
      <c r="Z638" s="1462" t="s">
        <v>1184</v>
      </c>
      <c r="AA638" s="1463"/>
      <c r="AB638" s="1464"/>
      <c r="AC638" s="1390"/>
      <c r="AD638" s="1391"/>
      <c r="AE638" s="1392"/>
      <c r="AF638" s="1502"/>
      <c r="AG638" s="1503"/>
      <c r="AH638" s="1503"/>
      <c r="AI638" s="1503"/>
      <c r="AJ638" s="1504"/>
      <c r="AK638" s="1478"/>
      <c r="AL638" s="1479"/>
      <c r="AM638" s="1479"/>
      <c r="AN638" s="1480"/>
      <c r="AO638" s="1461"/>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f t="shared" si="4"/>
        <v>47.951219512195124</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601" t="s">
        <v>128</v>
      </c>
      <c r="C639" s="1602"/>
      <c r="D639" s="1602"/>
      <c r="E639" s="1602"/>
      <c r="F639" s="1602"/>
      <c r="G639" s="1602"/>
      <c r="H639" s="1602"/>
      <c r="I639" s="1602"/>
      <c r="J639" s="1602"/>
      <c r="K639" s="1602"/>
      <c r="L639" s="1602"/>
      <c r="M639" s="1602"/>
      <c r="N639" s="1602"/>
      <c r="O639" s="1602"/>
      <c r="P639" s="1602"/>
      <c r="Q639" s="1602"/>
      <c r="R639" s="1602"/>
      <c r="S639" s="1602"/>
      <c r="T639" s="1602"/>
      <c r="U639" s="1602"/>
      <c r="V639" s="1602"/>
      <c r="W639" s="1602"/>
      <c r="X639" s="1602"/>
      <c r="Y639" s="1602"/>
      <c r="Z639" s="1602"/>
      <c r="AA639" s="1602"/>
      <c r="AB639" s="1602"/>
      <c r="AC639" s="1602"/>
      <c r="AD639" s="1602"/>
      <c r="AE639" s="1602"/>
      <c r="AF639" s="1602"/>
      <c r="AG639" s="1602"/>
      <c r="AH639" s="1602"/>
      <c r="AI639" s="1602"/>
      <c r="AJ639" s="1602"/>
      <c r="AK639" s="1602"/>
      <c r="AL639" s="1602"/>
      <c r="AM639" s="1602"/>
      <c r="AN639" s="1603"/>
      <c r="AO639" s="1458">
        <f>SUM(AO627:AR638)</f>
        <v>84023808</v>
      </c>
      <c r="AP639" s="1459"/>
      <c r="AQ639" s="1459"/>
      <c r="AR639" s="1459"/>
      <c r="AS639" s="146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81.219512195121951</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601" t="s">
        <v>266</v>
      </c>
      <c r="C640" s="1602"/>
      <c r="D640" s="1602"/>
      <c r="E640" s="1602"/>
      <c r="F640" s="1602"/>
      <c r="G640" s="1602"/>
      <c r="H640" s="1602"/>
      <c r="I640" s="1602"/>
      <c r="J640" s="1602"/>
      <c r="K640" s="1602"/>
      <c r="L640" s="1602"/>
      <c r="M640" s="1602"/>
      <c r="N640" s="1602"/>
      <c r="O640" s="1602"/>
      <c r="P640" s="1602"/>
      <c r="Q640" s="1602"/>
      <c r="R640" s="1602"/>
      <c r="S640" s="1602"/>
      <c r="T640" s="1602"/>
      <c r="U640" s="1602"/>
      <c r="V640" s="1602"/>
      <c r="W640" s="1602"/>
      <c r="X640" s="1602"/>
      <c r="Y640" s="1602"/>
      <c r="Z640" s="1602"/>
      <c r="AA640" s="1602"/>
      <c r="AB640" s="1602"/>
      <c r="AC640" s="1602"/>
      <c r="AD640" s="1602"/>
      <c r="AE640" s="1602"/>
      <c r="AF640" s="1602"/>
      <c r="AG640" s="1602"/>
      <c r="AH640" s="1602"/>
      <c r="AI640" s="1602"/>
      <c r="AJ640" s="1602"/>
      <c r="AK640" s="1602"/>
      <c r="AL640" s="1602"/>
      <c r="AM640" s="1602"/>
      <c r="AN640" s="1603"/>
      <c r="AO640" s="1461">
        <v>75334292</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1809.3902439024391</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5" t="s">
        <v>267</v>
      </c>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77"/>
      <c r="AJ641" s="1677"/>
      <c r="AK641" s="1677"/>
      <c r="AL641" s="1677"/>
      <c r="AM641" s="1677"/>
      <c r="AN641" s="1836"/>
      <c r="AO641" s="1458">
        <f>AO639+AO640</f>
        <v>159358100</v>
      </c>
      <c r="AP641" s="1459"/>
      <c r="AQ641" s="1459"/>
      <c r="AR641" s="1459"/>
      <c r="AS641" s="146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f t="shared" si="5"/>
        <v>100.62222222222222</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170.75555555555556</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463</v>
      </c>
      <c r="G643" s="1477" t="str">
        <f>C627</f>
        <v>Citi - Permanent Loan</v>
      </c>
      <c r="H643" s="1477"/>
      <c r="I643" s="1477"/>
      <c r="J643" s="1477"/>
      <c r="K643" s="1477"/>
      <c r="L643" s="1477"/>
      <c r="M643" s="1477"/>
      <c r="N643" s="1477"/>
      <c r="O643" s="1477"/>
      <c r="P643" s="1477"/>
      <c r="Q643" s="1477"/>
      <c r="R643" s="1477"/>
      <c r="S643" s="8"/>
      <c r="T643" s="55" t="s">
        <v>113</v>
      </c>
      <c r="U643" t="s">
        <v>463</v>
      </c>
      <c r="Z643" s="1477" t="str">
        <f>C628</f>
        <v>Deferred Developer Fee</v>
      </c>
      <c r="AA643" s="1477"/>
      <c r="AB643" s="1477"/>
      <c r="AC643" s="1477"/>
      <c r="AD643" s="1477"/>
      <c r="AE643" s="1477"/>
      <c r="AF643" s="1477"/>
      <c r="AG643" s="1477"/>
      <c r="AH643" s="1477"/>
      <c r="AI643" s="1477"/>
      <c r="AJ643" s="1477"/>
      <c r="AK643" s="147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2550.5333333333333</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81" t="s">
        <v>2711</v>
      </c>
      <c r="H644" s="1482"/>
      <c r="I644" s="1482"/>
      <c r="J644" s="1482"/>
      <c r="K644" s="1482"/>
      <c r="L644" s="1482"/>
      <c r="M644" s="1482"/>
      <c r="N644" s="1482"/>
      <c r="O644" s="1482"/>
      <c r="P644" s="1482"/>
      <c r="Q644" s="1482"/>
      <c r="R644" s="1482"/>
      <c r="S644" s="8"/>
      <c r="T644" s="22"/>
      <c r="U644" t="s">
        <v>85</v>
      </c>
      <c r="Z644" s="1481" t="s">
        <v>2705</v>
      </c>
      <c r="AA644" s="1482"/>
      <c r="AB644" s="1482"/>
      <c r="AC644" s="1482"/>
      <c r="AD644" s="1482"/>
      <c r="AE644" s="1482"/>
      <c r="AF644" s="1482"/>
      <c r="AG644" s="1482"/>
      <c r="AH644" s="1482"/>
      <c r="AI644" s="1482"/>
      <c r="AJ644" s="1482"/>
      <c r="AK644" s="1482"/>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580</v>
      </c>
      <c r="G645" s="1481" t="s">
        <v>2712</v>
      </c>
      <c r="H645" s="1482"/>
      <c r="I645" s="1482"/>
      <c r="J645" s="1482"/>
      <c r="K645" s="1482"/>
      <c r="L645" s="1482"/>
      <c r="M645" s="1482"/>
      <c r="N645" s="1482"/>
      <c r="O645" s="1482"/>
      <c r="P645" s="1482"/>
      <c r="Q645" s="1482"/>
      <c r="R645" s="1482"/>
      <c r="T645" s="22"/>
      <c r="U645" t="s">
        <v>580</v>
      </c>
      <c r="Z645" s="1456" t="s">
        <v>2706</v>
      </c>
      <c r="AA645" s="1380"/>
      <c r="AB645" s="1380"/>
      <c r="AC645" s="1380"/>
      <c r="AD645" s="1380"/>
      <c r="AE645" s="1380"/>
      <c r="AF645" s="1380"/>
      <c r="AG645" s="1380"/>
      <c r="AH645" s="1380"/>
      <c r="AI645" s="1380"/>
      <c r="AJ645" s="1380"/>
      <c r="AK645" s="1380"/>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81" t="s">
        <v>2698</v>
      </c>
      <c r="H646" s="1482"/>
      <c r="I646" s="1482"/>
      <c r="J646" s="1482"/>
      <c r="K646" s="1482"/>
      <c r="L646" s="1482"/>
      <c r="M646" s="1482"/>
      <c r="N646" s="1482"/>
      <c r="O646" s="1482"/>
      <c r="P646" s="1482"/>
      <c r="Q646" s="1482"/>
      <c r="R646" s="1482"/>
      <c r="S646" s="8"/>
      <c r="T646" s="22"/>
      <c r="U646" t="s">
        <v>17</v>
      </c>
      <c r="Z646" s="1456" t="s">
        <v>2636</v>
      </c>
      <c r="AA646" s="1380"/>
      <c r="AB646" s="1380"/>
      <c r="AC646" s="1380"/>
      <c r="AD646" s="1380"/>
      <c r="AE646" s="1380"/>
      <c r="AF646" s="1380"/>
      <c r="AG646" s="1380"/>
      <c r="AH646" s="1380"/>
      <c r="AI646" s="1380"/>
      <c r="AJ646" s="1380"/>
      <c r="AK646" s="1380"/>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315</v>
      </c>
      <c r="G647" s="1545" t="s">
        <v>2702</v>
      </c>
      <c r="H647" s="1500"/>
      <c r="I647" s="1500"/>
      <c r="J647" s="1500"/>
      <c r="K647" s="1500"/>
      <c r="L647" s="1500"/>
      <c r="O647" s="33" t="s">
        <v>205</v>
      </c>
      <c r="P647" s="1457"/>
      <c r="Q647" s="1457"/>
      <c r="R647" s="1457"/>
      <c r="S647" s="10"/>
      <c r="T647" s="22"/>
      <c r="U647" t="s">
        <v>315</v>
      </c>
      <c r="Z647" s="1545" t="s">
        <v>2635</v>
      </c>
      <c r="AA647" s="1500"/>
      <c r="AB647" s="1500"/>
      <c r="AC647" s="1500"/>
      <c r="AD647" s="1500"/>
      <c r="AE647" s="1500"/>
      <c r="AH647" s="33" t="s">
        <v>205</v>
      </c>
      <c r="AI647" s="1457"/>
      <c r="AJ647" s="1457"/>
      <c r="AK647" s="1457"/>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81" t="s">
        <v>2713</v>
      </c>
      <c r="I648" s="1482"/>
      <c r="J648" s="1482"/>
      <c r="K648" s="1482"/>
      <c r="L648" s="1482"/>
      <c r="M648" s="1482"/>
      <c r="N648" s="1482"/>
      <c r="O648" s="1482"/>
      <c r="P648" s="1482"/>
      <c r="Q648" s="1482"/>
      <c r="R648" s="1482"/>
      <c r="S648" s="8"/>
      <c r="T648" s="22"/>
      <c r="U648" t="s">
        <v>18</v>
      </c>
      <c r="AA648" s="1481" t="s">
        <v>2320</v>
      </c>
      <c r="AB648" s="1482"/>
      <c r="AC648" s="1482"/>
      <c r="AD648" s="1482"/>
      <c r="AE648" s="1482"/>
      <c r="AF648" s="1482"/>
      <c r="AG648" s="1482"/>
      <c r="AH648" s="1482"/>
      <c r="AI648" s="1482"/>
      <c r="AJ648" s="1482"/>
      <c r="AK648" s="1482"/>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92" t="s">
        <v>545</v>
      </c>
      <c r="O649" s="1492"/>
      <c r="T649" s="22"/>
      <c r="U649" t="s">
        <v>20</v>
      </c>
      <c r="AG649" s="1492" t="s">
        <v>545</v>
      </c>
      <c r="AH649" s="1492"/>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463</v>
      </c>
      <c r="G651" s="1477" t="str">
        <f>C629</f>
        <v>Cash Flow From Operations</v>
      </c>
      <c r="H651" s="1477"/>
      <c r="I651" s="1477"/>
      <c r="J651" s="1477"/>
      <c r="K651" s="1477"/>
      <c r="L651" s="1477"/>
      <c r="M651" s="1477"/>
      <c r="N651" s="1477"/>
      <c r="O651" s="1477"/>
      <c r="P651" s="1477"/>
      <c r="Q651" s="1477"/>
      <c r="R651" s="1477"/>
      <c r="T651" s="55" t="s">
        <v>581</v>
      </c>
      <c r="U651" t="s">
        <v>463</v>
      </c>
      <c r="Z651" s="1477">
        <f>C630</f>
        <v>0</v>
      </c>
      <c r="AA651" s="1477"/>
      <c r="AB651" s="1477"/>
      <c r="AC651" s="1477"/>
      <c r="AD651" s="1477"/>
      <c r="AE651" s="1477"/>
      <c r="AF651" s="1477"/>
      <c r="AG651" s="1477"/>
      <c r="AH651" s="1477"/>
      <c r="AI651" s="1477"/>
      <c r="AJ651" s="1477"/>
      <c r="AK651" s="1477"/>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81" t="s">
        <v>2705</v>
      </c>
      <c r="H652" s="1482"/>
      <c r="I652" s="1482"/>
      <c r="J652" s="1482"/>
      <c r="K652" s="1482"/>
      <c r="L652" s="1482"/>
      <c r="M652" s="1482"/>
      <c r="N652" s="1482"/>
      <c r="O652" s="1482"/>
      <c r="P652" s="1482"/>
      <c r="Q652" s="1482"/>
      <c r="R652" s="1482"/>
      <c r="T652" s="22"/>
      <c r="U652" t="s">
        <v>85</v>
      </c>
      <c r="Z652" s="1482"/>
      <c r="AA652" s="1482"/>
      <c r="AB652" s="1482"/>
      <c r="AC652" s="1482"/>
      <c r="AD652" s="1482"/>
      <c r="AE652" s="1482"/>
      <c r="AF652" s="1482"/>
      <c r="AG652" s="1482"/>
      <c r="AH652" s="1482"/>
      <c r="AI652" s="1482"/>
      <c r="AJ652" s="1482"/>
      <c r="AK652" s="1482"/>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580</v>
      </c>
      <c r="G653" s="1456" t="s">
        <v>2706</v>
      </c>
      <c r="H653" s="1380"/>
      <c r="I653" s="1380"/>
      <c r="J653" s="1380"/>
      <c r="K653" s="1380"/>
      <c r="L653" s="1380"/>
      <c r="M653" s="1380"/>
      <c r="N653" s="1380"/>
      <c r="O653" s="1380"/>
      <c r="P653" s="1380"/>
      <c r="Q653" s="1380"/>
      <c r="R653" s="1380"/>
      <c r="T653" s="22"/>
      <c r="U653" t="s">
        <v>580</v>
      </c>
      <c r="Z653" s="1380"/>
      <c r="AA653" s="1380"/>
      <c r="AB653" s="1380"/>
      <c r="AC653" s="1380"/>
      <c r="AD653" s="1380"/>
      <c r="AE653" s="1380"/>
      <c r="AF653" s="1380"/>
      <c r="AG653" s="1380"/>
      <c r="AH653" s="1380"/>
      <c r="AI653" s="1380"/>
      <c r="AJ653" s="1380"/>
      <c r="AK653" s="1380"/>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456" t="s">
        <v>2636</v>
      </c>
      <c r="H654" s="1380"/>
      <c r="I654" s="1380"/>
      <c r="J654" s="1380"/>
      <c r="K654" s="1380"/>
      <c r="L654" s="1380"/>
      <c r="M654" s="1380"/>
      <c r="N654" s="1380"/>
      <c r="O654" s="1380"/>
      <c r="P654" s="1380"/>
      <c r="Q654" s="1380"/>
      <c r="R654" s="1380"/>
      <c r="T654" s="22"/>
      <c r="U654" t="s">
        <v>17</v>
      </c>
      <c r="Z654" s="1380"/>
      <c r="AA654" s="1380"/>
      <c r="AB654" s="1380"/>
      <c r="AC654" s="1380"/>
      <c r="AD654" s="1380"/>
      <c r="AE654" s="1380"/>
      <c r="AF654" s="1380"/>
      <c r="AG654" s="1380"/>
      <c r="AH654" s="1380"/>
      <c r="AI654" s="1380"/>
      <c r="AJ654" s="1380"/>
      <c r="AK654" s="1380"/>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315</v>
      </c>
      <c r="G655" s="1545" t="s">
        <v>2635</v>
      </c>
      <c r="H655" s="1500"/>
      <c r="I655" s="1500"/>
      <c r="J655" s="1500"/>
      <c r="K655" s="1500"/>
      <c r="L655" s="1500"/>
      <c r="O655" s="33" t="s">
        <v>205</v>
      </c>
      <c r="P655" s="1457"/>
      <c r="Q655" s="1457"/>
      <c r="R655" s="1457"/>
      <c r="T655" s="22"/>
      <c r="U655" t="s">
        <v>315</v>
      </c>
      <c r="Z655" s="1500"/>
      <c r="AA655" s="1500"/>
      <c r="AB655" s="1500"/>
      <c r="AC655" s="1500"/>
      <c r="AD655" s="1500"/>
      <c r="AE655" s="1500"/>
      <c r="AH655" s="33" t="s">
        <v>205</v>
      </c>
      <c r="AI655" s="1457"/>
      <c r="AJ655" s="1457"/>
      <c r="AK655" s="1457"/>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82" t="str">
        <f>H598</f>
        <v>Cash Flow During Lease Up</v>
      </c>
      <c r="I656" s="1482"/>
      <c r="J656" s="1482"/>
      <c r="K656" s="1482"/>
      <c r="L656" s="1482"/>
      <c r="M656" s="1482"/>
      <c r="N656" s="1482"/>
      <c r="O656" s="1482"/>
      <c r="P656" s="1482"/>
      <c r="Q656" s="1482"/>
      <c r="R656" s="1482"/>
      <c r="T656" s="22"/>
      <c r="U656" t="s">
        <v>18</v>
      </c>
      <c r="AA656" s="1482"/>
      <c r="AB656" s="1482"/>
      <c r="AC656" s="1482"/>
      <c r="AD656" s="1482"/>
      <c r="AE656" s="1482"/>
      <c r="AF656" s="1482"/>
      <c r="AG656" s="1482"/>
      <c r="AH656" s="1482"/>
      <c r="AI656" s="1482"/>
      <c r="AJ656" s="1482"/>
      <c r="AK656" s="1482"/>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92" t="s">
        <v>545</v>
      </c>
      <c r="O657" s="1492"/>
      <c r="T657" s="22"/>
      <c r="U657" t="s">
        <v>20</v>
      </c>
      <c r="AG657" s="1492" t="s">
        <v>669</v>
      </c>
      <c r="AH657" s="1492"/>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763</v>
      </c>
      <c r="B659" t="s">
        <v>463</v>
      </c>
      <c r="G659" s="1477">
        <f>C631</f>
        <v>0</v>
      </c>
      <c r="H659" s="1477"/>
      <c r="I659" s="1477"/>
      <c r="J659" s="1477"/>
      <c r="K659" s="1477"/>
      <c r="L659" s="1477"/>
      <c r="M659" s="1477"/>
      <c r="N659" s="1477"/>
      <c r="O659" s="1477"/>
      <c r="P659" s="1477"/>
      <c r="Q659" s="1477"/>
      <c r="R659" s="1477"/>
      <c r="T659" s="55" t="s">
        <v>584</v>
      </c>
      <c r="U659" t="s">
        <v>463</v>
      </c>
      <c r="Z659" s="1477">
        <f>C632</f>
        <v>0</v>
      </c>
      <c r="AA659" s="1477"/>
      <c r="AB659" s="1477"/>
      <c r="AC659" s="1477"/>
      <c r="AD659" s="1477"/>
      <c r="AE659" s="1477"/>
      <c r="AF659" s="1477"/>
      <c r="AG659" s="1477"/>
      <c r="AH659" s="1477"/>
      <c r="AI659" s="1477"/>
      <c r="AJ659" s="1477"/>
      <c r="AK659" s="1477"/>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82"/>
      <c r="H660" s="1482"/>
      <c r="I660" s="1482"/>
      <c r="J660" s="1482"/>
      <c r="K660" s="1482"/>
      <c r="L660" s="1482"/>
      <c r="M660" s="1482"/>
      <c r="N660" s="1482"/>
      <c r="O660" s="1482"/>
      <c r="P660" s="1482"/>
      <c r="Q660" s="1482"/>
      <c r="R660" s="1482"/>
      <c r="T660" s="22"/>
      <c r="U660" t="s">
        <v>85</v>
      </c>
      <c r="Z660" s="1482"/>
      <c r="AA660" s="1482"/>
      <c r="AB660" s="1482"/>
      <c r="AC660" s="1482"/>
      <c r="AD660" s="1482"/>
      <c r="AE660" s="1482"/>
      <c r="AF660" s="1482"/>
      <c r="AG660" s="1482"/>
      <c r="AH660" s="1482"/>
      <c r="AI660" s="1482"/>
      <c r="AJ660" s="1482"/>
      <c r="AK660" s="1482"/>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580</v>
      </c>
      <c r="G661" s="1482"/>
      <c r="H661" s="1482"/>
      <c r="I661" s="1482"/>
      <c r="J661" s="1482"/>
      <c r="K661" s="1482"/>
      <c r="L661" s="1482"/>
      <c r="M661" s="1482"/>
      <c r="N661" s="1482"/>
      <c r="O661" s="1482"/>
      <c r="P661" s="1482"/>
      <c r="Q661" s="1482"/>
      <c r="R661" s="1482"/>
      <c r="T661" s="22"/>
      <c r="U661" t="s">
        <v>580</v>
      </c>
      <c r="Z661" s="1380"/>
      <c r="AA661" s="1380"/>
      <c r="AB661" s="1380"/>
      <c r="AC661" s="1380"/>
      <c r="AD661" s="1380"/>
      <c r="AE661" s="1380"/>
      <c r="AF661" s="1380"/>
      <c r="AG661" s="1380"/>
      <c r="AH661" s="1380"/>
      <c r="AI661" s="1380"/>
      <c r="AJ661" s="1380"/>
      <c r="AK661" s="1380"/>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82"/>
      <c r="H662" s="1482"/>
      <c r="I662" s="1482"/>
      <c r="J662" s="1482"/>
      <c r="K662" s="1482"/>
      <c r="L662" s="1482"/>
      <c r="M662" s="1482"/>
      <c r="N662" s="1482"/>
      <c r="O662" s="1482"/>
      <c r="P662" s="1482"/>
      <c r="Q662" s="1482"/>
      <c r="R662" s="1482"/>
      <c r="T662" s="22"/>
      <c r="U662" t="s">
        <v>17</v>
      </c>
      <c r="Z662" s="1380"/>
      <c r="AA662" s="1380"/>
      <c r="AB662" s="1380"/>
      <c r="AC662" s="1380"/>
      <c r="AD662" s="1380"/>
      <c r="AE662" s="1380"/>
      <c r="AF662" s="1380"/>
      <c r="AG662" s="1380"/>
      <c r="AH662" s="1380"/>
      <c r="AI662" s="1380"/>
      <c r="AJ662" s="1380"/>
      <c r="AK662" s="138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315</v>
      </c>
      <c r="G663" s="1500"/>
      <c r="H663" s="1500"/>
      <c r="I663" s="1500"/>
      <c r="J663" s="1500"/>
      <c r="K663" s="1500"/>
      <c r="L663" s="1500"/>
      <c r="O663" s="33" t="s">
        <v>205</v>
      </c>
      <c r="P663" s="1457"/>
      <c r="Q663" s="1457"/>
      <c r="R663" s="1457"/>
      <c r="T663" s="22"/>
      <c r="U663" t="s">
        <v>315</v>
      </c>
      <c r="Z663" s="1500"/>
      <c r="AA663" s="1500"/>
      <c r="AB663" s="1500"/>
      <c r="AC663" s="1500"/>
      <c r="AD663" s="1500"/>
      <c r="AE663" s="1500"/>
      <c r="AH663" s="33" t="s">
        <v>205</v>
      </c>
      <c r="AI663" s="1457"/>
      <c r="AJ663" s="1457"/>
      <c r="AK663" s="145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82"/>
      <c r="I664" s="1482"/>
      <c r="J664" s="1482"/>
      <c r="K664" s="1482"/>
      <c r="L664" s="1482"/>
      <c r="M664" s="1482"/>
      <c r="N664" s="1482"/>
      <c r="O664" s="1482"/>
      <c r="P664" s="1482"/>
      <c r="Q664" s="1482"/>
      <c r="R664" s="1482"/>
      <c r="T664" s="22"/>
      <c r="U664" t="s">
        <v>18</v>
      </c>
      <c r="AA664" s="1482"/>
      <c r="AB664" s="1482"/>
      <c r="AC664" s="1482"/>
      <c r="AD664" s="1482"/>
      <c r="AE664" s="1482"/>
      <c r="AF664" s="1482"/>
      <c r="AG664" s="1482"/>
      <c r="AH664" s="1482"/>
      <c r="AI664" s="1482"/>
      <c r="AJ664" s="1482"/>
      <c r="AK664" s="14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92" t="s">
        <v>669</v>
      </c>
      <c r="O665" s="1492"/>
      <c r="T665" s="22"/>
      <c r="U665" t="s">
        <v>20</v>
      </c>
      <c r="AG665" s="1492" t="s">
        <v>669</v>
      </c>
      <c r="AH665" s="149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455</v>
      </c>
      <c r="B667" t="s">
        <v>463</v>
      </c>
      <c r="G667" s="1477">
        <f>C633</f>
        <v>0</v>
      </c>
      <c r="H667" s="1477"/>
      <c r="I667" s="1477"/>
      <c r="J667" s="1477"/>
      <c r="K667" s="1477"/>
      <c r="L667" s="1477"/>
      <c r="M667" s="1477"/>
      <c r="N667" s="1477"/>
      <c r="O667" s="1477"/>
      <c r="P667" s="1477"/>
      <c r="Q667" s="1477"/>
      <c r="R667" s="1477"/>
      <c r="T667" s="55" t="s">
        <v>456</v>
      </c>
      <c r="U667" t="s">
        <v>463</v>
      </c>
      <c r="Z667" s="1477">
        <f>C634</f>
        <v>0</v>
      </c>
      <c r="AA667" s="1477"/>
      <c r="AB667" s="1477"/>
      <c r="AC667" s="1477"/>
      <c r="AD667" s="1477"/>
      <c r="AE667" s="1477"/>
      <c r="AF667" s="1477"/>
      <c r="AG667" s="1477"/>
      <c r="AH667" s="1477"/>
      <c r="AI667" s="1477"/>
      <c r="AJ667" s="1477"/>
      <c r="AK667" s="147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82"/>
      <c r="H668" s="1482"/>
      <c r="I668" s="1482"/>
      <c r="J668" s="1482"/>
      <c r="K668" s="1482"/>
      <c r="L668" s="1482"/>
      <c r="M668" s="1482"/>
      <c r="N668" s="1482"/>
      <c r="O668" s="1482"/>
      <c r="P668" s="1482"/>
      <c r="Q668" s="1482"/>
      <c r="R668" s="1482"/>
      <c r="T668" s="22"/>
      <c r="U668" t="s">
        <v>85</v>
      </c>
      <c r="Z668" s="1482"/>
      <c r="AA668" s="1482"/>
      <c r="AB668" s="1482"/>
      <c r="AC668" s="1482"/>
      <c r="AD668" s="1482"/>
      <c r="AE668" s="1482"/>
      <c r="AF668" s="1482"/>
      <c r="AG668" s="1482"/>
      <c r="AH668" s="1482"/>
      <c r="AI668" s="1482"/>
      <c r="AJ668" s="1482"/>
      <c r="AK668" s="148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580</v>
      </c>
      <c r="G669" s="1482"/>
      <c r="H669" s="1482"/>
      <c r="I669" s="1482"/>
      <c r="J669" s="1482"/>
      <c r="K669" s="1482"/>
      <c r="L669" s="1482"/>
      <c r="M669" s="1482"/>
      <c r="N669" s="1482"/>
      <c r="O669" s="1482"/>
      <c r="P669" s="1482"/>
      <c r="Q669" s="1482"/>
      <c r="R669" s="1482"/>
      <c r="T669" s="22"/>
      <c r="U669" t="s">
        <v>580</v>
      </c>
      <c r="Z669" s="1380"/>
      <c r="AA669" s="1380"/>
      <c r="AB669" s="1380"/>
      <c r="AC669" s="1380"/>
      <c r="AD669" s="1380"/>
      <c r="AE669" s="1380"/>
      <c r="AF669" s="1380"/>
      <c r="AG669" s="1380"/>
      <c r="AH669" s="1380"/>
      <c r="AI669" s="1380"/>
      <c r="AJ669" s="1380"/>
      <c r="AK669" s="138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82"/>
      <c r="H670" s="1482"/>
      <c r="I670" s="1482"/>
      <c r="J670" s="1482"/>
      <c r="K670" s="1482"/>
      <c r="L670" s="1482"/>
      <c r="M670" s="1482"/>
      <c r="N670" s="1482"/>
      <c r="O670" s="1482"/>
      <c r="P670" s="1482"/>
      <c r="Q670" s="1482"/>
      <c r="R670" s="1482"/>
      <c r="T670" s="22"/>
      <c r="U670" t="s">
        <v>17</v>
      </c>
      <c r="Z670" s="1380"/>
      <c r="AA670" s="1380"/>
      <c r="AB670" s="1380"/>
      <c r="AC670" s="1380"/>
      <c r="AD670" s="1380"/>
      <c r="AE670" s="1380"/>
      <c r="AF670" s="1380"/>
      <c r="AG670" s="1380"/>
      <c r="AH670" s="1380"/>
      <c r="AI670" s="1380"/>
      <c r="AJ670" s="1380"/>
      <c r="AK670" s="138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1473.8591549295775</v>
      </c>
      <c r="ED670" s="1369"/>
      <c r="EE670" s="1369"/>
      <c r="EF670" s="1369"/>
      <c r="EG670" s="1369"/>
      <c r="EH670" s="1369">
        <f>SUMIF(EH635:EL669,"&gt;0")</f>
        <v>1938.5609756097563</v>
      </c>
      <c r="EI670" s="1369"/>
      <c r="EJ670" s="1369"/>
      <c r="EK670" s="1369"/>
      <c r="EL670" s="1369"/>
      <c r="EM670" s="1369">
        <f>SUMIF(EM635:EQ669,"&gt;0")</f>
        <v>2821.911111111111</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500"/>
      <c r="H671" s="1500"/>
      <c r="I671" s="1500"/>
      <c r="J671" s="1500"/>
      <c r="K671" s="1500"/>
      <c r="L671" s="1500"/>
      <c r="O671" s="33" t="s">
        <v>205</v>
      </c>
      <c r="P671" s="1457"/>
      <c r="Q671" s="1457"/>
      <c r="R671" s="1457"/>
      <c r="T671" s="22"/>
      <c r="U671" t="s">
        <v>315</v>
      </c>
      <c r="Z671" s="1500"/>
      <c r="AA671" s="1500"/>
      <c r="AB671" s="1500"/>
      <c r="AC671" s="1500"/>
      <c r="AD671" s="1500"/>
      <c r="AE671" s="1500"/>
      <c r="AH671" s="33" t="s">
        <v>205</v>
      </c>
      <c r="AI671" s="1457"/>
      <c r="AJ671" s="1457"/>
      <c r="AK671" s="145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2"/>
      <c r="I672" s="1482"/>
      <c r="J672" s="1482"/>
      <c r="K672" s="1482"/>
      <c r="L672" s="1482"/>
      <c r="M672" s="1482"/>
      <c r="N672" s="1482"/>
      <c r="O672" s="1482"/>
      <c r="P672" s="1482"/>
      <c r="Q672" s="1482"/>
      <c r="R672" s="1482"/>
      <c r="T672" s="22"/>
      <c r="U672" t="s">
        <v>18</v>
      </c>
      <c r="AA672" s="1482"/>
      <c r="AB672" s="1482"/>
      <c r="AC672" s="1482"/>
      <c r="AD672" s="1482"/>
      <c r="AE672" s="1482"/>
      <c r="AF672" s="1482"/>
      <c r="AG672" s="1482"/>
      <c r="AH672" s="1482"/>
      <c r="AI672" s="1482"/>
      <c r="AJ672" s="1482"/>
      <c r="AK672" s="148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92" t="s">
        <v>669</v>
      </c>
      <c r="O673" s="1492"/>
      <c r="T673" s="22"/>
      <c r="U673" t="s">
        <v>20</v>
      </c>
      <c r="AG673" s="1492" t="s">
        <v>669</v>
      </c>
      <c r="AH673" s="1492"/>
      <c r="AZ673" s="3"/>
    </row>
    <row r="674" spans="1:52" ht="12.95" customHeight="1">
      <c r="A674" s="22"/>
      <c r="T674" s="22"/>
      <c r="AZ674" s="3"/>
    </row>
    <row r="675" spans="1:52" ht="12.95" customHeight="1">
      <c r="A675" s="55" t="s">
        <v>461</v>
      </c>
      <c r="B675" t="s">
        <v>463</v>
      </c>
      <c r="G675" s="1477">
        <f>C635</f>
        <v>0</v>
      </c>
      <c r="H675" s="1477"/>
      <c r="I675" s="1477"/>
      <c r="J675" s="1477"/>
      <c r="K675" s="1477"/>
      <c r="L675" s="1477"/>
      <c r="M675" s="1477"/>
      <c r="N675" s="1477"/>
      <c r="O675" s="1477"/>
      <c r="P675" s="1477"/>
      <c r="Q675" s="1477"/>
      <c r="R675" s="1477"/>
      <c r="T675" s="55" t="s">
        <v>646</v>
      </c>
      <c r="U675" t="s">
        <v>463</v>
      </c>
      <c r="Z675" s="1477">
        <f>C636</f>
        <v>0</v>
      </c>
      <c r="AA675" s="1477"/>
      <c r="AB675" s="1477"/>
      <c r="AC675" s="1477"/>
      <c r="AD675" s="1477"/>
      <c r="AE675" s="1477"/>
      <c r="AF675" s="1477"/>
      <c r="AG675" s="1477"/>
      <c r="AH675" s="1477"/>
      <c r="AI675" s="1477"/>
      <c r="AJ675" s="1477"/>
      <c r="AK675" s="1477"/>
      <c r="AZ675" s="3"/>
    </row>
    <row r="676" spans="1:52" ht="12.95" customHeight="1">
      <c r="A676" s="22"/>
      <c r="B676" t="s">
        <v>85</v>
      </c>
      <c r="G676" s="1482"/>
      <c r="H676" s="1482"/>
      <c r="I676" s="1482"/>
      <c r="J676" s="1482"/>
      <c r="K676" s="1482"/>
      <c r="L676" s="1482"/>
      <c r="M676" s="1482"/>
      <c r="N676" s="1482"/>
      <c r="O676" s="1482"/>
      <c r="P676" s="1482"/>
      <c r="Q676" s="1482"/>
      <c r="R676" s="1482"/>
      <c r="T676" s="22"/>
      <c r="U676" t="s">
        <v>85</v>
      </c>
      <c r="Z676" s="1482"/>
      <c r="AA676" s="1482"/>
      <c r="AB676" s="1482"/>
      <c r="AC676" s="1482"/>
      <c r="AD676" s="1482"/>
      <c r="AE676" s="1482"/>
      <c r="AF676" s="1482"/>
      <c r="AG676" s="1482"/>
      <c r="AH676" s="1482"/>
      <c r="AI676" s="1482"/>
      <c r="AJ676" s="1482"/>
      <c r="AK676" s="1482"/>
      <c r="AZ676" s="3"/>
    </row>
    <row r="677" spans="1:52" ht="12.95" customHeight="1">
      <c r="A677" s="22"/>
      <c r="B677" t="s">
        <v>580</v>
      </c>
      <c r="G677" s="1482"/>
      <c r="H677" s="1482"/>
      <c r="I677" s="1482"/>
      <c r="J677" s="1482"/>
      <c r="K677" s="1482"/>
      <c r="L677" s="1482"/>
      <c r="M677" s="1482"/>
      <c r="N677" s="1482"/>
      <c r="O677" s="1482"/>
      <c r="P677" s="1482"/>
      <c r="Q677" s="1482"/>
      <c r="R677" s="1482"/>
      <c r="T677" s="22"/>
      <c r="U677" t="s">
        <v>580</v>
      </c>
      <c r="Z677" s="1380"/>
      <c r="AA677" s="1380"/>
      <c r="AB677" s="1380"/>
      <c r="AC677" s="1380"/>
      <c r="AD677" s="1380"/>
      <c r="AE677" s="1380"/>
      <c r="AF677" s="1380"/>
      <c r="AG677" s="1380"/>
      <c r="AH677" s="1380"/>
      <c r="AI677" s="1380"/>
      <c r="AJ677" s="1380"/>
      <c r="AK677" s="1380"/>
      <c r="AZ677" s="3"/>
    </row>
    <row r="678" spans="1:52" ht="12.95" customHeight="1">
      <c r="A678" s="22"/>
      <c r="B678" t="s">
        <v>17</v>
      </c>
      <c r="G678" s="1482"/>
      <c r="H678" s="1482"/>
      <c r="I678" s="1482"/>
      <c r="J678" s="1482"/>
      <c r="K678" s="1482"/>
      <c r="L678" s="1482"/>
      <c r="M678" s="1482"/>
      <c r="N678" s="1482"/>
      <c r="O678" s="1482"/>
      <c r="P678" s="1482"/>
      <c r="Q678" s="1482"/>
      <c r="R678" s="1482"/>
      <c r="T678" s="22"/>
      <c r="U678" t="s">
        <v>17</v>
      </c>
      <c r="Z678" s="1380"/>
      <c r="AA678" s="1380"/>
      <c r="AB678" s="1380"/>
      <c r="AC678" s="1380"/>
      <c r="AD678" s="1380"/>
      <c r="AE678" s="1380"/>
      <c r="AF678" s="1380"/>
      <c r="AG678" s="1380"/>
      <c r="AH678" s="1380"/>
      <c r="AI678" s="1380"/>
      <c r="AJ678" s="1380"/>
      <c r="AK678" s="1380"/>
      <c r="AZ678" s="3"/>
    </row>
    <row r="679" spans="1:52" ht="12.95" customHeight="1">
      <c r="A679" s="22"/>
      <c r="B679" t="s">
        <v>315</v>
      </c>
      <c r="G679" s="1500"/>
      <c r="H679" s="1500"/>
      <c r="I679" s="1500"/>
      <c r="J679" s="1500"/>
      <c r="K679" s="1500"/>
      <c r="L679" s="1500"/>
      <c r="O679" s="33" t="s">
        <v>205</v>
      </c>
      <c r="P679" s="1457"/>
      <c r="Q679" s="1457"/>
      <c r="R679" s="1457"/>
      <c r="T679" s="22"/>
      <c r="U679" t="s">
        <v>315</v>
      </c>
      <c r="Z679" s="1500"/>
      <c r="AA679" s="1500"/>
      <c r="AB679" s="1500"/>
      <c r="AC679" s="1500"/>
      <c r="AD679" s="1500"/>
      <c r="AE679" s="1500"/>
      <c r="AH679" s="33" t="s">
        <v>205</v>
      </c>
      <c r="AI679" s="1457"/>
      <c r="AJ679" s="1457"/>
      <c r="AK679" s="1457"/>
      <c r="AZ679" s="3"/>
    </row>
    <row r="680" spans="1:52" ht="12.95" customHeight="1">
      <c r="A680" s="22"/>
      <c r="B680" t="s">
        <v>18</v>
      </c>
      <c r="H680" s="1482"/>
      <c r="I680" s="1482"/>
      <c r="J680" s="1482"/>
      <c r="K680" s="1482"/>
      <c r="L680" s="1482"/>
      <c r="M680" s="1482"/>
      <c r="N680" s="1482"/>
      <c r="O680" s="1482"/>
      <c r="P680" s="1482"/>
      <c r="Q680" s="1482"/>
      <c r="R680" s="1482"/>
      <c r="T680" s="22"/>
      <c r="U680" t="s">
        <v>18</v>
      </c>
      <c r="AA680" s="1482"/>
      <c r="AB680" s="1482"/>
      <c r="AC680" s="1482"/>
      <c r="AD680" s="1482"/>
      <c r="AE680" s="1482"/>
      <c r="AF680" s="1482"/>
      <c r="AG680" s="1482"/>
      <c r="AH680" s="1482"/>
      <c r="AI680" s="1482"/>
      <c r="AJ680" s="1482"/>
      <c r="AK680" s="1482"/>
      <c r="AZ680" s="3"/>
    </row>
    <row r="681" spans="1:52" ht="12.95" customHeight="1">
      <c r="A681" s="22"/>
      <c r="B681" t="s">
        <v>20</v>
      </c>
      <c r="N681" s="1492" t="s">
        <v>669</v>
      </c>
      <c r="O681" s="1492"/>
      <c r="T681" s="22"/>
      <c r="U681" t="s">
        <v>20</v>
      </c>
      <c r="AG681" s="1492" t="s">
        <v>669</v>
      </c>
      <c r="AH681" s="1492"/>
      <c r="AZ681" s="3"/>
    </row>
    <row r="682" spans="1:52" ht="12.95" customHeight="1">
      <c r="A682" s="22"/>
      <c r="T682" s="22"/>
      <c r="AZ682" s="3"/>
    </row>
    <row r="683" spans="1:52" ht="12.95" customHeight="1">
      <c r="A683" s="55" t="s">
        <v>361</v>
      </c>
      <c r="B683" t="s">
        <v>463</v>
      </c>
      <c r="G683" s="1477">
        <f>C637</f>
        <v>0</v>
      </c>
      <c r="H683" s="1477"/>
      <c r="I683" s="1477"/>
      <c r="J683" s="1477"/>
      <c r="K683" s="1477"/>
      <c r="L683" s="1477"/>
      <c r="M683" s="1477"/>
      <c r="N683" s="1477"/>
      <c r="O683" s="1477"/>
      <c r="P683" s="1477"/>
      <c r="Q683" s="1477"/>
      <c r="R683" s="1477"/>
      <c r="T683" s="55" t="s">
        <v>362</v>
      </c>
      <c r="U683" t="s">
        <v>463</v>
      </c>
      <c r="Z683" s="1477">
        <f>C638</f>
        <v>0</v>
      </c>
      <c r="AA683" s="1477"/>
      <c r="AB683" s="1477"/>
      <c r="AC683" s="1477"/>
      <c r="AD683" s="1477"/>
      <c r="AE683" s="1477"/>
      <c r="AF683" s="1477"/>
      <c r="AG683" s="1477"/>
      <c r="AH683" s="1477"/>
      <c r="AI683" s="1477"/>
      <c r="AJ683" s="1477"/>
      <c r="AK683" s="1477"/>
      <c r="AZ683" s="3"/>
    </row>
    <row r="684" spans="1:52" ht="12.95" customHeight="1">
      <c r="B684" t="s">
        <v>85</v>
      </c>
      <c r="G684" s="1482"/>
      <c r="H684" s="1482"/>
      <c r="I684" s="1482"/>
      <c r="J684" s="1482"/>
      <c r="K684" s="1482"/>
      <c r="L684" s="1482"/>
      <c r="M684" s="1482"/>
      <c r="N684" s="1482"/>
      <c r="O684" s="1482"/>
      <c r="P684" s="1482"/>
      <c r="Q684" s="1482"/>
      <c r="R684" s="1482"/>
      <c r="T684" s="22"/>
      <c r="U684" t="s">
        <v>85</v>
      </c>
      <c r="Z684" s="1482"/>
      <c r="AA684" s="1482"/>
      <c r="AB684" s="1482"/>
      <c r="AC684" s="1482"/>
      <c r="AD684" s="1482"/>
      <c r="AE684" s="1482"/>
      <c r="AF684" s="1482"/>
      <c r="AG684" s="1482"/>
      <c r="AH684" s="1482"/>
      <c r="AI684" s="1482"/>
      <c r="AJ684" s="1482"/>
      <c r="AK684" s="1482"/>
      <c r="AZ684" s="3"/>
    </row>
    <row r="685" spans="1:52" ht="12.95" customHeight="1">
      <c r="B685" t="s">
        <v>580</v>
      </c>
      <c r="G685" s="1482"/>
      <c r="H685" s="1482"/>
      <c r="I685" s="1482"/>
      <c r="J685" s="1482"/>
      <c r="K685" s="1482"/>
      <c r="L685" s="1482"/>
      <c r="M685" s="1482"/>
      <c r="N685" s="1482"/>
      <c r="O685" s="1482"/>
      <c r="P685" s="1482"/>
      <c r="Q685" s="1482"/>
      <c r="R685" s="1482"/>
      <c r="U685" t="s">
        <v>580</v>
      </c>
      <c r="Z685" s="1380"/>
      <c r="AA685" s="1380"/>
      <c r="AB685" s="1380"/>
      <c r="AC685" s="1380"/>
      <c r="AD685" s="1380"/>
      <c r="AE685" s="1380"/>
      <c r="AF685" s="1380"/>
      <c r="AG685" s="1380"/>
      <c r="AH685" s="1380"/>
      <c r="AI685" s="1380"/>
      <c r="AJ685" s="1380"/>
      <c r="AK685" s="1380"/>
      <c r="AZ685" s="3"/>
    </row>
    <row r="686" spans="1:52" ht="12.95" customHeight="1">
      <c r="B686" t="s">
        <v>17</v>
      </c>
      <c r="G686" s="1482"/>
      <c r="H686" s="1482"/>
      <c r="I686" s="1482"/>
      <c r="J686" s="1482"/>
      <c r="K686" s="1482"/>
      <c r="L686" s="1482"/>
      <c r="M686" s="1482"/>
      <c r="N686" s="1482"/>
      <c r="O686" s="1482"/>
      <c r="P686" s="1482"/>
      <c r="Q686" s="1482"/>
      <c r="R686" s="1482"/>
      <c r="U686" t="s">
        <v>17</v>
      </c>
      <c r="Z686" s="1380"/>
      <c r="AA686" s="1380"/>
      <c r="AB686" s="1380"/>
      <c r="AC686" s="1380"/>
      <c r="AD686" s="1380"/>
      <c r="AE686" s="1380"/>
      <c r="AF686" s="1380"/>
      <c r="AG686" s="1380"/>
      <c r="AH686" s="1380"/>
      <c r="AI686" s="1380"/>
      <c r="AJ686" s="1380"/>
      <c r="AK686" s="1380"/>
      <c r="AZ686" s="3"/>
    </row>
    <row r="687" spans="1:52" ht="12.95" customHeight="1">
      <c r="B687" t="s">
        <v>315</v>
      </c>
      <c r="G687" s="1500"/>
      <c r="H687" s="1500"/>
      <c r="I687" s="1500"/>
      <c r="J687" s="1500"/>
      <c r="K687" s="1500"/>
      <c r="L687" s="1500"/>
      <c r="O687" s="33" t="s">
        <v>205</v>
      </c>
      <c r="P687" s="1457"/>
      <c r="Q687" s="1457"/>
      <c r="R687" s="1457"/>
      <c r="U687" t="s">
        <v>315</v>
      </c>
      <c r="Z687" s="1500"/>
      <c r="AA687" s="1500"/>
      <c r="AB687" s="1500"/>
      <c r="AC687" s="1500"/>
      <c r="AD687" s="1500"/>
      <c r="AE687" s="1500"/>
      <c r="AH687" s="33" t="s">
        <v>205</v>
      </c>
      <c r="AI687" s="1457"/>
      <c r="AJ687" s="1457"/>
      <c r="AK687" s="1457"/>
      <c r="AZ687" s="3"/>
    </row>
    <row r="688" spans="1:52" ht="12.95" customHeight="1">
      <c r="B688" t="s">
        <v>18</v>
      </c>
      <c r="H688" s="1482"/>
      <c r="I688" s="1482"/>
      <c r="J688" s="1482"/>
      <c r="K688" s="1482"/>
      <c r="L688" s="1482"/>
      <c r="M688" s="1482"/>
      <c r="N688" s="1482"/>
      <c r="O688" s="1482"/>
      <c r="P688" s="1482"/>
      <c r="Q688" s="1482"/>
      <c r="R688" s="1482"/>
      <c r="U688" t="s">
        <v>18</v>
      </c>
      <c r="AA688" s="1482"/>
      <c r="AB688" s="1482"/>
      <c r="AC688" s="1482"/>
      <c r="AD688" s="1482"/>
      <c r="AE688" s="1482"/>
      <c r="AF688" s="1482"/>
      <c r="AG688" s="1482"/>
      <c r="AH688" s="1482"/>
      <c r="AI688" s="1482"/>
      <c r="AJ688" s="1482"/>
      <c r="AK688" s="1482"/>
      <c r="AZ688" s="3"/>
    </row>
    <row r="689" spans="1:67" ht="12.95" customHeight="1">
      <c r="B689" t="s">
        <v>20</v>
      </c>
      <c r="N689" s="1492" t="s">
        <v>669</v>
      </c>
      <c r="O689" s="1492"/>
      <c r="U689" t="s">
        <v>20</v>
      </c>
      <c r="AG689" s="1492" t="s">
        <v>669</v>
      </c>
      <c r="AH689" s="149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92" t="s">
        <v>545</v>
      </c>
      <c r="AF693" s="1492"/>
      <c r="AZ693" s="3"/>
    </row>
    <row r="694" spans="1:67" ht="12.95" customHeight="1">
      <c r="B694" s="135"/>
      <c r="C694" s="135"/>
      <c r="D694" s="136" t="s">
        <v>437</v>
      </c>
      <c r="E694" s="135"/>
      <c r="F694" s="135"/>
      <c r="G694" s="135"/>
      <c r="H694" s="135"/>
      <c r="AE694" s="1492" t="s">
        <v>669</v>
      </c>
      <c r="AF694" s="1492"/>
      <c r="AZ694" s="3"/>
    </row>
    <row r="695" spans="1:67" ht="12.95" customHeight="1">
      <c r="B695" s="135"/>
      <c r="C695" s="135"/>
      <c r="D695" s="136" t="s">
        <v>920</v>
      </c>
      <c r="E695" s="135"/>
      <c r="F695" s="135"/>
      <c r="G695" s="135"/>
      <c r="H695" s="135"/>
      <c r="AE695" s="1571"/>
      <c r="AF695" s="1571"/>
      <c r="AG695" s="1571"/>
      <c r="AH695" s="1571"/>
      <c r="AI695" s="1571"/>
    </row>
    <row r="696" spans="1:67" ht="12.95" customHeight="1">
      <c r="B696" s="135"/>
      <c r="C696" s="135"/>
      <c r="D696" s="317" t="s">
        <v>983</v>
      </c>
      <c r="E696" s="135"/>
      <c r="F696" s="135"/>
      <c r="G696" s="135"/>
      <c r="H696" s="135"/>
      <c r="AE696" s="1668">
        <v>45980</v>
      </c>
      <c r="AF696" s="1668"/>
      <c r="AG696" s="1668"/>
      <c r="AH696" s="1668"/>
      <c r="AI696" s="1668"/>
    </row>
    <row r="697" spans="1:67" ht="12.95" customHeight="1">
      <c r="B697" s="135"/>
      <c r="C697" s="135"/>
    </row>
    <row r="698" spans="1:67" ht="12.95" customHeight="1">
      <c r="B698" s="135"/>
      <c r="C698" s="135"/>
      <c r="D698" s="136" t="s">
        <v>816</v>
      </c>
      <c r="E698" s="135"/>
      <c r="F698" s="135"/>
      <c r="G698" s="135"/>
      <c r="H698" s="135"/>
      <c r="AE698" s="1571">
        <v>46174</v>
      </c>
      <c r="AF698" s="1571"/>
      <c r="AG698" s="1571"/>
      <c r="AH698" s="1571"/>
      <c r="AI698" s="1571"/>
    </row>
    <row r="699" spans="1:67" ht="12.95" customHeight="1">
      <c r="B699" s="135"/>
      <c r="C699" s="135"/>
      <c r="D699" s="136" t="s">
        <v>435</v>
      </c>
      <c r="E699" s="135"/>
      <c r="F699" s="135"/>
      <c r="G699" s="135"/>
      <c r="H699" s="135"/>
      <c r="AE699" s="1688">
        <v>0.25719999999999998</v>
      </c>
      <c r="AF699" s="1688"/>
      <c r="AG699" s="1688"/>
      <c r="AH699" s="1688"/>
      <c r="AI699" s="1688"/>
    </row>
    <row r="700" spans="1:67" ht="12.95" customHeight="1">
      <c r="B700" s="135"/>
      <c r="C700" s="135"/>
      <c r="D700" s="136" t="s">
        <v>436</v>
      </c>
      <c r="E700" s="135"/>
      <c r="F700" s="135"/>
      <c r="G700" s="135"/>
      <c r="H700" s="135"/>
      <c r="W700" s="1477" t="str">
        <f>H335</f>
        <v>California Municipal Finance Authority</v>
      </c>
      <c r="X700" s="1477"/>
      <c r="Y700" s="1477"/>
      <c r="Z700" s="1477"/>
      <c r="AA700" s="1477"/>
      <c r="AB700" s="1477"/>
      <c r="AC700" s="1477"/>
      <c r="AD700" s="1477"/>
      <c r="AE700" s="1477"/>
      <c r="AF700" s="1477"/>
      <c r="AG700" s="1477"/>
      <c r="AH700" s="1477"/>
      <c r="AI700" s="1477"/>
      <c r="AJ700" s="1477"/>
      <c r="AK700" s="1477"/>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92" t="s">
        <v>669</v>
      </c>
      <c r="AF702" s="1492"/>
      <c r="AZ702" s="4" t="s">
        <v>323</v>
      </c>
    </row>
    <row r="703" spans="1:67" ht="12.95" customHeight="1">
      <c r="B703" s="135"/>
      <c r="C703" s="135"/>
      <c r="D703" s="136" t="s">
        <v>442</v>
      </c>
      <c r="E703" s="135"/>
      <c r="F703" s="135"/>
      <c r="G703" s="135"/>
      <c r="H703" s="135"/>
      <c r="W703" s="1482"/>
      <c r="X703" s="1482"/>
      <c r="Y703" s="1482"/>
      <c r="Z703" s="1482"/>
      <c r="AA703" s="1482"/>
      <c r="AB703" s="1482"/>
      <c r="AC703" s="1482"/>
      <c r="AD703" s="1482"/>
      <c r="AE703" s="1482"/>
      <c r="AF703" s="1482"/>
      <c r="AG703" s="1482"/>
      <c r="AH703" s="1482"/>
      <c r="AI703" s="1482"/>
      <c r="AJ703" s="1482"/>
      <c r="AK703" s="1482"/>
      <c r="AZ703" s="4" t="s">
        <v>324</v>
      </c>
    </row>
    <row r="704" spans="1:67" ht="12.95" customHeight="1">
      <c r="B704" s="135"/>
      <c r="C704" s="135"/>
      <c r="D704" s="136" t="s">
        <v>87</v>
      </c>
      <c r="E704" s="135"/>
      <c r="F704" s="135"/>
      <c r="G704" s="135"/>
      <c r="H704" s="135"/>
      <c r="J704" s="1482"/>
      <c r="K704" s="1482"/>
      <c r="L704" s="1482"/>
      <c r="M704" s="1482"/>
      <c r="N704" s="1482"/>
      <c r="O704" s="1482"/>
      <c r="P704" s="1482"/>
      <c r="Q704" s="1482"/>
      <c r="R704" s="1482"/>
      <c r="S704" s="1482"/>
      <c r="T704" s="1482"/>
      <c r="U704" s="1482"/>
      <c r="V704" s="1482"/>
      <c r="W704" s="1482"/>
      <c r="X704" s="1482"/>
      <c r="AZ704" s="4" t="s">
        <v>163</v>
      </c>
      <c r="BB704" s="34"/>
      <c r="BC704" s="34"/>
      <c r="BD704" s="34"/>
      <c r="BE704" s="3"/>
      <c r="BF704" s="3"/>
      <c r="BJ704" s="3"/>
      <c r="BK704" s="3"/>
      <c r="BL704" s="3"/>
      <c r="BM704" s="3"/>
      <c r="BN704" s="34"/>
      <c r="BO704" s="34"/>
    </row>
    <row r="705" spans="1:185" ht="12.95" customHeight="1">
      <c r="B705" s="135"/>
      <c r="C705" s="135"/>
      <c r="D705" s="136" t="s">
        <v>88</v>
      </c>
      <c r="J705" s="1500"/>
      <c r="K705" s="1500"/>
      <c r="L705" s="1500"/>
      <c r="M705" s="1500"/>
      <c r="N705" s="1500"/>
      <c r="O705" s="1500"/>
      <c r="P705" s="4" t="s">
        <v>205</v>
      </c>
      <c r="Q705" s="4"/>
      <c r="R705" s="1457"/>
      <c r="S705" s="1457"/>
      <c r="T705" s="145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82" t="s">
        <v>306</v>
      </c>
      <c r="X706" s="1482"/>
      <c r="Y706" s="1482"/>
      <c r="Z706" s="1482"/>
      <c r="AA706" s="1482"/>
      <c r="AB706" s="1482"/>
      <c r="AC706" s="1482"/>
      <c r="AD706" s="1482"/>
      <c r="AE706" s="1482"/>
      <c r="AF706" s="1482"/>
      <c r="AG706" s="1482"/>
      <c r="AH706" s="1482"/>
      <c r="AI706" s="1482"/>
      <c r="AJ706" s="1482"/>
      <c r="AK706" s="148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82" t="s">
        <v>333</v>
      </c>
      <c r="F707" s="1482"/>
      <c r="G707" s="1482"/>
      <c r="H707" s="1482"/>
      <c r="I707" s="1482"/>
      <c r="J707" s="1482"/>
      <c r="K707" s="1482"/>
      <c r="L707" s="1482"/>
      <c r="M707" s="1482"/>
      <c r="N707" s="1482"/>
      <c r="O707" s="1482"/>
      <c r="P707" s="1482"/>
      <c r="Q707" s="1482"/>
      <c r="R707" s="1482"/>
      <c r="S707" s="1482"/>
      <c r="T707" s="1482"/>
      <c r="U707" s="1482"/>
      <c r="V707" s="1482"/>
      <c r="W707" s="1482"/>
      <c r="X707" s="1482"/>
      <c r="Y707" s="1482"/>
      <c r="Z707" s="1482"/>
      <c r="AA707" s="1482"/>
      <c r="AB707" s="1482"/>
      <c r="AC707" s="1482"/>
      <c r="AD707" s="1482"/>
      <c r="AE707" s="1482"/>
      <c r="AF707" s="1482"/>
      <c r="AG707" s="1482"/>
      <c r="AH707" s="1482"/>
      <c r="AI707" s="1482"/>
      <c r="AJ707" s="1482"/>
      <c r="AK707" s="148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83" t="s">
        <v>388</v>
      </c>
      <c r="C714" s="1484"/>
      <c r="D714" s="1484"/>
      <c r="E714" s="1484"/>
      <c r="F714" s="1485"/>
      <c r="G714" s="1483" t="s">
        <v>284</v>
      </c>
      <c r="H714" s="1484"/>
      <c r="I714" s="1484"/>
      <c r="J714" s="1485"/>
      <c r="K714" s="1493" t="s">
        <v>1679</v>
      </c>
      <c r="L714" s="1494"/>
      <c r="M714" s="1494"/>
      <c r="N714" s="1495"/>
      <c r="O714" s="1483" t="s">
        <v>447</v>
      </c>
      <c r="P714" s="1484"/>
      <c r="Q714" s="1484"/>
      <c r="R714" s="1484"/>
      <c r="S714" s="1485"/>
      <c r="T714" s="1672" t="s">
        <v>1949</v>
      </c>
      <c r="U714" s="1484"/>
      <c r="V714" s="1484"/>
      <c r="W714" s="1485"/>
      <c r="X714" s="1672" t="s">
        <v>1951</v>
      </c>
      <c r="Y714" s="1484"/>
      <c r="Z714" s="1484"/>
      <c r="AA714" s="1484"/>
      <c r="AB714" s="1485"/>
      <c r="AC714" s="1672" t="s">
        <v>1950</v>
      </c>
      <c r="AD714" s="1484"/>
      <c r="AE714" s="1484"/>
      <c r="AF714" s="1484"/>
      <c r="AG714" s="1485"/>
      <c r="AH714" s="1672" t="s">
        <v>1952</v>
      </c>
      <c r="AI714" s="1484"/>
      <c r="AJ714" s="1485"/>
      <c r="AK714" s="1672" t="s">
        <v>1979</v>
      </c>
      <c r="AL714" s="1484"/>
      <c r="AM714" s="1484"/>
      <c r="AN714" s="1484"/>
      <c r="AO714" s="14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86"/>
      <c r="C715" s="1487"/>
      <c r="D715" s="1487"/>
      <c r="E715" s="1487"/>
      <c r="F715" s="1488"/>
      <c r="G715" s="1486"/>
      <c r="H715" s="1487"/>
      <c r="I715" s="1487"/>
      <c r="J715" s="1488"/>
      <c r="K715" s="1496"/>
      <c r="L715" s="1497"/>
      <c r="M715" s="1497"/>
      <c r="N715" s="1498"/>
      <c r="O715" s="1486"/>
      <c r="P715" s="1487"/>
      <c r="Q715" s="1487"/>
      <c r="R715" s="1487"/>
      <c r="S715" s="1488"/>
      <c r="T715" s="1486"/>
      <c r="U715" s="1487"/>
      <c r="V715" s="1487"/>
      <c r="W715" s="1488"/>
      <c r="X715" s="1486"/>
      <c r="Y715" s="1487"/>
      <c r="Z715" s="1487"/>
      <c r="AA715" s="1487"/>
      <c r="AB715" s="1488"/>
      <c r="AC715" s="1486"/>
      <c r="AD715" s="1487"/>
      <c r="AE715" s="1487"/>
      <c r="AF715" s="1487"/>
      <c r="AG715" s="1488"/>
      <c r="AH715" s="1486"/>
      <c r="AI715" s="1487"/>
      <c r="AJ715" s="1488"/>
      <c r="AK715" s="1486"/>
      <c r="AL715" s="1487"/>
      <c r="AM715" s="1487"/>
      <c r="AN715" s="1487"/>
      <c r="AO715" s="14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86"/>
      <c r="C716" s="1487"/>
      <c r="D716" s="1487"/>
      <c r="E716" s="1487"/>
      <c r="F716" s="1488"/>
      <c r="G716" s="1486"/>
      <c r="H716" s="1487"/>
      <c r="I716" s="1487"/>
      <c r="J716" s="1488"/>
      <c r="K716" s="1496"/>
      <c r="L716" s="1497"/>
      <c r="M716" s="1497"/>
      <c r="N716" s="1498"/>
      <c r="O716" s="1486"/>
      <c r="P716" s="1487"/>
      <c r="Q716" s="1487"/>
      <c r="R716" s="1487"/>
      <c r="S716" s="1488"/>
      <c r="T716" s="1486"/>
      <c r="U716" s="1487"/>
      <c r="V716" s="1487"/>
      <c r="W716" s="1488"/>
      <c r="X716" s="1486"/>
      <c r="Y716" s="1487"/>
      <c r="Z716" s="1487"/>
      <c r="AA716" s="1487"/>
      <c r="AB716" s="1488"/>
      <c r="AC716" s="1486"/>
      <c r="AD716" s="1487"/>
      <c r="AE716" s="1487"/>
      <c r="AF716" s="1487"/>
      <c r="AG716" s="1488"/>
      <c r="AH716" s="1486"/>
      <c r="AI716" s="1487"/>
      <c r="AJ716" s="1488"/>
      <c r="AK716" s="1486"/>
      <c r="AL716" s="1487"/>
      <c r="AM716" s="1487"/>
      <c r="AN716" s="1487"/>
      <c r="AO716" s="148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89"/>
      <c r="C717" s="1490"/>
      <c r="D717" s="1490"/>
      <c r="E717" s="1490"/>
      <c r="F717" s="1491"/>
      <c r="G717" s="1489"/>
      <c r="H717" s="1490"/>
      <c r="I717" s="1490"/>
      <c r="J717" s="1491"/>
      <c r="K717" s="1496"/>
      <c r="L717" s="1497"/>
      <c r="M717" s="1497"/>
      <c r="N717" s="1498"/>
      <c r="O717" s="1489"/>
      <c r="P717" s="1490"/>
      <c r="Q717" s="1490"/>
      <c r="R717" s="1490"/>
      <c r="S717" s="1491"/>
      <c r="T717" s="1489"/>
      <c r="U717" s="1490"/>
      <c r="V717" s="1490"/>
      <c r="W717" s="1491"/>
      <c r="X717" s="1489"/>
      <c r="Y717" s="1490"/>
      <c r="Z717" s="1490"/>
      <c r="AA717" s="1490"/>
      <c r="AB717" s="1491"/>
      <c r="AC717" s="1489"/>
      <c r="AD717" s="1490"/>
      <c r="AE717" s="1490"/>
      <c r="AF717" s="1490"/>
      <c r="AG717" s="1491"/>
      <c r="AH717" s="1489"/>
      <c r="AI717" s="1490"/>
      <c r="AJ717" s="1491"/>
      <c r="AK717" s="1489"/>
      <c r="AL717" s="1490"/>
      <c r="AM717" s="1490"/>
      <c r="AN717" s="1490"/>
      <c r="AO717" s="149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8" t="s">
        <v>633</v>
      </c>
      <c r="CQ717" s="1799"/>
      <c r="CR717" s="1799"/>
      <c r="CS717" s="1799"/>
      <c r="CT717" s="1800"/>
      <c r="CU717" s="1501" t="s">
        <v>324</v>
      </c>
      <c r="CV717" s="1501"/>
      <c r="CW717" s="1501"/>
      <c r="CX717" s="1501"/>
      <c r="CY717" s="1501"/>
      <c r="CZ717" s="1501" t="s">
        <v>163</v>
      </c>
      <c r="DA717" s="1501"/>
      <c r="DB717" s="1501"/>
      <c r="DC717" s="1501"/>
      <c r="DD717" s="1501"/>
      <c r="DE717" s="1501" t="s">
        <v>164</v>
      </c>
      <c r="DF717" s="1501"/>
      <c r="DG717" s="1501"/>
      <c r="DH717" s="1501"/>
      <c r="DI717" s="1501"/>
      <c r="DJ717" s="1501" t="s">
        <v>460</v>
      </c>
      <c r="DK717" s="1501"/>
      <c r="DL717" s="1501"/>
      <c r="DM717" s="1501"/>
      <c r="DN717" s="1501"/>
      <c r="DO717" s="1501" t="s">
        <v>30</v>
      </c>
      <c r="DP717" s="1501"/>
      <c r="DQ717" s="1501"/>
      <c r="DR717" s="1501"/>
      <c r="DS717" s="1501"/>
      <c r="DT717" s="89"/>
      <c r="DU717" s="1501" t="s">
        <v>633</v>
      </c>
      <c r="DV717" s="1501"/>
      <c r="DW717" s="1501"/>
      <c r="DX717" s="1501"/>
      <c r="DY717" s="1501"/>
      <c r="DZ717" s="1501" t="s">
        <v>324</v>
      </c>
      <c r="EA717" s="1501"/>
      <c r="EB717" s="1501"/>
      <c r="EC717" s="1501"/>
      <c r="ED717" s="1501"/>
      <c r="EE717" s="1501" t="s">
        <v>163</v>
      </c>
      <c r="EF717" s="1501"/>
      <c r="EG717" s="1501"/>
      <c r="EH717" s="1501"/>
      <c r="EI717" s="1501"/>
      <c r="EJ717" s="1501" t="s">
        <v>164</v>
      </c>
      <c r="EK717" s="1501"/>
      <c r="EL717" s="1501"/>
      <c r="EM717" s="1501"/>
      <c r="EN717" s="1501"/>
      <c r="EO717" s="1501" t="s">
        <v>460</v>
      </c>
      <c r="EP717" s="1501"/>
      <c r="EQ717" s="1501"/>
      <c r="ER717" s="1501"/>
      <c r="ES717" s="1501"/>
      <c r="ET717" s="1501" t="s">
        <v>30</v>
      </c>
      <c r="EU717" s="1501"/>
      <c r="EV717" s="1501"/>
      <c r="EW717" s="1501"/>
      <c r="EX717" s="1501"/>
      <c r="EY717" s="4"/>
      <c r="EZ717" s="1501" t="s">
        <v>633</v>
      </c>
      <c r="FA717" s="1501"/>
      <c r="FB717" s="1501"/>
      <c r="FC717" s="1501"/>
      <c r="FD717" s="1501"/>
      <c r="FE717" s="1501" t="s">
        <v>324</v>
      </c>
      <c r="FF717" s="1501"/>
      <c r="FG717" s="1501"/>
      <c r="FH717" s="1501"/>
      <c r="FI717" s="1501"/>
      <c r="FJ717" s="1501" t="s">
        <v>163</v>
      </c>
      <c r="FK717" s="1501"/>
      <c r="FL717" s="1501"/>
      <c r="FM717" s="1501"/>
      <c r="FN717" s="1501"/>
      <c r="FO717" s="1501" t="s">
        <v>164</v>
      </c>
      <c r="FP717" s="1501"/>
      <c r="FQ717" s="1501"/>
      <c r="FR717" s="1501"/>
      <c r="FS717" s="1501"/>
      <c r="FT717" s="1501" t="s">
        <v>460</v>
      </c>
      <c r="FU717" s="1501"/>
      <c r="FV717" s="1501"/>
      <c r="FW717" s="1501"/>
      <c r="FX717" s="1501"/>
      <c r="FY717" s="1501" t="s">
        <v>30</v>
      </c>
      <c r="FZ717" s="1501"/>
      <c r="GA717" s="1501"/>
      <c r="GB717" s="1501"/>
      <c r="GC717" s="1501"/>
    </row>
    <row r="718" spans="1:185" ht="12.95" customHeight="1">
      <c r="A718" s="4"/>
      <c r="B718" s="1355" t="s">
        <v>324</v>
      </c>
      <c r="C718" s="1356"/>
      <c r="D718" s="1356"/>
      <c r="E718" s="1356"/>
      <c r="F718" s="1357"/>
      <c r="G718" s="1364">
        <v>40</v>
      </c>
      <c r="H718" s="1365"/>
      <c r="I718" s="1365"/>
      <c r="J718" s="1366"/>
      <c r="K718" s="1607">
        <v>497</v>
      </c>
      <c r="L718" s="1608"/>
      <c r="M718" s="1608"/>
      <c r="N718" s="1609"/>
      <c r="O718" s="1453">
        <v>822</v>
      </c>
      <c r="P718" s="1454"/>
      <c r="Q718" s="1454"/>
      <c r="R718" s="1454"/>
      <c r="S718" s="1455"/>
      <c r="T718" s="1453">
        <v>30</v>
      </c>
      <c r="U718" s="1454"/>
      <c r="V718" s="1454"/>
      <c r="W718" s="1455"/>
      <c r="X718" s="1358">
        <f t="shared" ref="X718:X741" si="8">O718+T718</f>
        <v>852</v>
      </c>
      <c r="Y718" s="1359"/>
      <c r="Z718" s="1359"/>
      <c r="AA718" s="1359"/>
      <c r="AB718" s="1360"/>
      <c r="AC718" s="1616">
        <v>0.3</v>
      </c>
      <c r="AD718" s="1617"/>
      <c r="AE718" s="1617"/>
      <c r="AF718" s="1617"/>
      <c r="AG718" s="1618"/>
      <c r="AH718" s="1361">
        <f>IF($AC718&gt;0,($X718/$AZ718), "")</f>
        <v>0.3</v>
      </c>
      <c r="AI718" s="1362"/>
      <c r="AJ718" s="1363"/>
      <c r="AK718" s="1355" t="s">
        <v>591</v>
      </c>
      <c r="AL718" s="1356"/>
      <c r="AM718" s="1356"/>
      <c r="AN718" s="1356"/>
      <c r="AO718" s="1357"/>
      <c r="AP718" s="3"/>
      <c r="AQ718" s="3"/>
      <c r="AR718" s="3"/>
      <c r="AS718" s="3"/>
      <c r="AZ718" s="118">
        <f t="shared" ref="AZ718:AZ752" si="9">IF($G718=0,"N/A",VLOOKUP($T$189,TC_Rent,(MATCH($B718,bedrooms,FALSE)),FALSE))</f>
        <v>2840</v>
      </c>
      <c r="BA718" s="3"/>
      <c r="BB718" s="3"/>
      <c r="BC718" s="3"/>
      <c r="BD718" s="3"/>
      <c r="BE718" s="204"/>
      <c r="BF718" s="293">
        <f t="shared" ref="BF718:BF752" si="10">G718</f>
        <v>40</v>
      </c>
      <c r="BG718" s="297">
        <f t="shared" ref="BG718:BG752" si="11">IF($BF$753=0,0,BF718/$BF$753)</f>
        <v>0.12738853503184713</v>
      </c>
      <c r="BH718" s="298">
        <f t="shared" ref="BH718:BH752" si="12">IF(BG718=0,"",BG718*AC718)</f>
        <v>3.8216560509554139E-2</v>
      </c>
      <c r="BI718" s="3"/>
      <c r="BJ718" s="3"/>
      <c r="BK718" s="3"/>
      <c r="BL718" s="3"/>
      <c r="BM718" s="3"/>
      <c r="BN718" s="3"/>
      <c r="BS718" s="293">
        <f t="shared" ref="BS718:BS752" si="13">G718</f>
        <v>40</v>
      </c>
      <c r="BT718" s="297">
        <f t="shared" ref="BT718:BT752" si="14">IF($BS$753=0,0,BS718/$BS$753)</f>
        <v>0.12738853503184713</v>
      </c>
      <c r="BU718" s="298">
        <f t="shared" ref="BU718:BU752" si="15">IF(BT718=0,"",BT718*AH718)</f>
        <v>3.8216560509554139E-2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40</v>
      </c>
      <c r="CN718" s="1337"/>
      <c r="CO718" s="3"/>
      <c r="CP718" s="1332">
        <f t="shared" ref="CP718:CP752" si="18">IF(B718="SRO/Studio",G718,0)</f>
        <v>0</v>
      </c>
      <c r="CQ718" s="1333"/>
      <c r="CR718" s="1333"/>
      <c r="CS718" s="1333"/>
      <c r="CT718" s="1334"/>
      <c r="CU718" s="1354">
        <f t="shared" ref="CU718:CU752" si="19">IF(B718="1 Bedroom",G718,0)</f>
        <v>40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40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822</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82</v>
      </c>
      <c r="H719" s="1365"/>
      <c r="I719" s="1365"/>
      <c r="J719" s="1366"/>
      <c r="K719" s="1607">
        <v>497</v>
      </c>
      <c r="L719" s="1608"/>
      <c r="M719" s="1608"/>
      <c r="N719" s="1609"/>
      <c r="O719" s="1453">
        <v>1674</v>
      </c>
      <c r="P719" s="1454"/>
      <c r="Q719" s="1454"/>
      <c r="R719" s="1454"/>
      <c r="S719" s="1455"/>
      <c r="T719" s="1453">
        <v>30</v>
      </c>
      <c r="U719" s="1454"/>
      <c r="V719" s="1454"/>
      <c r="W719" s="1455"/>
      <c r="X719" s="1358">
        <f t="shared" si="8"/>
        <v>1704</v>
      </c>
      <c r="Y719" s="1359"/>
      <c r="Z719" s="1359"/>
      <c r="AA719" s="1359"/>
      <c r="AB719" s="1360"/>
      <c r="AC719" s="1616">
        <v>0.6</v>
      </c>
      <c r="AD719" s="1617"/>
      <c r="AE719" s="1617"/>
      <c r="AF719" s="1617"/>
      <c r="AG719" s="1618"/>
      <c r="AH719" s="1361">
        <f t="shared" ref="AH719:AH752" si="36">IF($AC719&gt;0,($X719/$AZ719), "")</f>
        <v>0.6</v>
      </c>
      <c r="AI719" s="1362"/>
      <c r="AJ719" s="1363"/>
      <c r="AK719" s="1355" t="s">
        <v>591</v>
      </c>
      <c r="AL719" s="1356"/>
      <c r="AM719" s="1356"/>
      <c r="AN719" s="1356"/>
      <c r="AO719" s="1357"/>
      <c r="AP719" s="3"/>
      <c r="AQ719" s="3"/>
      <c r="AR719" s="3"/>
      <c r="AS719" s="3"/>
      <c r="AZ719" s="118">
        <f t="shared" si="9"/>
        <v>2840</v>
      </c>
      <c r="BA719" s="3"/>
      <c r="BB719" s="3"/>
      <c r="BC719" s="3"/>
      <c r="BD719" s="3"/>
      <c r="BE719" s="204"/>
      <c r="BF719" s="294">
        <f t="shared" si="10"/>
        <v>82</v>
      </c>
      <c r="BG719" s="297">
        <f t="shared" si="11"/>
        <v>0.26114649681528662</v>
      </c>
      <c r="BH719" s="298">
        <f t="shared" si="12"/>
        <v>0.15668789808917197</v>
      </c>
      <c r="BI719" s="3"/>
      <c r="BJ719" s="3"/>
      <c r="BK719" s="3"/>
      <c r="BL719" s="3"/>
      <c r="BM719" s="3"/>
      <c r="BN719" s="3"/>
      <c r="BS719" s="294">
        <f t="shared" si="13"/>
        <v>82</v>
      </c>
      <c r="BT719" s="297">
        <f t="shared" si="14"/>
        <v>0.26114649681528662</v>
      </c>
      <c r="BU719" s="298">
        <f t="shared" si="15"/>
        <v>0.15668789808917197</v>
      </c>
      <c r="CC719" s="3"/>
      <c r="CD719" s="3"/>
      <c r="CE719" s="3"/>
      <c r="CF719" s="3"/>
      <c r="CG719" s="1351">
        <f t="shared" ref="CG719:CG752" si="37">IF(AND(AC719&lt;=0.5,AC719&gt;=0.36),1,0)</f>
        <v>0</v>
      </c>
      <c r="CH719" s="1353"/>
      <c r="CI719" s="1335">
        <f t="shared" ref="CI719:CI752" si="38">IF(CG719=1,G719,0)</f>
        <v>0</v>
      </c>
      <c r="CJ719" s="1337"/>
      <c r="CK719" s="1351">
        <f t="shared" si="16"/>
        <v>0</v>
      </c>
      <c r="CL719" s="1353"/>
      <c r="CM719" s="1335">
        <f t="shared" si="17"/>
        <v>0</v>
      </c>
      <c r="CN719" s="1337"/>
      <c r="CO719" s="3"/>
      <c r="CP719" s="1332">
        <f t="shared" si="18"/>
        <v>0</v>
      </c>
      <c r="CQ719" s="1333"/>
      <c r="CR719" s="1333"/>
      <c r="CS719" s="1333"/>
      <c r="CT719" s="1334"/>
      <c r="CU719" s="1354">
        <f t="shared" si="19"/>
        <v>82</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1674</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20</v>
      </c>
      <c r="H720" s="1365"/>
      <c r="I720" s="1365"/>
      <c r="J720" s="1366"/>
      <c r="K720" s="1607">
        <v>497</v>
      </c>
      <c r="L720" s="1608"/>
      <c r="M720" s="1608"/>
      <c r="N720" s="1609"/>
      <c r="O720" s="1453">
        <v>1957</v>
      </c>
      <c r="P720" s="1454"/>
      <c r="Q720" s="1454"/>
      <c r="R720" s="1454"/>
      <c r="S720" s="1455"/>
      <c r="T720" s="1453">
        <v>30</v>
      </c>
      <c r="U720" s="1454"/>
      <c r="V720" s="1454"/>
      <c r="W720" s="1455"/>
      <c r="X720" s="1358">
        <f t="shared" si="8"/>
        <v>1987</v>
      </c>
      <c r="Y720" s="1359"/>
      <c r="Z720" s="1359"/>
      <c r="AA720" s="1359"/>
      <c r="AB720" s="1360"/>
      <c r="AC720" s="1616">
        <v>0.7</v>
      </c>
      <c r="AD720" s="1617"/>
      <c r="AE720" s="1617"/>
      <c r="AF720" s="1617"/>
      <c r="AG720" s="1618"/>
      <c r="AH720" s="1361">
        <f t="shared" si="36"/>
        <v>0.69964788732394367</v>
      </c>
      <c r="AI720" s="1362"/>
      <c r="AJ720" s="1363"/>
      <c r="AK720" s="1355" t="s">
        <v>591</v>
      </c>
      <c r="AL720" s="1356"/>
      <c r="AM720" s="1356"/>
      <c r="AN720" s="1356"/>
      <c r="AO720" s="1357"/>
      <c r="AP720" s="3"/>
      <c r="AQ720" s="3"/>
      <c r="AR720" s="3"/>
      <c r="AS720" s="3"/>
      <c r="AZ720" s="118">
        <f t="shared" si="9"/>
        <v>2840</v>
      </c>
      <c r="BA720" s="3"/>
      <c r="BB720" s="3"/>
      <c r="BC720" s="3"/>
      <c r="BD720" s="3"/>
      <c r="BE720" s="204"/>
      <c r="BF720" s="294">
        <f t="shared" si="10"/>
        <v>20</v>
      </c>
      <c r="BG720" s="297">
        <f t="shared" si="11"/>
        <v>6.3694267515923567E-2</v>
      </c>
      <c r="BH720" s="298">
        <f t="shared" si="12"/>
        <v>4.4585987261146494E-2</v>
      </c>
      <c r="BI720" s="3"/>
      <c r="BJ720" s="3"/>
      <c r="BK720" s="3"/>
      <c r="BL720" s="3"/>
      <c r="BM720" s="3"/>
      <c r="BN720" s="3"/>
      <c r="BS720" s="294">
        <f t="shared" si="13"/>
        <v>20</v>
      </c>
      <c r="BT720" s="297">
        <f t="shared" si="14"/>
        <v>6.3694267515923567E-2</v>
      </c>
      <c r="BU720" s="298">
        <f t="shared" si="15"/>
        <v>4.4563559702162019E-2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20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1957</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163</v>
      </c>
      <c r="C721" s="1356"/>
      <c r="D721" s="1356"/>
      <c r="E721" s="1356"/>
      <c r="F721" s="1357"/>
      <c r="G721" s="1364">
        <v>4</v>
      </c>
      <c r="H721" s="1365"/>
      <c r="I721" s="1365"/>
      <c r="J721" s="1366"/>
      <c r="K721" s="1607">
        <v>755</v>
      </c>
      <c r="L721" s="1608"/>
      <c r="M721" s="1608"/>
      <c r="N721" s="1609"/>
      <c r="O721" s="1453">
        <v>983</v>
      </c>
      <c r="P721" s="1454"/>
      <c r="Q721" s="1454"/>
      <c r="R721" s="1454"/>
      <c r="S721" s="1455"/>
      <c r="T721" s="1453">
        <v>39</v>
      </c>
      <c r="U721" s="1454"/>
      <c r="V721" s="1454"/>
      <c r="W721" s="1455"/>
      <c r="X721" s="1358">
        <f t="shared" si="8"/>
        <v>1022</v>
      </c>
      <c r="Y721" s="1359"/>
      <c r="Z721" s="1359"/>
      <c r="AA721" s="1359"/>
      <c r="AB721" s="1360"/>
      <c r="AC721" s="1616">
        <v>0.3</v>
      </c>
      <c r="AD721" s="1617"/>
      <c r="AE721" s="1617"/>
      <c r="AF721" s="1617"/>
      <c r="AG721" s="1618"/>
      <c r="AH721" s="1361">
        <f t="shared" si="36"/>
        <v>0.30005871990604815</v>
      </c>
      <c r="AI721" s="1362"/>
      <c r="AJ721" s="1363"/>
      <c r="AK721" s="1355" t="s">
        <v>591</v>
      </c>
      <c r="AL721" s="1356"/>
      <c r="AM721" s="1356"/>
      <c r="AN721" s="1356"/>
      <c r="AO721" s="1357"/>
      <c r="AP721" s="3"/>
      <c r="AQ721" s="3"/>
      <c r="AR721" s="3"/>
      <c r="AS721" s="3"/>
      <c r="AY721" s="116"/>
      <c r="AZ721" s="118">
        <f t="shared" si="9"/>
        <v>3406</v>
      </c>
      <c r="BA721" s="3"/>
      <c r="BB721" s="3"/>
      <c r="BC721" s="3"/>
      <c r="BD721" s="3"/>
      <c r="BE721" s="204"/>
      <c r="BF721" s="294">
        <f t="shared" si="10"/>
        <v>4</v>
      </c>
      <c r="BG721" s="297">
        <f t="shared" si="11"/>
        <v>1.2738853503184714E-2</v>
      </c>
      <c r="BH721" s="298">
        <f t="shared" si="12"/>
        <v>3.821656050955414E-3</v>
      </c>
      <c r="BI721" s="3"/>
      <c r="BJ721" s="3"/>
      <c r="BK721" s="3"/>
      <c r="BL721" s="3"/>
      <c r="BM721" s="3"/>
      <c r="BN721" s="3"/>
      <c r="BS721" s="294">
        <f t="shared" si="13"/>
        <v>4</v>
      </c>
      <c r="BT721" s="297">
        <f t="shared" si="14"/>
        <v>1.2738853503184714E-2</v>
      </c>
      <c r="BU721" s="298">
        <f t="shared" si="15"/>
        <v>3.8224040752362822E-3</v>
      </c>
      <c r="CC721" s="3"/>
      <c r="CD721" s="3"/>
      <c r="CE721" s="3"/>
      <c r="CF721" s="3"/>
      <c r="CG721" s="1351">
        <f t="shared" si="37"/>
        <v>0</v>
      </c>
      <c r="CH721" s="1353"/>
      <c r="CI721" s="1335">
        <f t="shared" si="38"/>
        <v>0</v>
      </c>
      <c r="CJ721" s="1337"/>
      <c r="CK721" s="1351">
        <f t="shared" si="16"/>
        <v>1</v>
      </c>
      <c r="CL721" s="1353"/>
      <c r="CM721" s="1335">
        <f t="shared" si="17"/>
        <v>4</v>
      </c>
      <c r="CN721" s="1337"/>
      <c r="CO721" s="3"/>
      <c r="CP721" s="1332">
        <f t="shared" si="18"/>
        <v>0</v>
      </c>
      <c r="CQ721" s="1333"/>
      <c r="CR721" s="1333"/>
      <c r="CS721" s="1333"/>
      <c r="CT721" s="1334"/>
      <c r="CU721" s="1354">
        <f t="shared" si="19"/>
        <v>0</v>
      </c>
      <c r="CV721" s="1354"/>
      <c r="CW721" s="1354"/>
      <c r="CX721" s="1354"/>
      <c r="CY721" s="1354"/>
      <c r="CZ721" s="1354">
        <f t="shared" si="20"/>
        <v>4</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4</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f t="shared" si="32"/>
        <v>983</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4</v>
      </c>
      <c r="H722" s="1365"/>
      <c r="I722" s="1365"/>
      <c r="J722" s="1366"/>
      <c r="K722" s="1607">
        <v>755</v>
      </c>
      <c r="L722" s="1608"/>
      <c r="M722" s="1608"/>
      <c r="N722" s="1609"/>
      <c r="O722" s="1453">
        <v>1665</v>
      </c>
      <c r="P722" s="1454"/>
      <c r="Q722" s="1454"/>
      <c r="R722" s="1454"/>
      <c r="S722" s="1455"/>
      <c r="T722" s="1453">
        <v>39</v>
      </c>
      <c r="U722" s="1454"/>
      <c r="V722" s="1454"/>
      <c r="W722" s="1455"/>
      <c r="X722" s="1358">
        <f t="shared" si="8"/>
        <v>1704</v>
      </c>
      <c r="Y722" s="1359"/>
      <c r="Z722" s="1359"/>
      <c r="AA722" s="1359"/>
      <c r="AB722" s="1360"/>
      <c r="AC722" s="1616">
        <v>0.5</v>
      </c>
      <c r="AD722" s="1617"/>
      <c r="AE722" s="1617"/>
      <c r="AF722" s="1617"/>
      <c r="AG722" s="1618"/>
      <c r="AH722" s="1361">
        <f t="shared" si="36"/>
        <v>0.50029359953024077</v>
      </c>
      <c r="AI722" s="1362"/>
      <c r="AJ722" s="1363"/>
      <c r="AK722" s="1355" t="s">
        <v>591</v>
      </c>
      <c r="AL722" s="1356"/>
      <c r="AM722" s="1356"/>
      <c r="AN722" s="1356"/>
      <c r="AO722" s="1357"/>
      <c r="AP722" s="3"/>
      <c r="AQ722" s="3"/>
      <c r="AR722" s="3"/>
      <c r="AS722" s="3"/>
      <c r="AY722" s="116"/>
      <c r="AZ722" s="118">
        <f t="shared" si="9"/>
        <v>3406</v>
      </c>
      <c r="BA722" s="3"/>
      <c r="BB722" s="3"/>
      <c r="BC722" s="3"/>
      <c r="BD722" s="3"/>
      <c r="BE722" s="204"/>
      <c r="BF722" s="294">
        <f t="shared" si="10"/>
        <v>4</v>
      </c>
      <c r="BG722" s="297">
        <f t="shared" si="11"/>
        <v>1.2738853503184714E-2</v>
      </c>
      <c r="BH722" s="298">
        <f t="shared" si="12"/>
        <v>6.369426751592357E-3</v>
      </c>
      <c r="BI722" s="3"/>
      <c r="BJ722" s="3"/>
      <c r="BK722" s="3"/>
      <c r="BL722" s="3"/>
      <c r="BM722" s="3"/>
      <c r="BN722" s="3"/>
      <c r="BS722" s="294">
        <f t="shared" si="13"/>
        <v>4</v>
      </c>
      <c r="BT722" s="297">
        <f t="shared" si="14"/>
        <v>1.2738853503184714E-2</v>
      </c>
      <c r="BU722" s="298">
        <f t="shared" si="15"/>
        <v>6.3731668729966979E-3</v>
      </c>
      <c r="CC722" s="3"/>
      <c r="CD722" s="3"/>
      <c r="CE722" s="3"/>
      <c r="CF722" s="3"/>
      <c r="CG722" s="1351">
        <f t="shared" si="37"/>
        <v>1</v>
      </c>
      <c r="CH722" s="1353"/>
      <c r="CI722" s="1335">
        <f t="shared" si="38"/>
        <v>4</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4</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1665</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74</v>
      </c>
      <c r="H723" s="1365"/>
      <c r="I723" s="1365"/>
      <c r="J723" s="1366"/>
      <c r="K723" s="1607">
        <v>755</v>
      </c>
      <c r="L723" s="1608"/>
      <c r="M723" s="1608"/>
      <c r="N723" s="1609"/>
      <c r="O723" s="1453">
        <v>2005</v>
      </c>
      <c r="P723" s="1454"/>
      <c r="Q723" s="1454"/>
      <c r="R723" s="1454"/>
      <c r="S723" s="1455"/>
      <c r="T723" s="1453">
        <v>39</v>
      </c>
      <c r="U723" s="1454"/>
      <c r="V723" s="1454"/>
      <c r="W723" s="1455"/>
      <c r="X723" s="1358">
        <f t="shared" si="8"/>
        <v>2044</v>
      </c>
      <c r="Y723" s="1359"/>
      <c r="Z723" s="1359"/>
      <c r="AA723" s="1359"/>
      <c r="AB723" s="1360"/>
      <c r="AC723" s="1616">
        <v>0.6</v>
      </c>
      <c r="AD723" s="1617"/>
      <c r="AE723" s="1617"/>
      <c r="AF723" s="1617"/>
      <c r="AG723" s="1618"/>
      <c r="AH723" s="1361">
        <f t="shared" si="36"/>
        <v>0.60011743981209631</v>
      </c>
      <c r="AI723" s="1362"/>
      <c r="AJ723" s="1363"/>
      <c r="AK723" s="1355" t="s">
        <v>591</v>
      </c>
      <c r="AL723" s="1356"/>
      <c r="AM723" s="1356"/>
      <c r="AN723" s="1356"/>
      <c r="AO723" s="1357"/>
      <c r="AP723" s="3"/>
      <c r="AQ723" s="3"/>
      <c r="AR723" s="3"/>
      <c r="AS723" s="3"/>
      <c r="AY723" s="116"/>
      <c r="AZ723" s="118">
        <f t="shared" si="9"/>
        <v>3406</v>
      </c>
      <c r="BA723" s="3"/>
      <c r="BB723" s="3"/>
      <c r="BC723" s="3"/>
      <c r="BD723" s="3"/>
      <c r="BE723" s="204"/>
      <c r="BF723" s="294">
        <f t="shared" si="10"/>
        <v>74</v>
      </c>
      <c r="BG723" s="297">
        <f t="shared" si="11"/>
        <v>0.2356687898089172</v>
      </c>
      <c r="BH723" s="298">
        <f t="shared" si="12"/>
        <v>0.14140127388535031</v>
      </c>
      <c r="BI723" s="3"/>
      <c r="BJ723" s="3"/>
      <c r="BK723" s="3"/>
      <c r="BL723" s="3"/>
      <c r="BM723" s="3"/>
      <c r="BN723" s="3"/>
      <c r="BS723" s="294">
        <f t="shared" si="13"/>
        <v>74</v>
      </c>
      <c r="BT723" s="297">
        <f t="shared" si="14"/>
        <v>0.2356687898089172</v>
      </c>
      <c r="BU723" s="298">
        <f t="shared" si="15"/>
        <v>0.14142895078374246</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74</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2005</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164</v>
      </c>
      <c r="C724" s="1356"/>
      <c r="D724" s="1356"/>
      <c r="E724" s="1356"/>
      <c r="F724" s="1357"/>
      <c r="G724" s="1364">
        <v>8</v>
      </c>
      <c r="H724" s="1365"/>
      <c r="I724" s="1365"/>
      <c r="J724" s="1366"/>
      <c r="K724" s="1607">
        <v>1022</v>
      </c>
      <c r="L724" s="1608"/>
      <c r="M724" s="1608"/>
      <c r="N724" s="1609"/>
      <c r="O724" s="1453">
        <v>1132</v>
      </c>
      <c r="P724" s="1454"/>
      <c r="Q724" s="1454"/>
      <c r="R724" s="1454"/>
      <c r="S724" s="1455"/>
      <c r="T724" s="1453">
        <v>48</v>
      </c>
      <c r="U724" s="1454"/>
      <c r="V724" s="1454"/>
      <c r="W724" s="1455"/>
      <c r="X724" s="1358">
        <f t="shared" si="8"/>
        <v>1180</v>
      </c>
      <c r="Y724" s="1359"/>
      <c r="Z724" s="1359"/>
      <c r="AA724" s="1359"/>
      <c r="AB724" s="1360"/>
      <c r="AC724" s="1616">
        <v>0.3</v>
      </c>
      <c r="AD724" s="1617"/>
      <c r="AE724" s="1617"/>
      <c r="AF724" s="1617"/>
      <c r="AG724" s="1618"/>
      <c r="AH724" s="1361">
        <f t="shared" si="36"/>
        <v>0.29964448958862366</v>
      </c>
      <c r="AI724" s="1362"/>
      <c r="AJ724" s="1363"/>
      <c r="AK724" s="1355" t="s">
        <v>591</v>
      </c>
      <c r="AL724" s="1356"/>
      <c r="AM724" s="1356"/>
      <c r="AN724" s="1356"/>
      <c r="AO724" s="1357"/>
      <c r="AP724" s="3"/>
      <c r="AQ724" s="3"/>
      <c r="AR724" s="3"/>
      <c r="AS724" s="3"/>
      <c r="AY724" s="116"/>
      <c r="AZ724" s="118">
        <f t="shared" si="9"/>
        <v>3938</v>
      </c>
      <c r="BA724" s="3"/>
      <c r="BB724" s="3"/>
      <c r="BC724" s="3"/>
      <c r="BD724" s="3"/>
      <c r="BE724" s="204"/>
      <c r="BF724" s="294">
        <f t="shared" si="10"/>
        <v>8</v>
      </c>
      <c r="BG724" s="297">
        <f t="shared" si="11"/>
        <v>2.5477707006369428E-2</v>
      </c>
      <c r="BH724" s="298">
        <f t="shared" si="12"/>
        <v>7.6433121019108281E-3</v>
      </c>
      <c r="BI724" s="3"/>
      <c r="BJ724" s="3"/>
      <c r="BK724" s="3"/>
      <c r="BL724" s="3"/>
      <c r="BM724" s="3"/>
      <c r="BN724" s="3"/>
      <c r="BS724" s="294">
        <f t="shared" si="13"/>
        <v>8</v>
      </c>
      <c r="BT724" s="297">
        <f t="shared" si="14"/>
        <v>2.5477707006369428E-2</v>
      </c>
      <c r="BU724" s="298">
        <f t="shared" si="15"/>
        <v>7.6342545118120685E-3</v>
      </c>
      <c r="CC724" s="3"/>
      <c r="CE724" s="3"/>
      <c r="CF724" s="3"/>
      <c r="CG724" s="1351">
        <f t="shared" si="37"/>
        <v>0</v>
      </c>
      <c r="CH724" s="1353"/>
      <c r="CI724" s="1335">
        <f t="shared" si="38"/>
        <v>0</v>
      </c>
      <c r="CJ724" s="1337"/>
      <c r="CK724" s="1351">
        <f t="shared" si="16"/>
        <v>1</v>
      </c>
      <c r="CL724" s="1353"/>
      <c r="CM724" s="1335">
        <f t="shared" si="17"/>
        <v>8</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8</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8</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1132</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164</v>
      </c>
      <c r="C725" s="1356"/>
      <c r="D725" s="1356"/>
      <c r="E725" s="1356"/>
      <c r="F725" s="1357"/>
      <c r="G725" s="1364">
        <v>8</v>
      </c>
      <c r="H725" s="1365"/>
      <c r="I725" s="1365"/>
      <c r="J725" s="1366"/>
      <c r="K725" s="1607">
        <v>1022</v>
      </c>
      <c r="L725" s="1608"/>
      <c r="M725" s="1608"/>
      <c r="N725" s="1609"/>
      <c r="O725" s="1453">
        <v>1921</v>
      </c>
      <c r="P725" s="1454"/>
      <c r="Q725" s="1454"/>
      <c r="R725" s="1454"/>
      <c r="S725" s="1455"/>
      <c r="T725" s="1453">
        <v>48</v>
      </c>
      <c r="U725" s="1454"/>
      <c r="V725" s="1454"/>
      <c r="W725" s="1455"/>
      <c r="X725" s="1358">
        <f t="shared" si="8"/>
        <v>1969</v>
      </c>
      <c r="Y725" s="1359"/>
      <c r="Z725" s="1359"/>
      <c r="AA725" s="1359"/>
      <c r="AB725" s="1360"/>
      <c r="AC725" s="1616">
        <v>0.5</v>
      </c>
      <c r="AD725" s="1617"/>
      <c r="AE725" s="1617"/>
      <c r="AF725" s="1617"/>
      <c r="AG725" s="1618"/>
      <c r="AH725" s="1361">
        <f t="shared" si="36"/>
        <v>0.5</v>
      </c>
      <c r="AI725" s="1362"/>
      <c r="AJ725" s="1363"/>
      <c r="AK725" s="1355" t="s">
        <v>591</v>
      </c>
      <c r="AL725" s="1356"/>
      <c r="AM725" s="1356"/>
      <c r="AN725" s="1356"/>
      <c r="AO725" s="1357"/>
      <c r="AP725" s="3"/>
      <c r="AQ725" s="3"/>
      <c r="AR725" s="3"/>
      <c r="AS725" s="3"/>
      <c r="AY725" s="1085"/>
      <c r="AZ725" s="118">
        <f t="shared" si="9"/>
        <v>3938</v>
      </c>
      <c r="BA725" s="3"/>
      <c r="BB725" s="3"/>
      <c r="BC725" s="3"/>
      <c r="BD725" s="3"/>
      <c r="BE725" s="204"/>
      <c r="BF725" s="294">
        <f t="shared" si="10"/>
        <v>8</v>
      </c>
      <c r="BG725" s="297">
        <f t="shared" si="11"/>
        <v>2.5477707006369428E-2</v>
      </c>
      <c r="BH725" s="298">
        <f t="shared" si="12"/>
        <v>1.2738853503184714E-2</v>
      </c>
      <c r="BI725" s="3"/>
      <c r="BJ725" s="3"/>
      <c r="BK725" s="3"/>
      <c r="BL725" s="3"/>
      <c r="BM725" s="3"/>
      <c r="BN725" s="3"/>
      <c r="BS725" s="294">
        <f t="shared" si="13"/>
        <v>8</v>
      </c>
      <c r="BT725" s="297">
        <f t="shared" si="14"/>
        <v>2.5477707006369428E-2</v>
      </c>
      <c r="BU725" s="298">
        <f t="shared" si="15"/>
        <v>1.2738853503184714E-2</v>
      </c>
      <c r="BV725" s="292"/>
      <c r="BW725" s="3"/>
      <c r="BX725" s="3"/>
      <c r="BY725" s="3"/>
      <c r="BZ725" s="3"/>
      <c r="CA725" s="3"/>
      <c r="CB725" s="3"/>
      <c r="CC725" s="3"/>
      <c r="CE725" s="3"/>
      <c r="CF725" s="3"/>
      <c r="CG725" s="1351">
        <f t="shared" si="37"/>
        <v>1</v>
      </c>
      <c r="CH725" s="1353"/>
      <c r="CI725" s="1335">
        <f t="shared" si="38"/>
        <v>8</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8</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1921</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164</v>
      </c>
      <c r="C726" s="1356"/>
      <c r="D726" s="1356"/>
      <c r="E726" s="1356"/>
      <c r="F726" s="1357"/>
      <c r="G726" s="1364">
        <v>74</v>
      </c>
      <c r="H726" s="1365"/>
      <c r="I726" s="1365"/>
      <c r="J726" s="1366"/>
      <c r="K726" s="1607">
        <v>1022</v>
      </c>
      <c r="L726" s="1608"/>
      <c r="M726" s="1608"/>
      <c r="N726" s="1609"/>
      <c r="O726" s="1453">
        <v>3102</v>
      </c>
      <c r="P726" s="1454"/>
      <c r="Q726" s="1454"/>
      <c r="R726" s="1454"/>
      <c r="S726" s="1455"/>
      <c r="T726" s="1453">
        <v>48</v>
      </c>
      <c r="U726" s="1454"/>
      <c r="V726" s="1454"/>
      <c r="W726" s="1455"/>
      <c r="X726" s="1358">
        <f t="shared" si="8"/>
        <v>3150</v>
      </c>
      <c r="Y726" s="1359"/>
      <c r="Z726" s="1359"/>
      <c r="AA726" s="1359"/>
      <c r="AB726" s="1360"/>
      <c r="AC726" s="1616">
        <v>0.8</v>
      </c>
      <c r="AD726" s="1617"/>
      <c r="AE726" s="1617"/>
      <c r="AF726" s="1617"/>
      <c r="AG726" s="1618"/>
      <c r="AH726" s="1361">
        <f t="shared" si="36"/>
        <v>0.79989842559674962</v>
      </c>
      <c r="AI726" s="1362"/>
      <c r="AJ726" s="1363"/>
      <c r="AK726" s="1355" t="s">
        <v>591</v>
      </c>
      <c r="AL726" s="1356"/>
      <c r="AM726" s="1356"/>
      <c r="AN726" s="1356"/>
      <c r="AO726" s="1357"/>
      <c r="AP726" s="3"/>
      <c r="AQ726" s="3"/>
      <c r="AR726" s="3"/>
      <c r="AS726" s="3"/>
      <c r="AY726" s="1085"/>
      <c r="AZ726" s="118">
        <f t="shared" si="9"/>
        <v>3938</v>
      </c>
      <c r="BA726" s="3"/>
      <c r="BB726" s="3"/>
      <c r="BC726" s="3"/>
      <c r="BD726" s="3"/>
      <c r="BE726" s="204"/>
      <c r="BF726" s="294">
        <f t="shared" si="10"/>
        <v>74</v>
      </c>
      <c r="BG726" s="297">
        <f t="shared" si="11"/>
        <v>0.2356687898089172</v>
      </c>
      <c r="BH726" s="298">
        <f t="shared" si="12"/>
        <v>0.18853503184713377</v>
      </c>
      <c r="BI726" s="3"/>
      <c r="BJ726" s="3"/>
      <c r="BK726" s="3"/>
      <c r="BL726" s="3"/>
      <c r="BM726" s="3"/>
      <c r="BN726" s="3"/>
      <c r="BS726" s="294">
        <f t="shared" si="13"/>
        <v>74</v>
      </c>
      <c r="BT726" s="297">
        <f t="shared" si="14"/>
        <v>0.2356687898089172</v>
      </c>
      <c r="BU726" s="298">
        <f t="shared" si="15"/>
        <v>0.18851109393044418</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74</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3102</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7"/>
      <c r="L727" s="1608"/>
      <c r="M727" s="1608"/>
      <c r="N727" s="1609"/>
      <c r="O727" s="1453"/>
      <c r="P727" s="1454"/>
      <c r="Q727" s="1454"/>
      <c r="R727" s="1454"/>
      <c r="S727" s="1455"/>
      <c r="T727" s="1453"/>
      <c r="U727" s="1454"/>
      <c r="V727" s="1454"/>
      <c r="W727" s="1455"/>
      <c r="X727" s="1358">
        <f t="shared" si="8"/>
        <v>0</v>
      </c>
      <c r="Y727" s="1359"/>
      <c r="Z727" s="1359"/>
      <c r="AA727" s="1359"/>
      <c r="AB727" s="1360"/>
      <c r="AC727" s="1616"/>
      <c r="AD727" s="1617"/>
      <c r="AE727" s="1617"/>
      <c r="AF727" s="1617"/>
      <c r="AG727" s="1618"/>
      <c r="AH727" s="1361" t="str">
        <f t="shared" si="36"/>
        <v/>
      </c>
      <c r="AI727" s="1362"/>
      <c r="AJ727" s="1363"/>
      <c r="AK727" s="1355" t="s">
        <v>591</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7"/>
      <c r="L728" s="1608"/>
      <c r="M728" s="1608"/>
      <c r="N728" s="1609"/>
      <c r="O728" s="1453"/>
      <c r="P728" s="1454"/>
      <c r="Q728" s="1454"/>
      <c r="R728" s="1454"/>
      <c r="S728" s="1455"/>
      <c r="T728" s="1453"/>
      <c r="U728" s="1454"/>
      <c r="V728" s="1454"/>
      <c r="W728" s="1455"/>
      <c r="X728" s="1358">
        <f t="shared" si="8"/>
        <v>0</v>
      </c>
      <c r="Y728" s="1359"/>
      <c r="Z728" s="1359"/>
      <c r="AA728" s="1359"/>
      <c r="AB728" s="1360"/>
      <c r="AC728" s="1616"/>
      <c r="AD728" s="1617"/>
      <c r="AE728" s="1617"/>
      <c r="AF728" s="1617"/>
      <c r="AG728" s="1618"/>
      <c r="AH728" s="1361" t="str">
        <f t="shared" si="36"/>
        <v/>
      </c>
      <c r="AI728" s="1362"/>
      <c r="AJ728" s="1363"/>
      <c r="AK728" s="1355" t="s">
        <v>591</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7"/>
      <c r="L729" s="1608"/>
      <c r="M729" s="1608"/>
      <c r="N729" s="1609"/>
      <c r="O729" s="1453"/>
      <c r="P729" s="1454"/>
      <c r="Q729" s="1454"/>
      <c r="R729" s="1454"/>
      <c r="S729" s="1455"/>
      <c r="T729" s="1453"/>
      <c r="U729" s="1454"/>
      <c r="V729" s="1454"/>
      <c r="W729" s="1455"/>
      <c r="X729" s="1358">
        <f t="shared" si="8"/>
        <v>0</v>
      </c>
      <c r="Y729" s="1359"/>
      <c r="Z729" s="1359"/>
      <c r="AA729" s="1359"/>
      <c r="AB729" s="1360"/>
      <c r="AC729" s="1616"/>
      <c r="AD729" s="1617"/>
      <c r="AE729" s="1617"/>
      <c r="AF729" s="1617"/>
      <c r="AG729" s="1618"/>
      <c r="AH729" s="1361" t="str">
        <f t="shared" si="36"/>
        <v/>
      </c>
      <c r="AI729" s="1362"/>
      <c r="AJ729" s="1363"/>
      <c r="AK729" s="1355" t="s">
        <v>591</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7"/>
      <c r="L730" s="1608"/>
      <c r="M730" s="1608"/>
      <c r="N730" s="1609"/>
      <c r="O730" s="1453"/>
      <c r="P730" s="1454"/>
      <c r="Q730" s="1454"/>
      <c r="R730" s="1454"/>
      <c r="S730" s="1455"/>
      <c r="T730" s="1453"/>
      <c r="U730" s="1454"/>
      <c r="V730" s="1454"/>
      <c r="W730" s="1455"/>
      <c r="X730" s="1358">
        <f t="shared" si="8"/>
        <v>0</v>
      </c>
      <c r="Y730" s="1359"/>
      <c r="Z730" s="1359"/>
      <c r="AA730" s="1359"/>
      <c r="AB730" s="1360"/>
      <c r="AC730" s="1616"/>
      <c r="AD730" s="1617"/>
      <c r="AE730" s="1617"/>
      <c r="AF730" s="1617"/>
      <c r="AG730" s="1618"/>
      <c r="AH730" s="1361" t="str">
        <f t="shared" si="36"/>
        <v/>
      </c>
      <c r="AI730" s="1362"/>
      <c r="AJ730" s="1363"/>
      <c r="AK730" s="1355" t="s">
        <v>591</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7"/>
      <c r="L731" s="1608"/>
      <c r="M731" s="1608"/>
      <c r="N731" s="1609"/>
      <c r="O731" s="1453"/>
      <c r="P731" s="1454"/>
      <c r="Q731" s="1454"/>
      <c r="R731" s="1454"/>
      <c r="S731" s="1455"/>
      <c r="T731" s="1453"/>
      <c r="U731" s="1454"/>
      <c r="V731" s="1454"/>
      <c r="W731" s="1455"/>
      <c r="X731" s="1358">
        <f t="shared" si="8"/>
        <v>0</v>
      </c>
      <c r="Y731" s="1359"/>
      <c r="Z731" s="1359"/>
      <c r="AA731" s="1359"/>
      <c r="AB731" s="1360"/>
      <c r="AC731" s="1616"/>
      <c r="AD731" s="1617"/>
      <c r="AE731" s="1617"/>
      <c r="AF731" s="1617"/>
      <c r="AG731" s="1618"/>
      <c r="AH731" s="1361" t="str">
        <f t="shared" si="36"/>
        <v/>
      </c>
      <c r="AI731" s="1362"/>
      <c r="AJ731" s="1363"/>
      <c r="AK731" s="1355" t="s">
        <v>591</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7"/>
      <c r="L732" s="1608"/>
      <c r="M732" s="1608"/>
      <c r="N732" s="1609"/>
      <c r="O732" s="1453"/>
      <c r="P732" s="1454"/>
      <c r="Q732" s="1454"/>
      <c r="R732" s="1454"/>
      <c r="S732" s="1455"/>
      <c r="T732" s="1453"/>
      <c r="U732" s="1454"/>
      <c r="V732" s="1454"/>
      <c r="W732" s="1455"/>
      <c r="X732" s="1358">
        <f t="shared" si="8"/>
        <v>0</v>
      </c>
      <c r="Y732" s="1359"/>
      <c r="Z732" s="1359"/>
      <c r="AA732" s="1359"/>
      <c r="AB732" s="1360"/>
      <c r="AC732" s="1616"/>
      <c r="AD732" s="1617"/>
      <c r="AE732" s="1617"/>
      <c r="AF732" s="1617"/>
      <c r="AG732" s="1618"/>
      <c r="AH732" s="1361" t="str">
        <f t="shared" si="36"/>
        <v/>
      </c>
      <c r="AI732" s="1362"/>
      <c r="AJ732" s="1363"/>
      <c r="AK732" s="1355" t="s">
        <v>591</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7"/>
      <c r="L733" s="1608"/>
      <c r="M733" s="1608"/>
      <c r="N733" s="1609"/>
      <c r="O733" s="1453"/>
      <c r="P733" s="1454"/>
      <c r="Q733" s="1454"/>
      <c r="R733" s="1454"/>
      <c r="S733" s="1455"/>
      <c r="T733" s="1453"/>
      <c r="U733" s="1454"/>
      <c r="V733" s="1454"/>
      <c r="W733" s="1455"/>
      <c r="X733" s="1358">
        <f t="shared" si="8"/>
        <v>0</v>
      </c>
      <c r="Y733" s="1359"/>
      <c r="Z733" s="1359"/>
      <c r="AA733" s="1359"/>
      <c r="AB733" s="1360"/>
      <c r="AC733" s="1616"/>
      <c r="AD733" s="1617"/>
      <c r="AE733" s="1617"/>
      <c r="AF733" s="1617"/>
      <c r="AG733" s="1618"/>
      <c r="AH733" s="1361" t="str">
        <f t="shared" si="36"/>
        <v/>
      </c>
      <c r="AI733" s="1362"/>
      <c r="AJ733" s="1363"/>
      <c r="AK733" s="1355" t="s">
        <v>591</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7"/>
      <c r="L734" s="1608"/>
      <c r="M734" s="1608"/>
      <c r="N734" s="1609"/>
      <c r="O734" s="1453"/>
      <c r="P734" s="1454"/>
      <c r="Q734" s="1454"/>
      <c r="R734" s="1454"/>
      <c r="S734" s="1455"/>
      <c r="T734" s="1453"/>
      <c r="U734" s="1454"/>
      <c r="V734" s="1454"/>
      <c r="W734" s="1455"/>
      <c r="X734" s="1358">
        <f t="shared" si="8"/>
        <v>0</v>
      </c>
      <c r="Y734" s="1359"/>
      <c r="Z734" s="1359"/>
      <c r="AA734" s="1359"/>
      <c r="AB734" s="1360"/>
      <c r="AC734" s="1616"/>
      <c r="AD734" s="1617"/>
      <c r="AE734" s="1617"/>
      <c r="AF734" s="1617"/>
      <c r="AG734" s="1618"/>
      <c r="AH734" s="1361" t="str">
        <f t="shared" si="36"/>
        <v/>
      </c>
      <c r="AI734" s="1362"/>
      <c r="AJ734" s="1363"/>
      <c r="AK734" s="1355" t="s">
        <v>591</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7"/>
      <c r="L735" s="1608"/>
      <c r="M735" s="1608"/>
      <c r="N735" s="1609"/>
      <c r="O735" s="1453"/>
      <c r="P735" s="1454"/>
      <c r="Q735" s="1454"/>
      <c r="R735" s="1454"/>
      <c r="S735" s="1455"/>
      <c r="T735" s="1453"/>
      <c r="U735" s="1454"/>
      <c r="V735" s="1454"/>
      <c r="W735" s="1455"/>
      <c r="X735" s="1358">
        <f t="shared" si="8"/>
        <v>0</v>
      </c>
      <c r="Y735" s="1359"/>
      <c r="Z735" s="1359"/>
      <c r="AA735" s="1359"/>
      <c r="AB735" s="1360"/>
      <c r="AC735" s="1616"/>
      <c r="AD735" s="1617"/>
      <c r="AE735" s="1617"/>
      <c r="AF735" s="1617"/>
      <c r="AG735" s="1618"/>
      <c r="AH735" s="1361" t="str">
        <f t="shared" si="36"/>
        <v/>
      </c>
      <c r="AI735" s="1362"/>
      <c r="AJ735" s="1363"/>
      <c r="AK735" s="1355" t="s">
        <v>591</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7"/>
      <c r="L736" s="1608"/>
      <c r="M736" s="1608"/>
      <c r="N736" s="1609"/>
      <c r="O736" s="1453"/>
      <c r="P736" s="1454"/>
      <c r="Q736" s="1454"/>
      <c r="R736" s="1454"/>
      <c r="S736" s="1455"/>
      <c r="T736" s="1453"/>
      <c r="U736" s="1454"/>
      <c r="V736" s="1454"/>
      <c r="W736" s="1455"/>
      <c r="X736" s="1358">
        <f t="shared" si="8"/>
        <v>0</v>
      </c>
      <c r="Y736" s="1359"/>
      <c r="Z736" s="1359"/>
      <c r="AA736" s="1359"/>
      <c r="AB736" s="1360"/>
      <c r="AC736" s="1616"/>
      <c r="AD736" s="1617"/>
      <c r="AE736" s="1617"/>
      <c r="AF736" s="1617"/>
      <c r="AG736" s="1618"/>
      <c r="AH736" s="1361" t="str">
        <f t="shared" si="36"/>
        <v/>
      </c>
      <c r="AI736" s="1362"/>
      <c r="AJ736" s="1363"/>
      <c r="AK736" s="1355" t="s">
        <v>591</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7"/>
      <c r="L737" s="1608"/>
      <c r="M737" s="1608"/>
      <c r="N737" s="1609"/>
      <c r="O737" s="1453"/>
      <c r="P737" s="1454"/>
      <c r="Q737" s="1454"/>
      <c r="R737" s="1454"/>
      <c r="S737" s="1455"/>
      <c r="T737" s="1453"/>
      <c r="U737" s="1454"/>
      <c r="V737" s="1454"/>
      <c r="W737" s="1455"/>
      <c r="X737" s="1358">
        <f t="shared" si="8"/>
        <v>0</v>
      </c>
      <c r="Y737" s="1359"/>
      <c r="Z737" s="1359"/>
      <c r="AA737" s="1359"/>
      <c r="AB737" s="1360"/>
      <c r="AC737" s="1616"/>
      <c r="AD737" s="1617"/>
      <c r="AE737" s="1617"/>
      <c r="AF737" s="1617"/>
      <c r="AG737" s="1618"/>
      <c r="AH737" s="1361" t="str">
        <f t="shared" si="36"/>
        <v/>
      </c>
      <c r="AI737" s="1362"/>
      <c r="AJ737" s="1363"/>
      <c r="AK737" s="1355" t="s">
        <v>591</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7"/>
      <c r="L738" s="1608"/>
      <c r="M738" s="1608"/>
      <c r="N738" s="1609"/>
      <c r="O738" s="1453"/>
      <c r="P738" s="1454"/>
      <c r="Q738" s="1454"/>
      <c r="R738" s="1454"/>
      <c r="S738" s="1455"/>
      <c r="T738" s="1453"/>
      <c r="U738" s="1454"/>
      <c r="V738" s="1454"/>
      <c r="W738" s="1455"/>
      <c r="X738" s="1358">
        <f t="shared" si="8"/>
        <v>0</v>
      </c>
      <c r="Y738" s="1359"/>
      <c r="Z738" s="1359"/>
      <c r="AA738" s="1359"/>
      <c r="AB738" s="1360"/>
      <c r="AC738" s="1616"/>
      <c r="AD738" s="1617"/>
      <c r="AE738" s="1617"/>
      <c r="AF738" s="1617"/>
      <c r="AG738" s="1618"/>
      <c r="AH738" s="1361" t="str">
        <f t="shared" si="36"/>
        <v/>
      </c>
      <c r="AI738" s="1362"/>
      <c r="AJ738" s="1363"/>
      <c r="AK738" s="1355" t="s">
        <v>591</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7"/>
      <c r="L739" s="1608"/>
      <c r="M739" s="1608"/>
      <c r="N739" s="1609"/>
      <c r="O739" s="1453"/>
      <c r="P739" s="1454"/>
      <c r="Q739" s="1454"/>
      <c r="R739" s="1454"/>
      <c r="S739" s="1455"/>
      <c r="T739" s="1453"/>
      <c r="U739" s="1454"/>
      <c r="V739" s="1454"/>
      <c r="W739" s="1455"/>
      <c r="X739" s="1358">
        <f t="shared" si="8"/>
        <v>0</v>
      </c>
      <c r="Y739" s="1359"/>
      <c r="Z739" s="1359"/>
      <c r="AA739" s="1359"/>
      <c r="AB739" s="1360"/>
      <c r="AC739" s="1616"/>
      <c r="AD739" s="1617"/>
      <c r="AE739" s="1617"/>
      <c r="AF739" s="1617"/>
      <c r="AG739" s="1618"/>
      <c r="AH739" s="1361" t="str">
        <f t="shared" si="36"/>
        <v/>
      </c>
      <c r="AI739" s="1362"/>
      <c r="AJ739" s="1363"/>
      <c r="AK739" s="1355" t="s">
        <v>591</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7"/>
      <c r="L740" s="1608"/>
      <c r="M740" s="1608"/>
      <c r="N740" s="1609"/>
      <c r="O740" s="1453"/>
      <c r="P740" s="1454"/>
      <c r="Q740" s="1454"/>
      <c r="R740" s="1454"/>
      <c r="S740" s="1455"/>
      <c r="T740" s="1453"/>
      <c r="U740" s="1454"/>
      <c r="V740" s="1454"/>
      <c r="W740" s="1455"/>
      <c r="X740" s="1358">
        <f t="shared" si="8"/>
        <v>0</v>
      </c>
      <c r="Y740" s="1359"/>
      <c r="Z740" s="1359"/>
      <c r="AA740" s="1359"/>
      <c r="AB740" s="1360"/>
      <c r="AC740" s="1616"/>
      <c r="AD740" s="1617"/>
      <c r="AE740" s="1617"/>
      <c r="AF740" s="1617"/>
      <c r="AG740" s="1618"/>
      <c r="AH740" s="1361" t="str">
        <f t="shared" si="36"/>
        <v/>
      </c>
      <c r="AI740" s="1362"/>
      <c r="AJ740" s="1363"/>
      <c r="AK740" s="1355" t="s">
        <v>591</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7"/>
      <c r="L741" s="1608"/>
      <c r="M741" s="1608"/>
      <c r="N741" s="1609"/>
      <c r="O741" s="1453"/>
      <c r="P741" s="1454"/>
      <c r="Q741" s="1454"/>
      <c r="R741" s="1454"/>
      <c r="S741" s="1455"/>
      <c r="T741" s="1453"/>
      <c r="U741" s="1454"/>
      <c r="V741" s="1454"/>
      <c r="W741" s="1455"/>
      <c r="X741" s="1358">
        <f t="shared" si="8"/>
        <v>0</v>
      </c>
      <c r="Y741" s="1359"/>
      <c r="Z741" s="1359"/>
      <c r="AA741" s="1359"/>
      <c r="AB741" s="1360"/>
      <c r="AC741" s="1616"/>
      <c r="AD741" s="1617"/>
      <c r="AE741" s="1617"/>
      <c r="AF741" s="1617"/>
      <c r="AG741" s="1618"/>
      <c r="AH741" s="1361" t="str">
        <f t="shared" si="36"/>
        <v/>
      </c>
      <c r="AI741" s="1362"/>
      <c r="AJ741" s="1363"/>
      <c r="AK741" s="1355" t="s">
        <v>591</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7"/>
      <c r="L742" s="1608"/>
      <c r="M742" s="1608"/>
      <c r="N742" s="1609"/>
      <c r="O742" s="1453"/>
      <c r="P742" s="1454"/>
      <c r="Q742" s="1454"/>
      <c r="R742" s="1454"/>
      <c r="S742" s="1455"/>
      <c r="T742" s="1453"/>
      <c r="U742" s="1454"/>
      <c r="V742" s="1454"/>
      <c r="W742" s="1455"/>
      <c r="X742" s="1358">
        <f t="shared" ref="X742:X751" si="39">O742+T742</f>
        <v>0</v>
      </c>
      <c r="Y742" s="1359"/>
      <c r="Z742" s="1359"/>
      <c r="AA742" s="1359"/>
      <c r="AB742" s="1360"/>
      <c r="AC742" s="1616"/>
      <c r="AD742" s="1617"/>
      <c r="AE742" s="1617"/>
      <c r="AF742" s="1617"/>
      <c r="AG742" s="1618"/>
      <c r="AH742" s="1361" t="str">
        <f t="shared" si="36"/>
        <v/>
      </c>
      <c r="AI742" s="1362"/>
      <c r="AJ742" s="1363"/>
      <c r="AK742" s="1355" t="s">
        <v>591</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7"/>
      <c r="L743" s="1608"/>
      <c r="M743" s="1608"/>
      <c r="N743" s="1609"/>
      <c r="O743" s="1453"/>
      <c r="P743" s="1454"/>
      <c r="Q743" s="1454"/>
      <c r="R743" s="1454"/>
      <c r="S743" s="1455"/>
      <c r="T743" s="1453"/>
      <c r="U743" s="1454"/>
      <c r="V743" s="1454"/>
      <c r="W743" s="1455"/>
      <c r="X743" s="1358">
        <f t="shared" si="39"/>
        <v>0</v>
      </c>
      <c r="Y743" s="1359"/>
      <c r="Z743" s="1359"/>
      <c r="AA743" s="1359"/>
      <c r="AB743" s="1360"/>
      <c r="AC743" s="1616"/>
      <c r="AD743" s="1617"/>
      <c r="AE743" s="1617"/>
      <c r="AF743" s="1617"/>
      <c r="AG743" s="1618"/>
      <c r="AH743" s="1361" t="str">
        <f t="shared" si="36"/>
        <v/>
      </c>
      <c r="AI743" s="1362"/>
      <c r="AJ743" s="1363"/>
      <c r="AK743" s="1355" t="s">
        <v>591</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7"/>
      <c r="L744" s="1608"/>
      <c r="M744" s="1608"/>
      <c r="N744" s="1609"/>
      <c r="O744" s="1453"/>
      <c r="P744" s="1454"/>
      <c r="Q744" s="1454"/>
      <c r="R744" s="1454"/>
      <c r="S744" s="1455"/>
      <c r="T744" s="1453"/>
      <c r="U744" s="1454"/>
      <c r="V744" s="1454"/>
      <c r="W744" s="1455"/>
      <c r="X744" s="1358">
        <f t="shared" si="39"/>
        <v>0</v>
      </c>
      <c r="Y744" s="1359"/>
      <c r="Z744" s="1359"/>
      <c r="AA744" s="1359"/>
      <c r="AB744" s="1360"/>
      <c r="AC744" s="1616"/>
      <c r="AD744" s="1617"/>
      <c r="AE744" s="1617"/>
      <c r="AF744" s="1617"/>
      <c r="AG744" s="1618"/>
      <c r="AH744" s="1361" t="str">
        <f t="shared" si="36"/>
        <v/>
      </c>
      <c r="AI744" s="1362"/>
      <c r="AJ744" s="1363"/>
      <c r="AK744" s="1355" t="s">
        <v>591</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7"/>
      <c r="L745" s="1608"/>
      <c r="M745" s="1608"/>
      <c r="N745" s="1609"/>
      <c r="O745" s="1453"/>
      <c r="P745" s="1454"/>
      <c r="Q745" s="1454"/>
      <c r="R745" s="1454"/>
      <c r="S745" s="1455"/>
      <c r="T745" s="1453"/>
      <c r="U745" s="1454"/>
      <c r="V745" s="1454"/>
      <c r="W745" s="1455"/>
      <c r="X745" s="1358">
        <f t="shared" si="39"/>
        <v>0</v>
      </c>
      <c r="Y745" s="1359"/>
      <c r="Z745" s="1359"/>
      <c r="AA745" s="1359"/>
      <c r="AB745" s="1360"/>
      <c r="AC745" s="1616"/>
      <c r="AD745" s="1617"/>
      <c r="AE745" s="1617"/>
      <c r="AF745" s="1617"/>
      <c r="AG745" s="1618"/>
      <c r="AH745" s="1361" t="str">
        <f t="shared" si="36"/>
        <v/>
      </c>
      <c r="AI745" s="1362"/>
      <c r="AJ745" s="1363"/>
      <c r="AK745" s="1355" t="s">
        <v>591</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7"/>
      <c r="L746" s="1608"/>
      <c r="M746" s="1608"/>
      <c r="N746" s="1609"/>
      <c r="O746" s="1453"/>
      <c r="P746" s="1454"/>
      <c r="Q746" s="1454"/>
      <c r="R746" s="1454"/>
      <c r="S746" s="1455"/>
      <c r="T746" s="1453"/>
      <c r="U746" s="1454"/>
      <c r="V746" s="1454"/>
      <c r="W746" s="1455"/>
      <c r="X746" s="1358">
        <f t="shared" si="39"/>
        <v>0</v>
      </c>
      <c r="Y746" s="1359"/>
      <c r="Z746" s="1359"/>
      <c r="AA746" s="1359"/>
      <c r="AB746" s="1360"/>
      <c r="AC746" s="1616"/>
      <c r="AD746" s="1617"/>
      <c r="AE746" s="1617"/>
      <c r="AF746" s="1617"/>
      <c r="AG746" s="1618"/>
      <c r="AH746" s="1361" t="str">
        <f t="shared" si="36"/>
        <v/>
      </c>
      <c r="AI746" s="1362"/>
      <c r="AJ746" s="1363"/>
      <c r="AK746" s="1355" t="s">
        <v>591</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7"/>
      <c r="L747" s="1608"/>
      <c r="M747" s="1608"/>
      <c r="N747" s="1609"/>
      <c r="O747" s="1453"/>
      <c r="P747" s="1454"/>
      <c r="Q747" s="1454"/>
      <c r="R747" s="1454"/>
      <c r="S747" s="1455"/>
      <c r="T747" s="1453"/>
      <c r="U747" s="1454"/>
      <c r="V747" s="1454"/>
      <c r="W747" s="1455"/>
      <c r="X747" s="1358">
        <f t="shared" si="39"/>
        <v>0</v>
      </c>
      <c r="Y747" s="1359"/>
      <c r="Z747" s="1359"/>
      <c r="AA747" s="1359"/>
      <c r="AB747" s="1360"/>
      <c r="AC747" s="1616"/>
      <c r="AD747" s="1617"/>
      <c r="AE747" s="1617"/>
      <c r="AF747" s="1617"/>
      <c r="AG747" s="1618"/>
      <c r="AH747" s="1361" t="str">
        <f t="shared" si="36"/>
        <v/>
      </c>
      <c r="AI747" s="1362"/>
      <c r="AJ747" s="1363"/>
      <c r="AK747" s="1355" t="s">
        <v>591</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7"/>
      <c r="L748" s="1608"/>
      <c r="M748" s="1608"/>
      <c r="N748" s="1609"/>
      <c r="O748" s="1453"/>
      <c r="P748" s="1454"/>
      <c r="Q748" s="1454"/>
      <c r="R748" s="1454"/>
      <c r="S748" s="1455"/>
      <c r="T748" s="1453"/>
      <c r="U748" s="1454"/>
      <c r="V748" s="1454"/>
      <c r="W748" s="1455"/>
      <c r="X748" s="1358">
        <f t="shared" si="39"/>
        <v>0</v>
      </c>
      <c r="Y748" s="1359"/>
      <c r="Z748" s="1359"/>
      <c r="AA748" s="1359"/>
      <c r="AB748" s="1360"/>
      <c r="AC748" s="1616"/>
      <c r="AD748" s="1617"/>
      <c r="AE748" s="1617"/>
      <c r="AF748" s="1617"/>
      <c r="AG748" s="1618"/>
      <c r="AH748" s="1361" t="str">
        <f t="shared" si="36"/>
        <v/>
      </c>
      <c r="AI748" s="1362"/>
      <c r="AJ748" s="1363"/>
      <c r="AK748" s="1355" t="s">
        <v>591</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7"/>
      <c r="L749" s="1608"/>
      <c r="M749" s="1608"/>
      <c r="N749" s="1609"/>
      <c r="O749" s="1453"/>
      <c r="P749" s="1454"/>
      <c r="Q749" s="1454"/>
      <c r="R749" s="1454"/>
      <c r="S749" s="1455"/>
      <c r="T749" s="1453"/>
      <c r="U749" s="1454"/>
      <c r="V749" s="1454"/>
      <c r="W749" s="1455"/>
      <c r="X749" s="1358">
        <f t="shared" si="39"/>
        <v>0</v>
      </c>
      <c r="Y749" s="1359"/>
      <c r="Z749" s="1359"/>
      <c r="AA749" s="1359"/>
      <c r="AB749" s="1360"/>
      <c r="AC749" s="1616"/>
      <c r="AD749" s="1617"/>
      <c r="AE749" s="1617"/>
      <c r="AF749" s="1617"/>
      <c r="AG749" s="1618"/>
      <c r="AH749" s="1361" t="str">
        <f t="shared" si="36"/>
        <v/>
      </c>
      <c r="AI749" s="1362"/>
      <c r="AJ749" s="1363"/>
      <c r="AK749" s="1355" t="s">
        <v>591</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7"/>
      <c r="L750" s="1608"/>
      <c r="M750" s="1608"/>
      <c r="N750" s="1609"/>
      <c r="O750" s="1453"/>
      <c r="P750" s="1454"/>
      <c r="Q750" s="1454"/>
      <c r="R750" s="1454"/>
      <c r="S750" s="1455"/>
      <c r="T750" s="1453"/>
      <c r="U750" s="1454"/>
      <c r="V750" s="1454"/>
      <c r="W750" s="1455"/>
      <c r="X750" s="1358">
        <f t="shared" si="39"/>
        <v>0</v>
      </c>
      <c r="Y750" s="1359"/>
      <c r="Z750" s="1359"/>
      <c r="AA750" s="1359"/>
      <c r="AB750" s="1360"/>
      <c r="AC750" s="1616"/>
      <c r="AD750" s="1617"/>
      <c r="AE750" s="1617"/>
      <c r="AF750" s="1617"/>
      <c r="AG750" s="1618"/>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7"/>
      <c r="L751" s="1608"/>
      <c r="M751" s="1608"/>
      <c r="N751" s="1609"/>
      <c r="O751" s="1453"/>
      <c r="P751" s="1454"/>
      <c r="Q751" s="1454"/>
      <c r="R751" s="1454"/>
      <c r="S751" s="1455"/>
      <c r="T751" s="1453"/>
      <c r="U751" s="1454"/>
      <c r="V751" s="1454"/>
      <c r="W751" s="1455"/>
      <c r="X751" s="1358">
        <f t="shared" si="39"/>
        <v>0</v>
      </c>
      <c r="Y751" s="1359"/>
      <c r="Z751" s="1359"/>
      <c r="AA751" s="1359"/>
      <c r="AB751" s="1360"/>
      <c r="AC751" s="1616"/>
      <c r="AD751" s="1617"/>
      <c r="AE751" s="1617"/>
      <c r="AF751" s="1617"/>
      <c r="AG751" s="1618"/>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7"/>
      <c r="L752" s="1608"/>
      <c r="M752" s="1608"/>
      <c r="N752" s="1609"/>
      <c r="O752" s="1453"/>
      <c r="P752" s="1454"/>
      <c r="Q752" s="1454"/>
      <c r="R752" s="1454"/>
      <c r="S752" s="1455"/>
      <c r="T752" s="1453"/>
      <c r="U752" s="1454"/>
      <c r="V752" s="1454"/>
      <c r="W752" s="1455"/>
      <c r="X752" s="1358">
        <f>O752+T752</f>
        <v>0</v>
      </c>
      <c r="Y752" s="1359"/>
      <c r="Z752" s="1359"/>
      <c r="AA752" s="1359"/>
      <c r="AB752" s="1360"/>
      <c r="AC752" s="1616"/>
      <c r="AD752" s="1617"/>
      <c r="AE752" s="1617"/>
      <c r="AF752" s="1617"/>
      <c r="AG752" s="1618"/>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601" t="s">
        <v>125</v>
      </c>
      <c r="C753" s="1602"/>
      <c r="D753" s="1602"/>
      <c r="E753" s="1602"/>
      <c r="F753" s="1603"/>
      <c r="G753" s="1721">
        <f>SUM(G718:G752)</f>
        <v>314</v>
      </c>
      <c r="H753" s="1722"/>
      <c r="I753" s="1722"/>
      <c r="J753" s="1723"/>
      <c r="K753" s="902" t="s">
        <v>124</v>
      </c>
      <c r="L753" s="5"/>
      <c r="M753" s="5"/>
      <c r="N753" s="46"/>
      <c r="O753" s="1358">
        <f>SUMPRODUCT(G718:G752,O718:O752)</f>
        <v>622222</v>
      </c>
      <c r="P753" s="1359"/>
      <c r="Q753" s="1359"/>
      <c r="R753" s="1359"/>
      <c r="S753" s="1360"/>
      <c r="T753"/>
      <c r="U753"/>
      <c r="V753"/>
      <c r="W753"/>
      <c r="X753" s="904" t="s">
        <v>900</v>
      </c>
      <c r="Y753" s="903"/>
      <c r="Z753" s="903"/>
      <c r="AA753" s="903"/>
      <c r="AB753" s="905"/>
      <c r="AC753" s="1620">
        <f>BH753</f>
        <v>0.6</v>
      </c>
      <c r="AD753" s="1621"/>
      <c r="AE753" s="1621"/>
      <c r="AF753" s="1621"/>
      <c r="AG753" s="1622"/>
      <c r="AH753" s="1620">
        <f>IFERROR(BU753,"")</f>
        <v>0.59997674197830442</v>
      </c>
      <c r="AI753" s="1621"/>
      <c r="AJ753" s="1622"/>
      <c r="AK753"/>
      <c r="AL753"/>
      <c r="AM753"/>
      <c r="AN753"/>
      <c r="AO753"/>
      <c r="AP753" s="205"/>
      <c r="AQ753" s="205"/>
      <c r="AR753" s="205"/>
      <c r="AS753" s="205"/>
      <c r="AT753"/>
      <c r="AU753"/>
      <c r="AV753"/>
      <c r="AW753"/>
      <c r="AX753"/>
      <c r="AY753"/>
      <c r="AZ753" s="34"/>
      <c r="BA753" s="34"/>
      <c r="BB753" s="34"/>
      <c r="BC753" s="34"/>
      <c r="BE753" s="290" t="s">
        <v>899</v>
      </c>
      <c r="BF753" s="299">
        <f>SUM(BF718:BF752)</f>
        <v>314</v>
      </c>
      <c r="BG753" s="300">
        <f>SUM(BG718:BG752)</f>
        <v>1</v>
      </c>
      <c r="BH753" s="300">
        <f>SUM(BH718:BH752)</f>
        <v>0.6</v>
      </c>
      <c r="BI753"/>
      <c r="BJ753"/>
      <c r="BK753"/>
      <c r="BL753"/>
      <c r="BO753"/>
      <c r="BP753"/>
      <c r="BQ753"/>
      <c r="BR753"/>
      <c r="BS753" s="859">
        <f>SUM(BS718:BS752)</f>
        <v>314</v>
      </c>
      <c r="BT753" s="300">
        <f>SUM(BT718:BT752)</f>
        <v>1</v>
      </c>
      <c r="BU753" s="300">
        <f>SUM(BU718:BU752)</f>
        <v>0.59997674197830442</v>
      </c>
      <c r="CI753" s="1351">
        <f>SUM(CI718:CJ752)</f>
        <v>12</v>
      </c>
      <c r="CJ753" s="1353"/>
      <c r="CM753" s="1351">
        <f>SUM(CM718:CN752)</f>
        <v>52</v>
      </c>
      <c r="CN753" s="1353"/>
      <c r="CP753" s="1351">
        <f>SUM(CP718:CT752)</f>
        <v>0</v>
      </c>
      <c r="CQ753" s="1352"/>
      <c r="CR753" s="1352"/>
      <c r="CS753" s="1352"/>
      <c r="CT753" s="1353"/>
      <c r="CU753" s="1367">
        <f>SUM(CU718:CY752)</f>
        <v>142</v>
      </c>
      <c r="CV753" s="1367"/>
      <c r="CW753" s="1367"/>
      <c r="CX753" s="1367"/>
      <c r="CY753" s="1367"/>
      <c r="CZ753" s="1367">
        <f>SUM(CZ718:DD752)</f>
        <v>82</v>
      </c>
      <c r="DA753" s="1367"/>
      <c r="DB753" s="1367"/>
      <c r="DC753" s="1367"/>
      <c r="DD753" s="1367"/>
      <c r="DE753" s="1367">
        <f>SUM(DE718:DI752)</f>
        <v>90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40</v>
      </c>
      <c r="EA753" s="1367"/>
      <c r="EB753" s="1367"/>
      <c r="EC753" s="1367"/>
      <c r="ED753" s="1367"/>
      <c r="EE753" s="1367">
        <f>SUM(EE718:EI752)</f>
        <v>4</v>
      </c>
      <c r="EF753" s="1367"/>
      <c r="EG753" s="1367"/>
      <c r="EH753" s="1367"/>
      <c r="EI753" s="1367"/>
      <c r="EJ753" s="1367">
        <f>SUM(EJ718:EN752)</f>
        <v>8</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4453</v>
      </c>
      <c r="FF753" s="1367"/>
      <c r="FG753" s="1367"/>
      <c r="FH753" s="1367"/>
      <c r="FI753" s="1367"/>
      <c r="FJ753" s="1367">
        <f>SUM(FJ718:FN752)</f>
        <v>4653</v>
      </c>
      <c r="FK753" s="1367"/>
      <c r="FL753" s="1367"/>
      <c r="FM753" s="1367"/>
      <c r="FN753" s="1367"/>
      <c r="FO753" s="1367">
        <f>SUM(FO718:FS752)</f>
        <v>6155</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5" t="s">
        <v>1893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1860</v>
      </c>
      <c r="DO754" s="1351">
        <f>CP753+CU753+CZ753+DE753+DJ753+DO753</f>
        <v>314</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142</v>
      </c>
      <c r="CZ755" s="3"/>
      <c r="DA755" s="3"/>
      <c r="DB755" s="3"/>
      <c r="DC755" s="3"/>
      <c r="DD755" s="861">
        <f>CZ753*2</f>
        <v>164</v>
      </c>
      <c r="DE755" s="3"/>
      <c r="DF755" s="3"/>
      <c r="DG755" s="3"/>
      <c r="DH755" s="3"/>
      <c r="DI755" s="861">
        <f>DE753*3</f>
        <v>270</v>
      </c>
      <c r="DJ755" s="3"/>
      <c r="DK755" s="3"/>
      <c r="DL755" s="3"/>
      <c r="DM755" s="3"/>
      <c r="DN755" s="861">
        <f>DJ753*4</f>
        <v>0</v>
      </c>
      <c r="DO755" s="3"/>
      <c r="DP755" s="3"/>
      <c r="DQ755" s="3"/>
      <c r="DR755" s="3"/>
      <c r="DS755" s="861">
        <f>DO753*5</f>
        <v>0</v>
      </c>
      <c r="DU755" s="861">
        <f>CT755+CY755+DD755+DI755+DN755+DS755</f>
        <v>576</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576</v>
      </c>
      <c r="P756" s="1367"/>
      <c r="Q756" s="1367"/>
      <c r="R756" s="1367"/>
      <c r="S756" s="969"/>
      <c r="T756" s="969"/>
      <c r="U756" s="118" t="s">
        <v>1892</v>
      </c>
      <c r="V756" s="1032"/>
      <c r="W756" s="1032"/>
      <c r="X756" s="1032"/>
      <c r="Y756" s="1033"/>
      <c r="Z756" s="1033"/>
      <c r="AA756" s="1033"/>
      <c r="AB756" s="1033"/>
      <c r="AC756" s="1032"/>
      <c r="AD756" s="1032"/>
      <c r="AE756" s="1032"/>
      <c r="AF756" s="1032"/>
      <c r="AG756" s="1717"/>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591</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83" t="s">
        <v>388</v>
      </c>
      <c r="K769" s="1484"/>
      <c r="L769" s="1484"/>
      <c r="M769" s="1484"/>
      <c r="N769" s="1485"/>
      <c r="O769" s="1605" t="s">
        <v>284</v>
      </c>
      <c r="P769" s="1605"/>
      <c r="Q769" s="1605"/>
      <c r="R769" s="1605"/>
      <c r="S769" s="1605"/>
      <c r="T769" s="1493" t="s">
        <v>1679</v>
      </c>
      <c r="U769" s="1494"/>
      <c r="V769" s="1494"/>
      <c r="W769" s="1495"/>
      <c r="X769" s="1483" t="s">
        <v>447</v>
      </c>
      <c r="Y769" s="1484"/>
      <c r="Z769" s="1484"/>
      <c r="AA769" s="1484"/>
      <c r="AB769" s="1485"/>
      <c r="AC769" s="1483" t="s">
        <v>285</v>
      </c>
      <c r="AD769" s="1484"/>
      <c r="AE769" s="1484"/>
      <c r="AF769" s="1484"/>
      <c r="AG769" s="14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86"/>
      <c r="K770" s="1487"/>
      <c r="L770" s="1487"/>
      <c r="M770" s="1487"/>
      <c r="N770" s="1488"/>
      <c r="O770" s="1605"/>
      <c r="P770" s="1605"/>
      <c r="Q770" s="1605"/>
      <c r="R770" s="1605"/>
      <c r="S770" s="1605"/>
      <c r="T770" s="1496"/>
      <c r="U770" s="1497"/>
      <c r="V770" s="1497"/>
      <c r="W770" s="1498"/>
      <c r="X770" s="1486"/>
      <c r="Y770" s="1487"/>
      <c r="Z770" s="1487"/>
      <c r="AA770" s="1487"/>
      <c r="AB770" s="1488"/>
      <c r="AC770" s="1486"/>
      <c r="AD770" s="1487"/>
      <c r="AE770" s="1487"/>
      <c r="AF770" s="1487"/>
      <c r="AG770" s="14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86"/>
      <c r="K771" s="1487"/>
      <c r="L771" s="1487"/>
      <c r="M771" s="1487"/>
      <c r="N771" s="1488"/>
      <c r="O771" s="1605"/>
      <c r="P771" s="1605"/>
      <c r="Q771" s="1605"/>
      <c r="R771" s="1605"/>
      <c r="S771" s="1605"/>
      <c r="T771" s="1496"/>
      <c r="U771" s="1497"/>
      <c r="V771" s="1497"/>
      <c r="W771" s="1498"/>
      <c r="X771" s="1486"/>
      <c r="Y771" s="1487"/>
      <c r="Z771" s="1487"/>
      <c r="AA771" s="1487"/>
      <c r="AB771" s="1488"/>
      <c r="AC771" s="1486"/>
      <c r="AD771" s="1487"/>
      <c r="AE771" s="1487"/>
      <c r="AF771" s="1487"/>
      <c r="AG771" s="14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89"/>
      <c r="K772" s="1490"/>
      <c r="L772" s="1490"/>
      <c r="M772" s="1490"/>
      <c r="N772" s="1491"/>
      <c r="O772" s="1605"/>
      <c r="P772" s="1605"/>
      <c r="Q772" s="1605"/>
      <c r="R772" s="1605"/>
      <c r="S772" s="1605"/>
      <c r="T772" s="1613"/>
      <c r="U772" s="1614"/>
      <c r="V772" s="1614"/>
      <c r="W772" s="1615"/>
      <c r="X772" s="1489"/>
      <c r="Y772" s="1490"/>
      <c r="Z772" s="1490"/>
      <c r="AA772" s="1490"/>
      <c r="AB772" s="1491"/>
      <c r="AC772" s="1489"/>
      <c r="AD772" s="1490"/>
      <c r="AE772" s="1490"/>
      <c r="AF772" s="1490"/>
      <c r="AG772" s="14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39">
        <v>2</v>
      </c>
      <c r="P773" s="1439"/>
      <c r="Q773" s="1439"/>
      <c r="R773" s="1439"/>
      <c r="S773" s="1439"/>
      <c r="T773" s="1607">
        <v>750</v>
      </c>
      <c r="U773" s="1608"/>
      <c r="V773" s="1608"/>
      <c r="W773" s="1609"/>
      <c r="X773" s="1453">
        <v>0</v>
      </c>
      <c r="Y773" s="1454"/>
      <c r="Z773" s="1454"/>
      <c r="AA773" s="1454"/>
      <c r="AB773" s="1455"/>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2</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39"/>
      <c r="P774" s="1439"/>
      <c r="Q774" s="1439"/>
      <c r="R774" s="1439"/>
      <c r="S774" s="1439"/>
      <c r="T774" s="1607"/>
      <c r="U774" s="1608"/>
      <c r="V774" s="1608"/>
      <c r="W774" s="1609"/>
      <c r="X774" s="1453"/>
      <c r="Y774" s="1454"/>
      <c r="Z774" s="1454"/>
      <c r="AA774" s="1454"/>
      <c r="AB774" s="1455"/>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39"/>
      <c r="P775" s="1439"/>
      <c r="Q775" s="1439"/>
      <c r="R775" s="1439"/>
      <c r="S775" s="1439"/>
      <c r="T775" s="1607"/>
      <c r="U775" s="1608"/>
      <c r="V775" s="1608"/>
      <c r="W775" s="1609"/>
      <c r="X775" s="1453"/>
      <c r="Y775" s="1454"/>
      <c r="Z775" s="1454"/>
      <c r="AA775" s="1454"/>
      <c r="AB775" s="1455"/>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39"/>
      <c r="P776" s="1439"/>
      <c r="Q776" s="1439"/>
      <c r="R776" s="1439"/>
      <c r="S776" s="1439"/>
      <c r="T776" s="1607"/>
      <c r="U776" s="1608"/>
      <c r="V776" s="1608"/>
      <c r="W776" s="1609"/>
      <c r="X776" s="1453"/>
      <c r="Y776" s="1454"/>
      <c r="Z776" s="1454"/>
      <c r="AA776" s="1454"/>
      <c r="AB776" s="1455"/>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601" t="s">
        <v>125</v>
      </c>
      <c r="K777" s="1602"/>
      <c r="L777" s="1602"/>
      <c r="M777" s="1602"/>
      <c r="N777" s="1603"/>
      <c r="O777" s="1335">
        <f>SUM(O773:S776)</f>
        <v>2</v>
      </c>
      <c r="P777" s="1336"/>
      <c r="Q777" s="1336"/>
      <c r="R777" s="1336"/>
      <c r="S777" s="1337"/>
      <c r="X777" s="1601" t="s">
        <v>124</v>
      </c>
      <c r="Y777" s="1602"/>
      <c r="Z777" s="1602"/>
      <c r="AA777" s="1602"/>
      <c r="AB777" s="1603"/>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399" t="s">
        <v>669</v>
      </c>
      <c r="K779" s="139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83" t="s">
        <v>388</v>
      </c>
      <c r="K783" s="1484"/>
      <c r="L783" s="1484"/>
      <c r="M783" s="1484"/>
      <c r="N783" s="1485"/>
      <c r="O783" s="1605" t="s">
        <v>284</v>
      </c>
      <c r="P783" s="1605"/>
      <c r="Q783" s="1605"/>
      <c r="R783" s="1605"/>
      <c r="S783" s="1605"/>
      <c r="T783" s="1493" t="s">
        <v>1679</v>
      </c>
      <c r="U783" s="1494"/>
      <c r="V783" s="1494"/>
      <c r="W783" s="1495"/>
      <c r="X783" s="1483" t="s">
        <v>447</v>
      </c>
      <c r="Y783" s="1484"/>
      <c r="Z783" s="1484"/>
      <c r="AA783" s="1484"/>
      <c r="AB783" s="1485"/>
      <c r="AC783" s="1483" t="s">
        <v>285</v>
      </c>
      <c r="AD783" s="1484"/>
      <c r="AE783" s="1484"/>
      <c r="AF783" s="1484"/>
      <c r="AG783" s="14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86"/>
      <c r="K784" s="1487"/>
      <c r="L784" s="1487"/>
      <c r="M784" s="1487"/>
      <c r="N784" s="1488"/>
      <c r="O784" s="1605"/>
      <c r="P784" s="1605"/>
      <c r="Q784" s="1605"/>
      <c r="R784" s="1605"/>
      <c r="S784" s="1605"/>
      <c r="T784" s="1496"/>
      <c r="U784" s="1497"/>
      <c r="V784" s="1497"/>
      <c r="W784" s="1498"/>
      <c r="X784" s="1486"/>
      <c r="Y784" s="1487"/>
      <c r="Z784" s="1487"/>
      <c r="AA784" s="1487"/>
      <c r="AB784" s="1488"/>
      <c r="AC784" s="1486"/>
      <c r="AD784" s="1487"/>
      <c r="AE784" s="1487"/>
      <c r="AF784" s="1487"/>
      <c r="AG784" s="14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86"/>
      <c r="K785" s="1487"/>
      <c r="L785" s="1487"/>
      <c r="M785" s="1487"/>
      <c r="N785" s="1488"/>
      <c r="O785" s="1605"/>
      <c r="P785" s="1605"/>
      <c r="Q785" s="1605"/>
      <c r="R785" s="1605"/>
      <c r="S785" s="1605"/>
      <c r="T785" s="1496"/>
      <c r="U785" s="1497"/>
      <c r="V785" s="1497"/>
      <c r="W785" s="1498"/>
      <c r="X785" s="1486"/>
      <c r="Y785" s="1487"/>
      <c r="Z785" s="1487"/>
      <c r="AA785" s="1487"/>
      <c r="AB785" s="1488"/>
      <c r="AC785" s="1486"/>
      <c r="AD785" s="1487"/>
      <c r="AE785" s="1487"/>
      <c r="AF785" s="1487"/>
      <c r="AG785" s="14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89"/>
      <c r="K786" s="1490"/>
      <c r="L786" s="1490"/>
      <c r="M786" s="1490"/>
      <c r="N786" s="1491"/>
      <c r="O786" s="1605"/>
      <c r="P786" s="1605"/>
      <c r="Q786" s="1605"/>
      <c r="R786" s="1605"/>
      <c r="S786" s="1605"/>
      <c r="T786" s="1613"/>
      <c r="U786" s="1614"/>
      <c r="V786" s="1614"/>
      <c r="W786" s="1615"/>
      <c r="X786" s="1489"/>
      <c r="Y786" s="1490"/>
      <c r="Z786" s="1490"/>
      <c r="AA786" s="1490"/>
      <c r="AB786" s="1491"/>
      <c r="AC786" s="1489"/>
      <c r="AD786" s="1490"/>
      <c r="AE786" s="1490"/>
      <c r="AF786" s="1490"/>
      <c r="AG786" s="14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39"/>
      <c r="P787" s="1439"/>
      <c r="Q787" s="1439"/>
      <c r="R787" s="1439"/>
      <c r="S787" s="1439"/>
      <c r="T787" s="1607"/>
      <c r="U787" s="1608"/>
      <c r="V787" s="1608"/>
      <c r="W787" s="1609"/>
      <c r="X787" s="1453"/>
      <c r="Y787" s="1454"/>
      <c r="Z787" s="1454"/>
      <c r="AA787" s="1454"/>
      <c r="AB787" s="1455"/>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39"/>
      <c r="P788" s="1439"/>
      <c r="Q788" s="1439"/>
      <c r="R788" s="1439"/>
      <c r="S788" s="1439"/>
      <c r="T788" s="1607"/>
      <c r="U788" s="1608"/>
      <c r="V788" s="1608"/>
      <c r="W788" s="1609"/>
      <c r="X788" s="1453"/>
      <c r="Y788" s="1454"/>
      <c r="Z788" s="1454"/>
      <c r="AA788" s="1454"/>
      <c r="AB788" s="1455"/>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39"/>
      <c r="P789" s="1439"/>
      <c r="Q789" s="1439"/>
      <c r="R789" s="1439"/>
      <c r="S789" s="1439"/>
      <c r="T789" s="1607"/>
      <c r="U789" s="1608"/>
      <c r="V789" s="1608"/>
      <c r="W789" s="1609"/>
      <c r="X789" s="1453"/>
      <c r="Y789" s="1454"/>
      <c r="Z789" s="1454"/>
      <c r="AA789" s="1454"/>
      <c r="AB789" s="1455"/>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39"/>
      <c r="P790" s="1439"/>
      <c r="Q790" s="1439"/>
      <c r="R790" s="1439"/>
      <c r="S790" s="1439"/>
      <c r="T790" s="1607"/>
      <c r="U790" s="1608"/>
      <c r="V790" s="1608"/>
      <c r="W790" s="1609"/>
      <c r="X790" s="1453"/>
      <c r="Y790" s="1454"/>
      <c r="Z790" s="1454"/>
      <c r="AA790" s="1454"/>
      <c r="AB790" s="1455"/>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39"/>
      <c r="P791" s="1439"/>
      <c r="Q791" s="1439"/>
      <c r="R791" s="1439"/>
      <c r="S791" s="1439"/>
      <c r="T791" s="1607"/>
      <c r="U791" s="1608"/>
      <c r="V791" s="1608"/>
      <c r="W791" s="1609"/>
      <c r="X791" s="1453"/>
      <c r="Y791" s="1454"/>
      <c r="Z791" s="1454"/>
      <c r="AA791" s="1454"/>
      <c r="AB791" s="1455"/>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39"/>
      <c r="P792" s="1439"/>
      <c r="Q792" s="1439"/>
      <c r="R792" s="1439"/>
      <c r="S792" s="1439"/>
      <c r="T792" s="1607"/>
      <c r="U792" s="1608"/>
      <c r="V792" s="1608"/>
      <c r="W792" s="1609"/>
      <c r="X792" s="1453"/>
      <c r="Y792" s="1454"/>
      <c r="Z792" s="1454"/>
      <c r="AA792" s="1454"/>
      <c r="AB792" s="1455"/>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39"/>
      <c r="P793" s="1439"/>
      <c r="Q793" s="1439"/>
      <c r="R793" s="1439"/>
      <c r="S793" s="1439"/>
      <c r="T793" s="1607"/>
      <c r="U793" s="1608"/>
      <c r="V793" s="1608"/>
      <c r="W793" s="1609"/>
      <c r="X793" s="1453"/>
      <c r="Y793" s="1454"/>
      <c r="Z793" s="1454"/>
      <c r="AA793" s="1454"/>
      <c r="AB793" s="1455"/>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39"/>
      <c r="P794" s="1439"/>
      <c r="Q794" s="1439"/>
      <c r="R794" s="1439"/>
      <c r="S794" s="1439"/>
      <c r="T794" s="1607"/>
      <c r="U794" s="1608"/>
      <c r="V794" s="1608"/>
      <c r="W794" s="1609"/>
      <c r="X794" s="1453"/>
      <c r="Y794" s="1454"/>
      <c r="Z794" s="1454"/>
      <c r="AA794" s="1454"/>
      <c r="AB794" s="1455"/>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39"/>
      <c r="P795" s="1439"/>
      <c r="Q795" s="1439"/>
      <c r="R795" s="1439"/>
      <c r="S795" s="1439"/>
      <c r="T795" s="1607"/>
      <c r="U795" s="1608"/>
      <c r="V795" s="1608"/>
      <c r="W795" s="1609"/>
      <c r="X795" s="1453"/>
      <c r="Y795" s="1454"/>
      <c r="Z795" s="1454"/>
      <c r="AA795" s="1454"/>
      <c r="AB795" s="1455"/>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39"/>
      <c r="P796" s="1439"/>
      <c r="Q796" s="1439"/>
      <c r="R796" s="1439"/>
      <c r="S796" s="1439"/>
      <c r="T796" s="1607"/>
      <c r="U796" s="1608"/>
      <c r="V796" s="1608"/>
      <c r="W796" s="1609"/>
      <c r="X796" s="1453"/>
      <c r="Y796" s="1454"/>
      <c r="Z796" s="1454"/>
      <c r="AA796" s="1454"/>
      <c r="AB796" s="1455"/>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601" t="s">
        <v>125</v>
      </c>
      <c r="K797" s="1602"/>
      <c r="L797" s="1602"/>
      <c r="M797" s="1602"/>
      <c r="N797" s="1603"/>
      <c r="O797" s="1628">
        <f>SUM(O787:S796)</f>
        <v>0</v>
      </c>
      <c r="P797" s="1628"/>
      <c r="Q797" s="1628"/>
      <c r="R797" s="1628"/>
      <c r="S797" s="1628"/>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83" t="str">
        <f>IF(O797&lt;&gt;AG438,"! Total market rate units in the Unit Mix Table above does not match the number of  market rate units on row #"&amp;TEXT(ROW(D438),"#"),"")</f>
        <v/>
      </c>
      <c r="D798" s="1383"/>
      <c r="E798" s="1383"/>
      <c r="F798" s="1383"/>
      <c r="G798" s="1383"/>
      <c r="H798" s="1383"/>
      <c r="I798" s="1383"/>
      <c r="J798" s="1383"/>
      <c r="K798" s="1383"/>
      <c r="L798" s="1383"/>
      <c r="M798" s="1383"/>
      <c r="N798" s="1383"/>
      <c r="O798" s="1383"/>
      <c r="P798" s="1383"/>
      <c r="Q798" s="1383"/>
      <c r="R798" s="1383"/>
      <c r="S798" s="1383"/>
      <c r="T798" s="1383"/>
      <c r="U798" s="1383"/>
      <c r="V798" s="1383"/>
      <c r="W798" s="1383"/>
      <c r="X798" s="1383"/>
      <c r="Y798" s="1383"/>
      <c r="Z798" s="1383"/>
      <c r="AA798" s="1383"/>
      <c r="AB798" s="1383"/>
      <c r="AC798" s="1383"/>
      <c r="AD798" s="1383"/>
      <c r="AE798" s="1383"/>
      <c r="AF798" s="1383"/>
      <c r="AG798" s="1383"/>
      <c r="AH798" s="1383"/>
      <c r="AI798" s="1383"/>
      <c r="AJ798" s="1383"/>
      <c r="AK798" s="1383"/>
      <c r="AL798" s="1383"/>
      <c r="AM798" s="1383"/>
      <c r="AN798" s="138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83"/>
      <c r="D799" s="1383"/>
      <c r="E799" s="1383"/>
      <c r="F799" s="1383"/>
      <c r="G799" s="1383"/>
      <c r="H799" s="1383"/>
      <c r="I799" s="1383"/>
      <c r="J799" s="1383"/>
      <c r="K799" s="1383"/>
      <c r="L799" s="1383"/>
      <c r="M799" s="1383"/>
      <c r="N799" s="1383"/>
      <c r="O799" s="1383"/>
      <c r="P799" s="1383"/>
      <c r="Q799" s="1383"/>
      <c r="R799" s="1383"/>
      <c r="S799" s="1383"/>
      <c r="T799" s="1383"/>
      <c r="U799" s="1383"/>
      <c r="V799" s="1383"/>
      <c r="W799" s="1383"/>
      <c r="X799" s="1383"/>
      <c r="Y799" s="1383"/>
      <c r="Z799" s="1383"/>
      <c r="AA799" s="1383"/>
      <c r="AB799" s="1383"/>
      <c r="AC799" s="1383"/>
      <c r="AD799" s="1383"/>
      <c r="AE799" s="1383"/>
      <c r="AF799" s="1383"/>
      <c r="AG799" s="1383"/>
      <c r="AH799" s="1383"/>
      <c r="AI799" s="1383"/>
      <c r="AJ799" s="1383"/>
      <c r="AK799" s="1383"/>
      <c r="AL799" s="1383"/>
      <c r="AM799" s="1383"/>
      <c r="AN799" s="138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622222</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7466664</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142</v>
      </c>
      <c r="CV802" s="1349"/>
      <c r="CW802" s="1349"/>
      <c r="CX802" s="1349"/>
      <c r="CY802" s="1350"/>
      <c r="CZ802" s="1348">
        <f>CZ753+CZ777+CZ797</f>
        <v>84</v>
      </c>
      <c r="DA802" s="1349"/>
      <c r="DB802" s="1349"/>
      <c r="DC802" s="1349"/>
      <c r="DD802" s="1350"/>
      <c r="DE802" s="1348">
        <f>DE753+DE777+DE797</f>
        <v>90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576</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c r="AA808" s="1512"/>
      <c r="AB808" s="1512"/>
      <c r="AC808" s="1512"/>
      <c r="AD808" s="1512"/>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58">
        <f>'Subsidy Contract Calculation'!J40</f>
        <v>0</v>
      </c>
      <c r="AA809" s="1459"/>
      <c r="AB809" s="1459"/>
      <c r="AC809" s="1459"/>
      <c r="AD809" s="1459"/>
      <c r="AE809" s="146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1">
        <v>60000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1"/>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1"/>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6" t="s">
        <v>333</v>
      </c>
      <c r="Q816" s="1647"/>
      <c r="R816" s="1647"/>
      <c r="S816" s="1647"/>
      <c r="T816" s="1647"/>
      <c r="U816" s="1647"/>
      <c r="V816" s="1647"/>
      <c r="W816" s="1647"/>
      <c r="X816" s="1647"/>
      <c r="Y816" s="1648"/>
      <c r="Z816" s="1461"/>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58">
        <f>SUM(Z813:AE816)</f>
        <v>60000</v>
      </c>
      <c r="AA817" s="1459"/>
      <c r="AB817" s="1459"/>
      <c r="AC817" s="1459"/>
      <c r="AD817" s="1459"/>
      <c r="AE817" s="1460"/>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58">
        <f>Z817+Y801+Z809</f>
        <v>7526664</v>
      </c>
      <c r="AA818" s="1459"/>
      <c r="AB818" s="1459"/>
      <c r="AC818" s="1459"/>
      <c r="AD818" s="1459"/>
      <c r="AE818" s="146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25" t="s">
        <v>289</v>
      </c>
      <c r="R823" s="1625"/>
      <c r="S823" s="1625"/>
      <c r="T823" s="1625"/>
      <c r="U823" s="1625" t="s">
        <v>290</v>
      </c>
      <c r="V823" s="1625"/>
      <c r="W823" s="1625"/>
      <c r="X823" s="1625"/>
      <c r="Y823" s="1625" t="s">
        <v>291</v>
      </c>
      <c r="Z823" s="1625"/>
      <c r="AA823" s="1625"/>
      <c r="AB823" s="1625"/>
      <c r="AC823" s="1625" t="s">
        <v>360</v>
      </c>
      <c r="AD823" s="1625"/>
      <c r="AE823" s="1625"/>
      <c r="AF823" s="1625"/>
      <c r="AG823" s="1619" t="s">
        <v>334</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25"/>
      <c r="R824" s="1625"/>
      <c r="S824" s="1625"/>
      <c r="T824" s="1625"/>
      <c r="U824" s="1625"/>
      <c r="V824" s="1625"/>
      <c r="W824" s="1625"/>
      <c r="X824" s="1625"/>
      <c r="Y824" s="1625"/>
      <c r="Z824" s="1625"/>
      <c r="AA824" s="1625"/>
      <c r="AB824" s="1625"/>
      <c r="AC824" s="1625"/>
      <c r="AD824" s="1625"/>
      <c r="AE824" s="1625"/>
      <c r="AF824" s="1625"/>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77"/>
      <c r="E825" s="1477"/>
      <c r="F825" s="1477"/>
      <c r="G825" s="1477"/>
      <c r="H825" s="1477"/>
      <c r="I825" s="48"/>
      <c r="J825" s="48"/>
      <c r="K825" s="48"/>
      <c r="L825" s="49"/>
      <c r="M825" s="1600"/>
      <c r="N825" s="1600"/>
      <c r="O825" s="1600"/>
      <c r="P825" s="1600"/>
      <c r="Q825" s="1600">
        <v>8</v>
      </c>
      <c r="R825" s="1600"/>
      <c r="S825" s="1600"/>
      <c r="T825" s="1600"/>
      <c r="U825" s="1600">
        <v>11</v>
      </c>
      <c r="V825" s="1600"/>
      <c r="W825" s="1600"/>
      <c r="X825" s="1600"/>
      <c r="Y825" s="1600">
        <v>13</v>
      </c>
      <c r="Z825" s="1600"/>
      <c r="AA825" s="1600"/>
      <c r="AB825" s="1600"/>
      <c r="AC825" s="1502"/>
      <c r="AD825" s="1503"/>
      <c r="AE825" s="1503"/>
      <c r="AF825" s="1504"/>
      <c r="AG825" s="1502"/>
      <c r="AH825" s="1503"/>
      <c r="AI825" s="1503"/>
      <c r="AJ825" s="150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24" t="s">
        <v>41</v>
      </c>
      <c r="D826" s="1525"/>
      <c r="E826" s="1525"/>
      <c r="F826" s="1525"/>
      <c r="G826" s="1525"/>
      <c r="H826" s="1525"/>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502"/>
      <c r="AD826" s="1503"/>
      <c r="AE826" s="1503"/>
      <c r="AF826" s="1504"/>
      <c r="AG826" s="1502"/>
      <c r="AH826" s="1503"/>
      <c r="AI826" s="1503"/>
      <c r="AJ826" s="150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24" t="s">
        <v>42</v>
      </c>
      <c r="D827" s="1525"/>
      <c r="E827" s="1525"/>
      <c r="F827" s="1525"/>
      <c r="G827" s="1525"/>
      <c r="H827" s="1525"/>
      <c r="I827" s="60"/>
      <c r="J827" s="60"/>
      <c r="K827" s="60"/>
      <c r="L827" s="61"/>
      <c r="M827" s="1600"/>
      <c r="N827" s="1600"/>
      <c r="O827" s="1600"/>
      <c r="P827" s="1600"/>
      <c r="Q827" s="1600"/>
      <c r="R827" s="1600"/>
      <c r="S827" s="1600"/>
      <c r="T827" s="1600"/>
      <c r="U827" s="1600"/>
      <c r="V827" s="1600"/>
      <c r="W827" s="1600"/>
      <c r="X827" s="1600"/>
      <c r="Y827" s="1600"/>
      <c r="Z827" s="1600"/>
      <c r="AA827" s="1600"/>
      <c r="AB827" s="1600"/>
      <c r="AC827" s="1502"/>
      <c r="AD827" s="1503"/>
      <c r="AE827" s="1503"/>
      <c r="AF827" s="1504"/>
      <c r="AG827" s="1502"/>
      <c r="AH827" s="1503"/>
      <c r="AI827" s="1503"/>
      <c r="AJ827" s="150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24" t="s">
        <v>762</v>
      </c>
      <c r="D828" s="1525"/>
      <c r="E828" s="1525"/>
      <c r="F828" s="1525"/>
      <c r="G828" s="1525"/>
      <c r="H828" s="1525"/>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502"/>
      <c r="AD828" s="1503"/>
      <c r="AE828" s="1503"/>
      <c r="AF828" s="1504"/>
      <c r="AG828" s="1502"/>
      <c r="AH828" s="1503"/>
      <c r="AI828" s="1503"/>
      <c r="AJ828" s="150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24" t="s">
        <v>459</v>
      </c>
      <c r="D829" s="1525"/>
      <c r="E829" s="1525"/>
      <c r="F829" s="1525"/>
      <c r="G829" s="1525"/>
      <c r="H829" s="1525"/>
      <c r="I829" s="60"/>
      <c r="J829" s="60"/>
      <c r="K829" s="60"/>
      <c r="L829" s="61"/>
      <c r="M829" s="1600"/>
      <c r="N829" s="1600"/>
      <c r="O829" s="1600"/>
      <c r="P829" s="1600"/>
      <c r="Q829" s="1623">
        <v>22</v>
      </c>
      <c r="R829" s="1600"/>
      <c r="S829" s="1600"/>
      <c r="T829" s="1600"/>
      <c r="U829" s="1600">
        <v>28</v>
      </c>
      <c r="V829" s="1600"/>
      <c r="W829" s="1600"/>
      <c r="X829" s="1600"/>
      <c r="Y829" s="1600">
        <v>35</v>
      </c>
      <c r="Z829" s="1600"/>
      <c r="AA829" s="1600"/>
      <c r="AB829" s="1600"/>
      <c r="AC829" s="1502"/>
      <c r="AD829" s="1503"/>
      <c r="AE829" s="1503"/>
      <c r="AF829" s="1504"/>
      <c r="AG829" s="1502"/>
      <c r="AH829" s="1503"/>
      <c r="AI829" s="1503"/>
      <c r="AJ829" s="150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783</v>
      </c>
      <c r="D830" s="1525"/>
      <c r="E830" s="1525"/>
      <c r="F830" s="1525"/>
      <c r="G830" s="1525"/>
      <c r="H830" s="1525"/>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502"/>
      <c r="AD830" s="1503"/>
      <c r="AE830" s="1503"/>
      <c r="AF830" s="1504"/>
      <c r="AG830" s="1502"/>
      <c r="AH830" s="1503"/>
      <c r="AI830" s="1503"/>
      <c r="AJ830" s="150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6" t="s">
        <v>333</v>
      </c>
      <c r="G831" s="1647"/>
      <c r="H831" s="1647"/>
      <c r="I831" s="1647"/>
      <c r="J831" s="1647"/>
      <c r="K831" s="1647"/>
      <c r="L831" s="1647"/>
      <c r="M831" s="1600"/>
      <c r="N831" s="1600"/>
      <c r="O831" s="1600"/>
      <c r="P831" s="1600"/>
      <c r="Q831" s="1600"/>
      <c r="R831" s="1600"/>
      <c r="S831" s="1600"/>
      <c r="T831" s="1600"/>
      <c r="U831" s="1600"/>
      <c r="V831" s="1600"/>
      <c r="W831" s="1600"/>
      <c r="X831" s="1600"/>
      <c r="Y831" s="1600"/>
      <c r="Z831" s="1600"/>
      <c r="AA831" s="1600"/>
      <c r="AB831" s="1600"/>
      <c r="AC831" s="1502"/>
      <c r="AD831" s="1503"/>
      <c r="AE831" s="1503"/>
      <c r="AF831" s="1504"/>
      <c r="AG831" s="1502"/>
      <c r="AH831" s="1503"/>
      <c r="AI831" s="1503"/>
      <c r="AJ831" s="150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601" t="s">
        <v>124</v>
      </c>
      <c r="D832" s="1602"/>
      <c r="E832" s="1602"/>
      <c r="F832" s="1602"/>
      <c r="G832" s="1602"/>
      <c r="H832" s="1602"/>
      <c r="I832" s="1602"/>
      <c r="J832" s="1602"/>
      <c r="K832" s="1602"/>
      <c r="L832" s="1603"/>
      <c r="M832" s="1653">
        <f>SUM(M825:P831)</f>
        <v>0</v>
      </c>
      <c r="N832" s="1653"/>
      <c r="O832" s="1653"/>
      <c r="P832" s="1653"/>
      <c r="Q832" s="1653">
        <f>SUM(Q825:T831)</f>
        <v>30</v>
      </c>
      <c r="R832" s="1653"/>
      <c r="S832" s="1653"/>
      <c r="T832" s="1653"/>
      <c r="U832" s="1653">
        <f>SUM(U825:X831)</f>
        <v>39</v>
      </c>
      <c r="V832" s="1653"/>
      <c r="W832" s="1653"/>
      <c r="X832" s="1653"/>
      <c r="Y832" s="1653">
        <f>SUM(Y825:AB831)</f>
        <v>48</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9" t="s">
        <v>2714</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2">
        <v>30000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2">
        <v>15000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2">
        <v>15000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2">
        <v>35000</v>
      </c>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5" customHeight="1">
      <c r="J846" s="45" t="s">
        <v>169</v>
      </c>
      <c r="K846" s="5"/>
      <c r="L846" s="5"/>
      <c r="M846" s="1646" t="s">
        <v>333</v>
      </c>
      <c r="N846" s="1647"/>
      <c r="O846" s="1647"/>
      <c r="P846" s="1647"/>
      <c r="Q846" s="1647"/>
      <c r="R846" s="1647"/>
      <c r="S846" s="1647"/>
      <c r="T846" s="1647"/>
      <c r="U846" s="1647"/>
      <c r="V846" s="1648"/>
      <c r="W846" s="1642"/>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58">
        <f>SUM(W842:W846)</f>
        <v>95000</v>
      </c>
      <c r="X847" s="1459"/>
      <c r="Y847" s="1459"/>
      <c r="Z847" s="1459"/>
      <c r="AA847" s="1459"/>
      <c r="AB847" s="1459"/>
      <c r="AC847" s="1460"/>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8"/>
      <c r="BH848" s="1638"/>
      <c r="BI848" s="1638"/>
      <c r="BJ848" s="1638"/>
      <c r="BK848" s="1638"/>
      <c r="BL848" s="1638"/>
    </row>
    <row r="849" spans="3:55" ht="12.95" customHeight="1">
      <c r="C849" s="2" t="s">
        <v>343</v>
      </c>
      <c r="J849" s="1601" t="s">
        <v>344</v>
      </c>
      <c r="K849" s="1602"/>
      <c r="L849" s="1602"/>
      <c r="M849" s="1602"/>
      <c r="N849" s="1602"/>
      <c r="O849" s="1602"/>
      <c r="P849" s="1602"/>
      <c r="Q849" s="1602"/>
      <c r="R849" s="1602"/>
      <c r="S849" s="1602"/>
      <c r="T849" s="1602"/>
      <c r="U849" s="1602"/>
      <c r="V849" s="1603"/>
      <c r="W849" s="1461">
        <f>75*318*12</f>
        <v>286200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2.95" customHeight="1">
      <c r="J852" s="45" t="s">
        <v>350</v>
      </c>
      <c r="K852" s="5"/>
      <c r="L852" s="5"/>
      <c r="M852" s="5"/>
      <c r="N852" s="5"/>
      <c r="O852" s="5"/>
      <c r="P852" s="5"/>
      <c r="Q852" s="5"/>
      <c r="R852" s="5"/>
      <c r="S852" s="5"/>
      <c r="T852" s="5"/>
      <c r="U852" s="5"/>
      <c r="V852" s="46"/>
      <c r="W852" s="1657"/>
      <c r="X852" s="1657"/>
      <c r="Y852" s="1657"/>
      <c r="Z852" s="1657"/>
      <c r="AA852" s="1657"/>
      <c r="AB852" s="1657"/>
      <c r="AC852" s="1657"/>
      <c r="AZ852" s="30"/>
      <c r="BA852" s="30"/>
      <c r="BB852" s="14"/>
      <c r="BC852" s="14"/>
    </row>
    <row r="853" spans="3:55" ht="12.95" customHeight="1">
      <c r="J853" s="45" t="s">
        <v>459</v>
      </c>
      <c r="K853" s="5"/>
      <c r="L853" s="5"/>
      <c r="M853" s="5"/>
      <c r="N853" s="5"/>
      <c r="O853" s="5"/>
      <c r="P853" s="5"/>
      <c r="Q853" s="5"/>
      <c r="R853" s="5"/>
      <c r="S853" s="5"/>
      <c r="T853" s="5"/>
      <c r="U853" s="5"/>
      <c r="V853" s="46"/>
      <c r="W853" s="1657">
        <f>800*319</f>
        <v>255200</v>
      </c>
      <c r="X853" s="1657"/>
      <c r="Y853" s="1657"/>
      <c r="Z853" s="1657"/>
      <c r="AA853" s="1657"/>
      <c r="AB853" s="1657"/>
      <c r="AC853" s="1657"/>
      <c r="AZ853" s="30"/>
      <c r="BA853" s="30"/>
      <c r="BB853" s="14"/>
      <c r="BC853" s="14"/>
    </row>
    <row r="854" spans="3:55" ht="12.95" customHeight="1">
      <c r="J854" s="62" t="s">
        <v>620</v>
      </c>
      <c r="K854" s="5"/>
      <c r="L854" s="5"/>
      <c r="M854" s="5"/>
      <c r="N854" s="5"/>
      <c r="O854" s="5"/>
      <c r="P854" s="5"/>
      <c r="Q854" s="5"/>
      <c r="R854" s="5"/>
      <c r="S854" s="5"/>
      <c r="T854" s="5"/>
      <c r="U854" s="5"/>
      <c r="V854" s="46"/>
      <c r="W854" s="1657">
        <v>122500</v>
      </c>
      <c r="X854" s="1657"/>
      <c r="Y854" s="1657"/>
      <c r="Z854" s="1657"/>
      <c r="AA854" s="1657"/>
      <c r="AB854" s="1657"/>
      <c r="AC854" s="1657"/>
      <c r="AZ854" s="34"/>
      <c r="BA854" s="34"/>
      <c r="BB854" s="34"/>
      <c r="BC854" s="34"/>
    </row>
    <row r="855" spans="3:55" ht="12.95" customHeight="1">
      <c r="J855" s="63"/>
      <c r="K855" s="48"/>
      <c r="L855" s="48"/>
      <c r="M855" s="48"/>
      <c r="N855" s="48"/>
      <c r="O855" s="48"/>
      <c r="P855" s="48"/>
      <c r="Q855" s="48"/>
      <c r="R855" s="48"/>
      <c r="S855" s="48"/>
      <c r="T855" s="48"/>
      <c r="U855" s="48"/>
      <c r="V855" s="54" t="s">
        <v>271</v>
      </c>
      <c r="W855" s="1658">
        <f>SUM(W851:W854)</f>
        <v>377700</v>
      </c>
      <c r="X855" s="1658"/>
      <c r="Y855" s="1658"/>
      <c r="Z855" s="1658"/>
      <c r="AA855" s="1658"/>
      <c r="AB855" s="1658"/>
      <c r="AC855" s="1658"/>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54">
        <v>264000</v>
      </c>
      <c r="X857" s="1655"/>
      <c r="Y857" s="1655"/>
      <c r="Z857" s="1655"/>
      <c r="AA857" s="1655"/>
      <c r="AB857" s="1655"/>
      <c r="AC857" s="1656"/>
      <c r="AD857" s="528"/>
      <c r="AZ857" s="34"/>
      <c r="BA857" s="34"/>
      <c r="BB857" s="34"/>
      <c r="BC857" s="34"/>
    </row>
    <row r="858" spans="3:55" ht="12.95" customHeight="1">
      <c r="C858" s="2" t="s">
        <v>346</v>
      </c>
      <c r="J858" s="121" t="s">
        <v>1655</v>
      </c>
      <c r="K858" s="5"/>
      <c r="L858" s="5"/>
      <c r="M858" s="5"/>
      <c r="N858" s="5"/>
      <c r="O858" s="5"/>
      <c r="P858" s="5"/>
      <c r="Q858" s="5"/>
      <c r="R858" s="5"/>
      <c r="S858" s="5"/>
      <c r="T858" s="1640">
        <v>3</v>
      </c>
      <c r="U858" s="1595"/>
      <c r="V858" s="164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4">
        <v>130000</v>
      </c>
      <c r="X859" s="1655"/>
      <c r="Y859" s="1655"/>
      <c r="Z859" s="1655"/>
      <c r="AA859" s="1655"/>
      <c r="AB859" s="1655"/>
      <c r="AC859" s="1656"/>
      <c r="AD859" s="533"/>
      <c r="AZ859" s="34"/>
      <c r="BA859" s="34"/>
      <c r="BB859" s="34"/>
      <c r="BC859" s="34"/>
    </row>
    <row r="860" spans="3:55" ht="12.95" customHeight="1">
      <c r="C860" s="2"/>
      <c r="J860" s="121" t="s">
        <v>1656</v>
      </c>
      <c r="K860" s="5"/>
      <c r="L860" s="5"/>
      <c r="M860" s="5"/>
      <c r="N860" s="5"/>
      <c r="O860" s="5"/>
      <c r="P860" s="5"/>
      <c r="Q860" s="5"/>
      <c r="R860" s="5"/>
      <c r="S860" s="5"/>
      <c r="T860" s="1640">
        <v>2</v>
      </c>
      <c r="U860" s="1595"/>
      <c r="V860" s="1641"/>
      <c r="W860" s="874"/>
      <c r="X860" s="875"/>
      <c r="Y860" s="875"/>
      <c r="Z860" s="875"/>
      <c r="AA860" s="875"/>
      <c r="AB860" s="875"/>
      <c r="AC860" s="876"/>
      <c r="AD860" s="533"/>
      <c r="AZ860" s="34"/>
      <c r="BA860" s="34"/>
      <c r="BB860" s="34"/>
      <c r="BC860" s="34"/>
    </row>
    <row r="861" spans="3:55" ht="12.95" customHeight="1">
      <c r="J861" s="45" t="s">
        <v>169</v>
      </c>
      <c r="K861" s="5"/>
      <c r="L861" s="5"/>
      <c r="M861" s="1646" t="s">
        <v>2715</v>
      </c>
      <c r="N861" s="1647"/>
      <c r="O861" s="1647"/>
      <c r="P861" s="1647"/>
      <c r="Q861" s="1647"/>
      <c r="R861" s="1647"/>
      <c r="S861" s="1647"/>
      <c r="T861" s="1647"/>
      <c r="U861" s="1647"/>
      <c r="V861" s="1648"/>
      <c r="W861" s="1654">
        <f>(W859+W857)*0.33</f>
        <v>130020</v>
      </c>
      <c r="X861" s="1655"/>
      <c r="Y861" s="1655"/>
      <c r="Z861" s="1655"/>
      <c r="AA861" s="1655"/>
      <c r="AB861" s="1655"/>
      <c r="AC861" s="1656"/>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3">
        <f>SUM(W857:W861)</f>
        <v>524020</v>
      </c>
      <c r="X862" s="1644"/>
      <c r="Y862" s="1644"/>
      <c r="Z862" s="1644"/>
      <c r="AA862" s="1644"/>
      <c r="AB862" s="1644"/>
      <c r="AC862" s="1645"/>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4">
        <v>140000</v>
      </c>
      <c r="X863" s="1655"/>
      <c r="Y863" s="1655"/>
      <c r="Z863" s="1655"/>
      <c r="AA863" s="1655"/>
      <c r="AB863" s="1655"/>
      <c r="AC863" s="1656"/>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42">
        <v>25000</v>
      </c>
      <c r="X865" s="1642"/>
      <c r="Y865" s="1642"/>
      <c r="Z865" s="1642"/>
      <c r="AA865" s="1642"/>
      <c r="AB865" s="1642"/>
      <c r="AC865" s="1642"/>
      <c r="AU865" s="14"/>
      <c r="AZ865" s="34"/>
      <c r="BA865" s="34"/>
      <c r="BB865" s="34"/>
      <c r="BC865" s="34"/>
    </row>
    <row r="866" spans="3:55" ht="12.95" customHeight="1">
      <c r="J866" s="45" t="s">
        <v>522</v>
      </c>
      <c r="K866" s="5"/>
      <c r="L866" s="5"/>
      <c r="M866" s="5"/>
      <c r="N866" s="5"/>
      <c r="O866" s="5"/>
      <c r="P866" s="5"/>
      <c r="Q866" s="5"/>
      <c r="R866" s="5"/>
      <c r="S866" s="5"/>
      <c r="T866" s="5"/>
      <c r="U866" s="5"/>
      <c r="V866" s="46"/>
      <c r="W866" s="1642">
        <v>145000</v>
      </c>
      <c r="X866" s="1642"/>
      <c r="Y866" s="1642"/>
      <c r="Z866" s="1642"/>
      <c r="AA866" s="1642"/>
      <c r="AB866" s="1642"/>
      <c r="AC866" s="1642"/>
      <c r="AU866" s="4"/>
      <c r="AZ866" s="34"/>
      <c r="BA866" s="34"/>
      <c r="BB866" s="34"/>
      <c r="BC866" s="34"/>
    </row>
    <row r="867" spans="3:55" ht="12.95" customHeight="1">
      <c r="J867" s="45" t="s">
        <v>521</v>
      </c>
      <c r="K867" s="5"/>
      <c r="L867" s="5"/>
      <c r="M867" s="5"/>
      <c r="N867" s="5"/>
      <c r="O867" s="5"/>
      <c r="P867" s="5"/>
      <c r="Q867" s="5"/>
      <c r="R867" s="5"/>
      <c r="S867" s="5"/>
      <c r="T867" s="5"/>
      <c r="U867" s="5"/>
      <c r="V867" s="46"/>
      <c r="W867" s="1642">
        <v>35000</v>
      </c>
      <c r="X867" s="1642"/>
      <c r="Y867" s="1642"/>
      <c r="Z867" s="1642"/>
      <c r="AA867" s="1642"/>
      <c r="AB867" s="1642"/>
      <c r="AC867" s="1642"/>
      <c r="AU867" s="4"/>
      <c r="AZ867" s="34"/>
      <c r="BA867" s="34"/>
      <c r="BB867" s="34"/>
      <c r="BC867" s="34"/>
    </row>
    <row r="868" spans="3:55" ht="12.95" customHeight="1">
      <c r="J868" s="45" t="s">
        <v>520</v>
      </c>
      <c r="K868" s="5"/>
      <c r="L868" s="5"/>
      <c r="M868" s="5"/>
      <c r="N868" s="5"/>
      <c r="O868" s="5"/>
      <c r="P868" s="5"/>
      <c r="Q868" s="5"/>
      <c r="R868" s="5"/>
      <c r="S868" s="5"/>
      <c r="T868" s="5"/>
      <c r="U868" s="5"/>
      <c r="V868" s="46"/>
      <c r="W868" s="1642">
        <v>15000</v>
      </c>
      <c r="X868" s="1642"/>
      <c r="Y868" s="1642"/>
      <c r="Z868" s="1642"/>
      <c r="AA868" s="1642"/>
      <c r="AB868" s="1642"/>
      <c r="AC868" s="1642"/>
      <c r="AU868" s="4"/>
      <c r="AZ868" s="34"/>
      <c r="BA868" s="34"/>
      <c r="BB868" s="34"/>
      <c r="BC868" s="34"/>
    </row>
    <row r="869" spans="3:55" ht="12.95" customHeight="1">
      <c r="J869" s="45" t="s">
        <v>519</v>
      </c>
      <c r="K869" s="5"/>
      <c r="L869" s="5"/>
      <c r="M869" s="5"/>
      <c r="N869" s="5"/>
      <c r="O869" s="5"/>
      <c r="P869" s="5"/>
      <c r="Q869" s="5"/>
      <c r="R869" s="5"/>
      <c r="S869" s="5"/>
      <c r="T869" s="5"/>
      <c r="U869" s="5"/>
      <c r="V869" s="46"/>
      <c r="W869" s="1642">
        <v>7500</v>
      </c>
      <c r="X869" s="1642"/>
      <c r="Y869" s="1642"/>
      <c r="Z869" s="1642"/>
      <c r="AA869" s="1642"/>
      <c r="AB869" s="1642"/>
      <c r="AC869" s="1642"/>
      <c r="AU869" s="4"/>
      <c r="AZ869" s="34"/>
      <c r="BA869" s="34"/>
      <c r="BB869" s="34"/>
      <c r="BC869" s="34"/>
    </row>
    <row r="870" spans="3:55" ht="12.95" customHeight="1">
      <c r="J870" s="45" t="s">
        <v>518</v>
      </c>
      <c r="K870" s="5"/>
      <c r="L870" s="5"/>
      <c r="M870" s="5"/>
      <c r="N870" s="5"/>
      <c r="O870" s="5"/>
      <c r="P870" s="5"/>
      <c r="Q870" s="5"/>
      <c r="R870" s="5"/>
      <c r="S870" s="5"/>
      <c r="T870" s="5"/>
      <c r="U870" s="5"/>
      <c r="V870" s="46"/>
      <c r="W870" s="1642">
        <v>15216</v>
      </c>
      <c r="X870" s="1642"/>
      <c r="Y870" s="1642"/>
      <c r="Z870" s="1642"/>
      <c r="AA870" s="1642"/>
      <c r="AB870" s="1642"/>
      <c r="AC870" s="1642"/>
      <c r="AU870" s="4"/>
      <c r="AZ870" s="34"/>
      <c r="BA870" s="34"/>
      <c r="BB870" s="34"/>
      <c r="BC870" s="34"/>
    </row>
    <row r="871" spans="3:55" ht="12.95" customHeight="1">
      <c r="J871" s="45" t="s">
        <v>169</v>
      </c>
      <c r="K871" s="5"/>
      <c r="L871" s="5"/>
      <c r="M871" s="1646" t="s">
        <v>333</v>
      </c>
      <c r="N871" s="1647"/>
      <c r="O871" s="1647"/>
      <c r="P871" s="1647"/>
      <c r="Q871" s="1647"/>
      <c r="R871" s="1647"/>
      <c r="S871" s="1647"/>
      <c r="T871" s="1647"/>
      <c r="U871" s="1647"/>
      <c r="V871" s="1648"/>
      <c r="W871" s="1642"/>
      <c r="X871" s="1642"/>
      <c r="Y871" s="1642"/>
      <c r="Z871" s="1642"/>
      <c r="AA871" s="1642"/>
      <c r="AB871" s="1642"/>
      <c r="AC871" s="164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4">
        <f>SUM(W865:W871)</f>
        <v>242716</v>
      </c>
      <c r="X872" s="1604"/>
      <c r="Y872" s="1604"/>
      <c r="Z872" s="1604"/>
      <c r="AA872" s="1604"/>
      <c r="AB872" s="1604"/>
      <c r="AC872" s="16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46" t="s">
        <v>333</v>
      </c>
      <c r="N874" s="1647"/>
      <c r="O874" s="1647"/>
      <c r="P874" s="1647"/>
      <c r="Q874" s="1647"/>
      <c r="R874" s="1647"/>
      <c r="S874" s="1647"/>
      <c r="T874" s="1647"/>
      <c r="U874" s="1647"/>
      <c r="V874" s="1648"/>
      <c r="W874" s="1461"/>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169</v>
      </c>
      <c r="K875" s="5"/>
      <c r="L875" s="5"/>
      <c r="M875" s="1646" t="s">
        <v>333</v>
      </c>
      <c r="N875" s="1647"/>
      <c r="O875" s="1647"/>
      <c r="P875" s="1647"/>
      <c r="Q875" s="1647"/>
      <c r="R875" s="1647"/>
      <c r="S875" s="1647"/>
      <c r="T875" s="1647"/>
      <c r="U875" s="1647"/>
      <c r="V875" s="1648"/>
      <c r="W875" s="1461"/>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46" t="s">
        <v>333</v>
      </c>
      <c r="N876" s="1647"/>
      <c r="O876" s="1647"/>
      <c r="P876" s="1647"/>
      <c r="Q876" s="1647"/>
      <c r="R876" s="1647"/>
      <c r="S876" s="1647"/>
      <c r="T876" s="1647"/>
      <c r="U876" s="1647"/>
      <c r="V876" s="1648"/>
      <c r="W876" s="1461"/>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6" t="s">
        <v>333</v>
      </c>
      <c r="N877" s="1647"/>
      <c r="O877" s="1647"/>
      <c r="P877" s="1647"/>
      <c r="Q877" s="1647"/>
      <c r="R877" s="1647"/>
      <c r="S877" s="1647"/>
      <c r="T877" s="1647"/>
      <c r="U877" s="1647"/>
      <c r="V877" s="1648"/>
      <c r="W877" s="1461"/>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6" t="s">
        <v>333</v>
      </c>
      <c r="N878" s="1647"/>
      <c r="O878" s="1647"/>
      <c r="P878" s="1647"/>
      <c r="Q878" s="1647"/>
      <c r="R878" s="1647"/>
      <c r="S878" s="1647"/>
      <c r="T878" s="1647"/>
      <c r="U878" s="1647"/>
      <c r="V878" s="1648"/>
      <c r="W878" s="1461"/>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58">
        <f>SUM(W874:W878)</f>
        <v>0</v>
      </c>
      <c r="X879" s="1459"/>
      <c r="Y879" s="1459"/>
      <c r="Z879" s="1459"/>
      <c r="AA879" s="1459"/>
      <c r="AB879" s="1459"/>
      <c r="AC879" s="1460"/>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59">
        <f>W847+W855+W862+W863+W872+W879+W849</f>
        <v>1665636</v>
      </c>
      <c r="AD883" s="1459"/>
      <c r="AE883" s="1459"/>
      <c r="AF883" s="1459"/>
      <c r="AG883" s="1459"/>
      <c r="AH883" s="1460"/>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9">
        <f>O797+O777+G753</f>
        <v>316</v>
      </c>
      <c r="AD884" s="1649"/>
      <c r="AE884" s="1649"/>
      <c r="AF884" s="1649"/>
      <c r="AG884" s="1649"/>
      <c r="AH884" s="1650"/>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4">
        <f>IF(ISERROR((ROUNDDOWN(AC883/AC884,0))),0,(ROUNDDOWN(AC883/AC884,0)))</f>
        <v>5271</v>
      </c>
      <c r="AD885" s="1604"/>
      <c r="AE885" s="1604"/>
      <c r="AF885" s="1604"/>
      <c r="AG885" s="1604"/>
      <c r="AH885" s="16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1">
        <v>1500000</v>
      </c>
      <c r="AD886" s="1652"/>
      <c r="AE886" s="1652"/>
      <c r="AF886" s="1652"/>
      <c r="AG886" s="1652"/>
      <c r="AH886" s="165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2"/>
      <c r="AE887" s="1642"/>
      <c r="AF887" s="1642"/>
      <c r="AG887" s="1642"/>
      <c r="AH887" s="164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31080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316*250</f>
        <v>79000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02"/>
      <c r="AD890" s="1503"/>
      <c r="AE890" s="1503"/>
      <c r="AF890" s="1503"/>
      <c r="AG890" s="1503"/>
      <c r="AH890" s="150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14600</v>
      </c>
      <c r="AD891" s="1338"/>
      <c r="AE891" s="1338"/>
      <c r="AF891" s="1338"/>
      <c r="AG891" s="1338"/>
      <c r="AH891" s="1339"/>
      <c r="AZ891" s="34"/>
      <c r="BA891" s="34"/>
      <c r="BB891" s="34"/>
      <c r="BC891" s="34"/>
    </row>
    <row r="892" spans="3:55" ht="12.95" hidden="1" customHeight="1">
      <c r="C892" s="1601" t="s">
        <v>2232</v>
      </c>
      <c r="D892" s="1602"/>
      <c r="E892" s="1602"/>
      <c r="F892" s="1602"/>
      <c r="G892" s="1602"/>
      <c r="H892" s="1602"/>
      <c r="I892" s="1602"/>
      <c r="J892" s="1602"/>
      <c r="K892" s="1602"/>
      <c r="L892" s="1602"/>
      <c r="M892" s="1602"/>
      <c r="N892" s="1602"/>
      <c r="O892" s="1602"/>
      <c r="P892" s="1602"/>
      <c r="Q892" s="1602"/>
      <c r="R892" s="1602"/>
      <c r="S892" s="1602"/>
      <c r="T892" s="1602"/>
      <c r="U892" s="1602"/>
      <c r="V892" s="1602"/>
      <c r="W892" s="1602"/>
      <c r="X892" s="1602"/>
      <c r="Y892" s="1602"/>
      <c r="Z892" s="1602"/>
      <c r="AA892" s="1602"/>
      <c r="AB892" s="1603"/>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9" t="s">
        <v>956</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2"/>
      <c r="AD894" s="1642"/>
      <c r="AE894" s="1642"/>
      <c r="AF894" s="1642"/>
      <c r="AG894" s="1642"/>
      <c r="AH894" s="1642"/>
      <c r="AZ894" s="34"/>
      <c r="BA894" s="34"/>
      <c r="BB894" s="34"/>
      <c r="BC894" s="34"/>
    </row>
    <row r="895" spans="3:55" ht="12.95" customHeight="1">
      <c r="C895" s="1669" t="s">
        <v>956</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2"/>
      <c r="AD895" s="1642"/>
      <c r="AE895" s="1642"/>
      <c r="AF895" s="1642"/>
      <c r="AG895" s="1642"/>
      <c r="AH895" s="164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1"/>
      <c r="AA899" s="1338"/>
      <c r="AB899" s="1338"/>
      <c r="AC899" s="1338"/>
      <c r="AD899" s="1338"/>
      <c r="AE899" s="1339"/>
      <c r="AF899" s="533"/>
      <c r="AZ899" s="34"/>
      <c r="BB899" s="30"/>
      <c r="BC899" s="816"/>
      <c r="BD899" s="1639"/>
      <c r="BE899" s="1639"/>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1"/>
      <c r="AA900" s="1338"/>
      <c r="AB900" s="1338"/>
      <c r="AC900" s="1338"/>
      <c r="AD900" s="1338"/>
      <c r="AE900" s="1339"/>
      <c r="AZ900" s="34"/>
      <c r="BB900" s="30"/>
      <c r="BC900" s="816"/>
      <c r="BD900" s="1639"/>
      <c r="BE900" s="1639"/>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1"/>
      <c r="AA901" s="1338"/>
      <c r="AB901" s="1338"/>
      <c r="AC901" s="1338"/>
      <c r="AD901" s="1338"/>
      <c r="AE901" s="1339"/>
      <c r="AZ901" s="34"/>
      <c r="BB901" s="30"/>
      <c r="BC901" s="816"/>
      <c r="BD901" s="1638"/>
      <c r="BE901" s="1638"/>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58">
        <f>Z899-(Z900+Z901)</f>
        <v>0</v>
      </c>
      <c r="AA902" s="1459"/>
      <c r="AB902" s="1459"/>
      <c r="AC902" s="1459"/>
      <c r="AD902" s="1459"/>
      <c r="AE902" s="1460"/>
      <c r="AZ902" s="34"/>
      <c r="BB902" s="30"/>
      <c r="BC902" s="816"/>
      <c r="BD902" s="1638"/>
      <c r="BE902" s="163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5" customHeight="1">
      <c r="AZ909" s="34"/>
      <c r="BB909" s="30"/>
      <c r="BC909" s="816"/>
    </row>
    <row r="910" spans="1:58" ht="12.9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39"/>
      <c r="BE910" s="1638"/>
      <c r="BF910" s="911"/>
    </row>
    <row r="911" spans="1:58" ht="12.9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792</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818</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42" t="s">
        <v>390</v>
      </c>
      <c r="AC917" s="1442"/>
      <c r="AD917" s="1442"/>
      <c r="AE917" s="1442"/>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32" t="s">
        <v>545</v>
      </c>
      <c r="V918" s="1413"/>
      <c r="W918" s="1413"/>
      <c r="X918" s="1413"/>
      <c r="Y918" s="1413"/>
      <c r="Z918" s="1414"/>
      <c r="AA918" s="1636">
        <v>40500000</v>
      </c>
      <c r="AB918" s="1533"/>
      <c r="AC918" s="1533"/>
      <c r="AD918" s="1533"/>
      <c r="AE918" s="1533"/>
      <c r="AF918" s="1637"/>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32" t="s">
        <v>545</v>
      </c>
      <c r="V919" s="1413"/>
      <c r="W919" s="1413"/>
      <c r="X919" s="1413"/>
      <c r="Y919" s="1413"/>
      <c r="Z919" s="1414"/>
      <c r="AA919" s="1636">
        <v>66500000</v>
      </c>
      <c r="AB919" s="1533"/>
      <c r="AC919" s="1533"/>
      <c r="AD919" s="1533"/>
      <c r="AE919" s="1533"/>
      <c r="AF919" s="1637"/>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32" t="s">
        <v>591</v>
      </c>
      <c r="V920" s="1413"/>
      <c r="W920" s="1413"/>
      <c r="X920" s="1413"/>
      <c r="Y920" s="1413"/>
      <c r="Z920" s="1414"/>
      <c r="AA920" s="1636"/>
      <c r="AB920" s="1533"/>
      <c r="AC920" s="1533"/>
      <c r="AD920" s="1533"/>
      <c r="AE920" s="1533"/>
      <c r="AF920" s="1637"/>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32" t="s">
        <v>591</v>
      </c>
      <c r="V921" s="1413"/>
      <c r="W921" s="1413"/>
      <c r="X921" s="1413"/>
      <c r="Y921" s="1413"/>
      <c r="Z921" s="1414"/>
      <c r="AA921" s="1636"/>
      <c r="AB921" s="1533"/>
      <c r="AC921" s="1533"/>
      <c r="AD921" s="1533"/>
      <c r="AE921" s="1533"/>
      <c r="AF921" s="1637"/>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32" t="s">
        <v>591</v>
      </c>
      <c r="V922" s="1413"/>
      <c r="W922" s="1413"/>
      <c r="X922" s="1413"/>
      <c r="Y922" s="1413"/>
      <c r="Z922" s="1414"/>
      <c r="AA922" s="1636"/>
      <c r="AB922" s="1533"/>
      <c r="AC922" s="1533"/>
      <c r="AD922" s="1533"/>
      <c r="AE922" s="1533"/>
      <c r="AF922" s="1637"/>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32" t="s">
        <v>591</v>
      </c>
      <c r="V923" s="1413"/>
      <c r="W923" s="1413"/>
      <c r="X923" s="1413"/>
      <c r="Y923" s="1413"/>
      <c r="Z923" s="1414"/>
      <c r="AA923" s="1636"/>
      <c r="AB923" s="1533"/>
      <c r="AC923" s="1533"/>
      <c r="AD923" s="1533"/>
      <c r="AE923" s="1533"/>
      <c r="AF923" s="1637"/>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32" t="s">
        <v>591</v>
      </c>
      <c r="V924" s="1413"/>
      <c r="W924" s="1413"/>
      <c r="X924" s="1413"/>
      <c r="Y924" s="1413"/>
      <c r="Z924" s="1414"/>
      <c r="AA924" s="1636"/>
      <c r="AB924" s="1533"/>
      <c r="AC924" s="1533"/>
      <c r="AD924" s="1533"/>
      <c r="AE924" s="1533"/>
      <c r="AF924" s="1637"/>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32" t="s">
        <v>591</v>
      </c>
      <c r="V925" s="1413"/>
      <c r="W925" s="1413"/>
      <c r="X925" s="1413"/>
      <c r="Y925" s="1413"/>
      <c r="Z925" s="1414"/>
      <c r="AA925" s="1636"/>
      <c r="AB925" s="1533"/>
      <c r="AC925" s="1533"/>
      <c r="AD925" s="1533"/>
      <c r="AE925" s="1533"/>
      <c r="AF925" s="1637"/>
      <c r="AZ925" s="34"/>
      <c r="BA925" s="34"/>
      <c r="BB925" s="34"/>
      <c r="BC925" s="34"/>
    </row>
    <row r="926" spans="1:58" ht="12.95" customHeight="1">
      <c r="F926" s="1629" t="s">
        <v>2192</v>
      </c>
      <c r="G926" s="1630"/>
      <c r="H926" s="1630"/>
      <c r="I926" s="1630"/>
      <c r="J926" s="1630"/>
      <c r="K926" s="1630"/>
      <c r="L926" s="1630"/>
      <c r="M926" s="1630"/>
      <c r="N926" s="1630"/>
      <c r="O926" s="1630"/>
      <c r="P926" s="1630"/>
      <c r="Q926" s="1630"/>
      <c r="R926" s="1630"/>
      <c r="S926" s="1630"/>
      <c r="T926" s="1631"/>
      <c r="U926" s="1632" t="s">
        <v>591</v>
      </c>
      <c r="V926" s="1413"/>
      <c r="W926" s="1413"/>
      <c r="X926" s="1413"/>
      <c r="Y926" s="1413"/>
      <c r="Z926" s="1414"/>
      <c r="AA926" s="1636"/>
      <c r="AB926" s="1533"/>
      <c r="AC926" s="1533"/>
      <c r="AD926" s="1533"/>
      <c r="AE926" s="1533"/>
      <c r="AF926" s="1637"/>
      <c r="AZ926" s="34"/>
      <c r="BA926" s="34"/>
      <c r="BB926" s="34"/>
      <c r="BC926" s="34"/>
    </row>
    <row r="927" spans="1:58" ht="12.95" customHeight="1">
      <c r="F927" s="1629" t="s">
        <v>679</v>
      </c>
      <c r="G927" s="1630"/>
      <c r="H927" s="1630"/>
      <c r="I927" s="1630"/>
      <c r="J927" s="1630"/>
      <c r="K927" s="1630"/>
      <c r="L927" s="1630"/>
      <c r="M927" s="1630"/>
      <c r="N927" s="1630"/>
      <c r="O927" s="1630"/>
      <c r="P927" s="1630"/>
      <c r="Q927" s="1630"/>
      <c r="R927" s="1630"/>
      <c r="S927" s="1630"/>
      <c r="T927" s="1631"/>
      <c r="U927" s="1632" t="s">
        <v>591</v>
      </c>
      <c r="V927" s="1413"/>
      <c r="W927" s="1413"/>
      <c r="X927" s="1413"/>
      <c r="Y927" s="1413"/>
      <c r="Z927" s="1414"/>
      <c r="AA927" s="1636"/>
      <c r="AB927" s="1533"/>
      <c r="AC927" s="1533"/>
      <c r="AD927" s="1533"/>
      <c r="AE927" s="1533"/>
      <c r="AF927" s="1637"/>
      <c r="AU927" s="2"/>
      <c r="AZ927" s="34"/>
      <c r="BA927" s="34"/>
      <c r="BB927" s="34"/>
      <c r="BC927" s="34"/>
    </row>
    <row r="928" spans="1:58" ht="12.95" customHeight="1">
      <c r="F928" s="1629" t="s">
        <v>2193</v>
      </c>
      <c r="G928" s="1630"/>
      <c r="H928" s="1630"/>
      <c r="I928" s="1630"/>
      <c r="J928" s="1630"/>
      <c r="K928" s="1630"/>
      <c r="L928" s="1630"/>
      <c r="M928" s="1630"/>
      <c r="N928" s="1630"/>
      <c r="O928" s="1630"/>
      <c r="P928" s="1630"/>
      <c r="Q928" s="1630"/>
      <c r="R928" s="1630"/>
      <c r="S928" s="1630"/>
      <c r="T928" s="1631"/>
      <c r="U928" s="1632" t="s">
        <v>591</v>
      </c>
      <c r="V928" s="1413"/>
      <c r="W928" s="1413"/>
      <c r="X928" s="1413"/>
      <c r="Y928" s="1413"/>
      <c r="Z928" s="1414"/>
      <c r="AA928" s="1636"/>
      <c r="AB928" s="1533"/>
      <c r="AC928" s="1533"/>
      <c r="AD928" s="1533"/>
      <c r="AE928" s="1533"/>
      <c r="AF928" s="1637"/>
      <c r="AU928" s="2"/>
      <c r="AZ928" s="34"/>
      <c r="BA928" s="34"/>
      <c r="BB928" s="34"/>
      <c r="BC928" s="34"/>
    </row>
    <row r="929" spans="6:55" ht="12.95" customHeight="1">
      <c r="F929" s="1629" t="s">
        <v>2194</v>
      </c>
      <c r="G929" s="1630"/>
      <c r="H929" s="1630"/>
      <c r="I929" s="1630"/>
      <c r="J929" s="1630"/>
      <c r="K929" s="1630"/>
      <c r="L929" s="1630"/>
      <c r="M929" s="1630"/>
      <c r="N929" s="1630"/>
      <c r="O929" s="1630"/>
      <c r="P929" s="1630"/>
      <c r="Q929" s="1630"/>
      <c r="R929" s="1630"/>
      <c r="S929" s="1630"/>
      <c r="T929" s="1631"/>
      <c r="U929" s="1632" t="s">
        <v>591</v>
      </c>
      <c r="V929" s="1413"/>
      <c r="W929" s="1413"/>
      <c r="X929" s="1413"/>
      <c r="Y929" s="1413"/>
      <c r="Z929" s="1414"/>
      <c r="AA929" s="1636"/>
      <c r="AB929" s="1533"/>
      <c r="AC929" s="1533"/>
      <c r="AD929" s="1533"/>
      <c r="AE929" s="1533"/>
      <c r="AF929" s="1637"/>
      <c r="AU929" s="2"/>
      <c r="AZ929" s="34"/>
      <c r="BA929" s="34"/>
      <c r="BB929" s="34"/>
      <c r="BC929" s="34"/>
    </row>
    <row r="930" spans="6:55" ht="12.95" customHeight="1">
      <c r="F930" s="1629" t="s">
        <v>2195</v>
      </c>
      <c r="G930" s="1630"/>
      <c r="H930" s="1630"/>
      <c r="I930" s="1630"/>
      <c r="J930" s="1630"/>
      <c r="K930" s="1630"/>
      <c r="L930" s="1630"/>
      <c r="M930" s="1630"/>
      <c r="N930" s="1630"/>
      <c r="O930" s="1630"/>
      <c r="P930" s="1630"/>
      <c r="Q930" s="1630"/>
      <c r="R930" s="1630"/>
      <c r="S930" s="1630"/>
      <c r="T930" s="1631"/>
      <c r="U930" s="1632" t="s">
        <v>591</v>
      </c>
      <c r="V930" s="1413"/>
      <c r="W930" s="1413"/>
      <c r="X930" s="1413"/>
      <c r="Y930" s="1413"/>
      <c r="Z930" s="1414"/>
      <c r="AA930" s="1636"/>
      <c r="AB930" s="1533"/>
      <c r="AC930" s="1533"/>
      <c r="AD930" s="1533"/>
      <c r="AE930" s="1533"/>
      <c r="AF930" s="1637"/>
      <c r="AU930" s="2"/>
      <c r="AZ930" s="34"/>
      <c r="BA930" s="34"/>
      <c r="BB930" s="34"/>
      <c r="BC930" s="34"/>
    </row>
    <row r="931" spans="6:55" ht="12.95" customHeight="1">
      <c r="F931" s="1629" t="s">
        <v>2196</v>
      </c>
      <c r="G931" s="1630"/>
      <c r="H931" s="1630"/>
      <c r="I931" s="1630"/>
      <c r="J931" s="1630"/>
      <c r="K931" s="1630"/>
      <c r="L931" s="1630"/>
      <c r="M931" s="1630"/>
      <c r="N931" s="1630"/>
      <c r="O931" s="1630"/>
      <c r="P931" s="1630"/>
      <c r="Q931" s="1630"/>
      <c r="R931" s="1630"/>
      <c r="S931" s="1630"/>
      <c r="T931" s="1631"/>
      <c r="U931" s="1632" t="s">
        <v>591</v>
      </c>
      <c r="V931" s="1413"/>
      <c r="W931" s="1413"/>
      <c r="X931" s="1413"/>
      <c r="Y931" s="1413"/>
      <c r="Z931" s="1414"/>
      <c r="AA931" s="1636"/>
      <c r="AB931" s="1533"/>
      <c r="AC931" s="1533"/>
      <c r="AD931" s="1533"/>
      <c r="AE931" s="1533"/>
      <c r="AF931" s="1637"/>
      <c r="AU931" s="2"/>
      <c r="AZ931" s="34"/>
      <c r="BA931" s="34"/>
      <c r="BB931" s="34"/>
      <c r="BC931" s="34"/>
    </row>
    <row r="932" spans="6:55" ht="12.95" customHeight="1">
      <c r="F932" s="1629" t="s">
        <v>2197</v>
      </c>
      <c r="G932" s="1630"/>
      <c r="H932" s="1630"/>
      <c r="I932" s="1630"/>
      <c r="J932" s="1630"/>
      <c r="K932" s="1630"/>
      <c r="L932" s="1630"/>
      <c r="M932" s="1630"/>
      <c r="N932" s="1630"/>
      <c r="O932" s="1630"/>
      <c r="P932" s="1630"/>
      <c r="Q932" s="1630"/>
      <c r="R932" s="1630"/>
      <c r="S932" s="1630"/>
      <c r="T932" s="1631"/>
      <c r="U932" s="1632" t="s">
        <v>591</v>
      </c>
      <c r="V932" s="1413"/>
      <c r="W932" s="1413"/>
      <c r="X932" s="1413"/>
      <c r="Y932" s="1413"/>
      <c r="Z932" s="1414"/>
      <c r="AA932" s="1636"/>
      <c r="AB932" s="1533"/>
      <c r="AC932" s="1533"/>
      <c r="AD932" s="1533"/>
      <c r="AE932" s="1533"/>
      <c r="AF932" s="1637"/>
      <c r="AZ932" s="30"/>
      <c r="BA932" s="30"/>
    </row>
    <row r="933" spans="6:55" ht="12.95" customHeight="1">
      <c r="F933" s="178" t="s">
        <v>676</v>
      </c>
      <c r="G933" s="5"/>
      <c r="H933" s="5"/>
      <c r="I933" s="5"/>
      <c r="J933" s="5"/>
      <c r="K933" s="5"/>
      <c r="L933" s="5"/>
      <c r="M933" s="5"/>
      <c r="N933" s="5"/>
      <c r="O933" s="5"/>
      <c r="P933" s="5"/>
      <c r="Q933" s="5"/>
      <c r="R933" s="5"/>
      <c r="S933" s="5"/>
      <c r="T933" s="46"/>
      <c r="U933" s="1632" t="s">
        <v>591</v>
      </c>
      <c r="V933" s="1413"/>
      <c r="W933" s="1413"/>
      <c r="X933" s="1413"/>
      <c r="Y933" s="1413"/>
      <c r="Z933" s="1414"/>
      <c r="AA933" s="1636"/>
      <c r="AB933" s="1533"/>
      <c r="AC933" s="1533"/>
      <c r="AD933" s="1533"/>
      <c r="AE933" s="1533"/>
      <c r="AF933" s="1637"/>
    </row>
    <row r="934" spans="6:55" ht="12.95" customHeight="1">
      <c r="F934" s="121" t="s">
        <v>1277</v>
      </c>
      <c r="G934" s="5"/>
      <c r="H934" s="5"/>
      <c r="I934" s="5"/>
      <c r="J934" s="5"/>
      <c r="K934" s="5"/>
      <c r="L934" s="5"/>
      <c r="M934" s="5"/>
      <c r="N934" s="5"/>
      <c r="O934" s="5"/>
      <c r="P934" s="5"/>
      <c r="Q934" s="5"/>
      <c r="R934" s="5"/>
      <c r="S934" s="5"/>
      <c r="T934" s="46"/>
      <c r="U934" s="1632" t="s">
        <v>591</v>
      </c>
      <c r="V934" s="1413"/>
      <c r="W934" s="1413"/>
      <c r="X934" s="1413"/>
      <c r="Y934" s="1413"/>
      <c r="Z934" s="1414"/>
      <c r="AA934" s="1636"/>
      <c r="AB934" s="1533"/>
      <c r="AC934" s="1533"/>
      <c r="AD934" s="1533"/>
      <c r="AE934" s="1533"/>
      <c r="AF934" s="1637"/>
      <c r="AZ934" s="30"/>
      <c r="BA934" s="14"/>
    </row>
    <row r="935" spans="6:55" ht="12.95" customHeight="1">
      <c r="F935" s="66" t="s">
        <v>802</v>
      </c>
      <c r="G935" s="5"/>
      <c r="H935" s="5"/>
      <c r="I935" s="5"/>
      <c r="J935" s="5"/>
      <c r="K935" s="5"/>
      <c r="L935" s="5"/>
      <c r="M935" s="5"/>
      <c r="N935" s="5"/>
      <c r="O935" s="5"/>
      <c r="P935" s="5"/>
      <c r="Q935" s="5"/>
      <c r="R935" s="5"/>
      <c r="S935" s="5"/>
      <c r="T935" s="46"/>
      <c r="U935" s="1632" t="s">
        <v>591</v>
      </c>
      <c r="V935" s="1413"/>
      <c r="W935" s="1413"/>
      <c r="X935" s="1413"/>
      <c r="Y935" s="1413"/>
      <c r="Z935" s="1414"/>
      <c r="AA935" s="1636"/>
      <c r="AB935" s="1533"/>
      <c r="AC935" s="1533"/>
      <c r="AD935" s="1533"/>
      <c r="AE935" s="1533"/>
      <c r="AF935" s="1637"/>
      <c r="AZ935" s="30"/>
      <c r="BA935" s="14"/>
    </row>
    <row r="936" spans="6:55" ht="12.95" customHeight="1">
      <c r="F936" s="1633" t="s">
        <v>2201</v>
      </c>
      <c r="G936" s="1634"/>
      <c r="H936" s="1634"/>
      <c r="I936" s="1634"/>
      <c r="J936" s="1634"/>
      <c r="K936" s="1634"/>
      <c r="L936" s="1634"/>
      <c r="M936" s="1634"/>
      <c r="N936" s="1634"/>
      <c r="O936" s="1634"/>
      <c r="P936" s="1634"/>
      <c r="Q936" s="1634"/>
      <c r="R936" s="1634"/>
      <c r="S936" s="1634"/>
      <c r="T936" s="1635"/>
      <c r="U936" s="1632" t="s">
        <v>591</v>
      </c>
      <c r="V936" s="1413"/>
      <c r="W936" s="1413"/>
      <c r="X936" s="1413"/>
      <c r="Y936" s="1413"/>
      <c r="Z936" s="1414"/>
      <c r="AA936" s="1636"/>
      <c r="AB936" s="1533"/>
      <c r="AC936" s="1533"/>
      <c r="AD936" s="1533"/>
      <c r="AE936" s="1533"/>
      <c r="AF936" s="1637"/>
      <c r="AZ936" s="30"/>
      <c r="BA936" s="14"/>
    </row>
    <row r="937" spans="6:55" ht="12.95" customHeight="1">
      <c r="F937" s="1633" t="s">
        <v>2202</v>
      </c>
      <c r="G937" s="1634"/>
      <c r="H937" s="1634"/>
      <c r="I937" s="1634"/>
      <c r="J937" s="1634"/>
      <c r="K937" s="1634"/>
      <c r="L937" s="1634"/>
      <c r="M937" s="1634"/>
      <c r="N937" s="1634"/>
      <c r="O937" s="1634"/>
      <c r="P937" s="1634"/>
      <c r="Q937" s="1634"/>
      <c r="R937" s="1634"/>
      <c r="S937" s="1634"/>
      <c r="T937" s="1635"/>
      <c r="U937" s="1632" t="s">
        <v>591</v>
      </c>
      <c r="V937" s="1413"/>
      <c r="W937" s="1413"/>
      <c r="X937" s="1413"/>
      <c r="Y937" s="1413"/>
      <c r="Z937" s="1414"/>
      <c r="AA937" s="1636"/>
      <c r="AB937" s="1533"/>
      <c r="AC937" s="1533"/>
      <c r="AD937" s="1533"/>
      <c r="AE937" s="1533"/>
      <c r="AF937" s="1637"/>
      <c r="AZ937" s="30"/>
      <c r="BA937" s="30"/>
    </row>
    <row r="938" spans="6:55" ht="12.95" customHeight="1">
      <c r="F938" s="1629" t="s">
        <v>2198</v>
      </c>
      <c r="G938" s="1630"/>
      <c r="H938" s="1630"/>
      <c r="I938" s="1630"/>
      <c r="J938" s="1630"/>
      <c r="K938" s="1630"/>
      <c r="L938" s="1630"/>
      <c r="M938" s="1630"/>
      <c r="N938" s="1630"/>
      <c r="O938" s="1630"/>
      <c r="P938" s="1630"/>
      <c r="Q938" s="1630"/>
      <c r="R938" s="1630"/>
      <c r="S938" s="1630"/>
      <c r="T938" s="1631"/>
      <c r="U938" s="1632" t="s">
        <v>591</v>
      </c>
      <c r="V938" s="1413"/>
      <c r="W938" s="1413"/>
      <c r="X938" s="1413"/>
      <c r="Y938" s="1413"/>
      <c r="Z938" s="1414"/>
      <c r="AA938" s="1636"/>
      <c r="AB938" s="1533"/>
      <c r="AC938" s="1533"/>
      <c r="AD938" s="1533"/>
      <c r="AE938" s="1533"/>
      <c r="AF938" s="1637"/>
      <c r="AZ938" s="30"/>
      <c r="BA938" s="30"/>
    </row>
    <row r="939" spans="6:55" ht="12.95" customHeight="1">
      <c r="F939" s="1629" t="s">
        <v>2199</v>
      </c>
      <c r="G939" s="1630"/>
      <c r="H939" s="1630"/>
      <c r="I939" s="1630"/>
      <c r="J939" s="1630"/>
      <c r="K939" s="1630"/>
      <c r="L939" s="1630"/>
      <c r="M939" s="1630"/>
      <c r="N939" s="1630"/>
      <c r="O939" s="1630"/>
      <c r="P939" s="1630"/>
      <c r="Q939" s="1630"/>
      <c r="R939" s="1630"/>
      <c r="S939" s="1630"/>
      <c r="T939" s="1631"/>
      <c r="U939" s="1632" t="s">
        <v>591</v>
      </c>
      <c r="V939" s="1413"/>
      <c r="W939" s="1413"/>
      <c r="X939" s="1413"/>
      <c r="Y939" s="1413"/>
      <c r="Z939" s="1414"/>
      <c r="AA939" s="1636"/>
      <c r="AB939" s="1533"/>
      <c r="AC939" s="1533"/>
      <c r="AD939" s="1533"/>
      <c r="AE939" s="1533"/>
      <c r="AF939" s="1637"/>
      <c r="AZ939" s="30"/>
      <c r="BA939" s="30"/>
    </row>
    <row r="940" spans="6:55" ht="12.95" customHeight="1">
      <c r="F940" s="1629" t="s">
        <v>2200</v>
      </c>
      <c r="G940" s="1630"/>
      <c r="H940" s="1630"/>
      <c r="I940" s="1630"/>
      <c r="J940" s="1630"/>
      <c r="K940" s="1630"/>
      <c r="L940" s="1630"/>
      <c r="M940" s="1630"/>
      <c r="N940" s="1630"/>
      <c r="O940" s="1630"/>
      <c r="P940" s="1630"/>
      <c r="Q940" s="1630"/>
      <c r="R940" s="1630"/>
      <c r="S940" s="1630"/>
      <c r="T940" s="1631"/>
      <c r="U940" s="1632" t="s">
        <v>591</v>
      </c>
      <c r="V940" s="1413"/>
      <c r="W940" s="1413"/>
      <c r="X940" s="1413"/>
      <c r="Y940" s="1413"/>
      <c r="Z940" s="1414"/>
      <c r="AA940" s="1636"/>
      <c r="AB940" s="1533"/>
      <c r="AC940" s="1533"/>
      <c r="AD940" s="1533"/>
      <c r="AE940" s="1533"/>
      <c r="AF940" s="1637"/>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2" t="s">
        <v>591</v>
      </c>
      <c r="V941" s="1413"/>
      <c r="W941" s="1413"/>
      <c r="X941" s="1413"/>
      <c r="Y941" s="1413"/>
      <c r="Z941" s="1414"/>
      <c r="AA941" s="1636"/>
      <c r="AB941" s="1533"/>
      <c r="AC941" s="1533"/>
      <c r="AD941" s="1533"/>
      <c r="AE941" s="1533"/>
      <c r="AF941" s="1637"/>
      <c r="AZ941" s="34"/>
      <c r="BA941" s="34"/>
      <c r="BB941" s="14"/>
      <c r="BC941" s="14"/>
    </row>
    <row r="942" spans="6:55" ht="12.95" customHeight="1">
      <c r="F942" s="1633" t="s">
        <v>2203</v>
      </c>
      <c r="G942" s="1634"/>
      <c r="H942" s="1634"/>
      <c r="I942" s="1634"/>
      <c r="J942" s="1634"/>
      <c r="K942" s="1634"/>
      <c r="L942" s="1634"/>
      <c r="M942" s="1634"/>
      <c r="N942" s="1634"/>
      <c r="O942" s="1634"/>
      <c r="P942" s="1634"/>
      <c r="Q942" s="1634"/>
      <c r="R942" s="1634"/>
      <c r="S942" s="1634"/>
      <c r="T942" s="1635"/>
      <c r="U942" s="1632" t="s">
        <v>591</v>
      </c>
      <c r="V942" s="1413"/>
      <c r="W942" s="1413"/>
      <c r="X942" s="1413"/>
      <c r="Y942" s="1413"/>
      <c r="Z942" s="1414"/>
      <c r="AA942" s="1636"/>
      <c r="AB942" s="1533"/>
      <c r="AC942" s="1533"/>
      <c r="AD942" s="1533"/>
      <c r="AE942" s="1533"/>
      <c r="AF942" s="1637"/>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2" t="s">
        <v>591</v>
      </c>
      <c r="V943" s="1413"/>
      <c r="W943" s="1413"/>
      <c r="X943" s="1413"/>
      <c r="Y943" s="1413"/>
      <c r="Z943" s="1414"/>
      <c r="AA943" s="1636"/>
      <c r="AB943" s="1533"/>
      <c r="AC943" s="1533"/>
      <c r="AD943" s="1533"/>
      <c r="AE943" s="1533"/>
      <c r="AF943" s="1637"/>
      <c r="AZ943" s="34"/>
      <c r="BA943" s="34"/>
      <c r="BB943" s="34"/>
      <c r="BC943" s="34"/>
    </row>
    <row r="944" spans="6:55" ht="12.95" customHeight="1">
      <c r="F944" s="1633" t="s">
        <v>2204</v>
      </c>
      <c r="G944" s="1634"/>
      <c r="H944" s="1634"/>
      <c r="I944" s="1634"/>
      <c r="J944" s="1634"/>
      <c r="K944" s="1634"/>
      <c r="L944" s="1634"/>
      <c r="M944" s="1634"/>
      <c r="N944" s="1634"/>
      <c r="O944" s="1634"/>
      <c r="P944" s="1634"/>
      <c r="Q944" s="1634"/>
      <c r="R944" s="1634"/>
      <c r="S944" s="1634"/>
      <c r="T944" s="1635"/>
      <c r="U944" s="1632" t="s">
        <v>591</v>
      </c>
      <c r="V944" s="1413"/>
      <c r="W944" s="1413"/>
      <c r="X944" s="1413"/>
      <c r="Y944" s="1413"/>
      <c r="Z944" s="1414"/>
      <c r="AA944" s="1636"/>
      <c r="AB944" s="1533"/>
      <c r="AC944" s="1533"/>
      <c r="AD944" s="1533"/>
      <c r="AE944" s="1533"/>
      <c r="AF944" s="1637"/>
      <c r="AZ944" s="34"/>
      <c r="BA944" s="34"/>
      <c r="BB944" s="34"/>
      <c r="BC944" s="34"/>
    </row>
    <row r="945" spans="1:55" ht="12.95" customHeight="1">
      <c r="F945" s="45" t="s">
        <v>806</v>
      </c>
      <c r="G945" s="5"/>
      <c r="H945" s="5"/>
      <c r="I945" s="5"/>
      <c r="J945" s="5"/>
      <c r="K945" s="5"/>
      <c r="L945" s="5"/>
      <c r="M945" s="5"/>
      <c r="N945" s="5"/>
      <c r="O945" s="5"/>
      <c r="P945" s="1632" t="s">
        <v>669</v>
      </c>
      <c r="Q945" s="1413"/>
      <c r="R945" s="1413"/>
      <c r="S945" s="1413"/>
      <c r="T945" s="1414"/>
      <c r="U945" s="1632" t="s">
        <v>591</v>
      </c>
      <c r="V945" s="1413"/>
      <c r="W945" s="1413"/>
      <c r="X945" s="1413"/>
      <c r="Y945" s="1413"/>
      <c r="Z945" s="1414"/>
      <c r="AA945" s="1636"/>
      <c r="AB945" s="1533"/>
      <c r="AC945" s="1533"/>
      <c r="AD945" s="1533"/>
      <c r="AE945" s="1533"/>
      <c r="AF945" s="1637"/>
      <c r="AZ945" s="34"/>
      <c r="BA945" s="34"/>
      <c r="BB945" s="34"/>
      <c r="BC945" s="34"/>
    </row>
    <row r="946" spans="1:55" ht="12.95" customHeight="1">
      <c r="F946" s="1629" t="s">
        <v>2191</v>
      </c>
      <c r="G946" s="1630"/>
      <c r="H946" s="1631"/>
      <c r="I946" s="1646" t="s">
        <v>333</v>
      </c>
      <c r="J946" s="1647"/>
      <c r="K946" s="1647"/>
      <c r="L946" s="1647"/>
      <c r="M946" s="1647"/>
      <c r="N946" s="1647"/>
      <c r="O946" s="1647"/>
      <c r="P946" s="1647"/>
      <c r="Q946" s="1647"/>
      <c r="R946" s="1647"/>
      <c r="S946" s="1647"/>
      <c r="T946" s="1648"/>
      <c r="U946" s="1632" t="s">
        <v>591</v>
      </c>
      <c r="V946" s="1413"/>
      <c r="W946" s="1413"/>
      <c r="X946" s="1413"/>
      <c r="Y946" s="1413"/>
      <c r="Z946" s="1414"/>
      <c r="AA946" s="1636"/>
      <c r="AB946" s="1533"/>
      <c r="AC946" s="1533"/>
      <c r="AD946" s="1533"/>
      <c r="AE946" s="1533"/>
      <c r="AF946" s="1637"/>
      <c r="AZ946" s="34"/>
      <c r="BA946" s="34"/>
      <c r="BB946" s="34"/>
      <c r="BC946" s="34"/>
    </row>
    <row r="947" spans="1:55" ht="12.95" customHeight="1">
      <c r="F947" s="45" t="s">
        <v>86</v>
      </c>
      <c r="G947" s="48"/>
      <c r="H947" s="48"/>
      <c r="I947" s="1646" t="s">
        <v>333</v>
      </c>
      <c r="J947" s="1647"/>
      <c r="K947" s="1647"/>
      <c r="L947" s="1647"/>
      <c r="M947" s="1647"/>
      <c r="N947" s="1647"/>
      <c r="O947" s="1647"/>
      <c r="P947" s="1647"/>
      <c r="Q947" s="1647"/>
      <c r="R947" s="1647"/>
      <c r="S947" s="1647"/>
      <c r="T947" s="1648"/>
      <c r="U947" s="1632" t="s">
        <v>591</v>
      </c>
      <c r="V947" s="1413"/>
      <c r="W947" s="1413"/>
      <c r="X947" s="1413"/>
      <c r="Y947" s="1413"/>
      <c r="Z947" s="1414"/>
      <c r="AA947" s="1636"/>
      <c r="AB947" s="1533"/>
      <c r="AC947" s="1533"/>
      <c r="AD947" s="1533"/>
      <c r="AE947" s="1533"/>
      <c r="AF947" s="1637"/>
      <c r="AZ947" s="34"/>
      <c r="BA947" s="34"/>
      <c r="BB947" s="34"/>
      <c r="BC947" s="34"/>
    </row>
    <row r="948" spans="1:55" ht="12.95" customHeight="1">
      <c r="F948" s="45" t="s">
        <v>10</v>
      </c>
      <c r="G948" s="48"/>
      <c r="H948" s="48"/>
      <c r="I948" s="1701" t="s">
        <v>333</v>
      </c>
      <c r="J948" s="1702"/>
      <c r="K948" s="1702"/>
      <c r="L948" s="1702"/>
      <c r="M948" s="1702"/>
      <c r="N948" s="1702"/>
      <c r="O948" s="1702"/>
      <c r="P948" s="1702"/>
      <c r="Q948" s="1702"/>
      <c r="R948" s="1702"/>
      <c r="S948" s="1702"/>
      <c r="T948" s="1703"/>
      <c r="U948" s="1632" t="s">
        <v>591</v>
      </c>
      <c r="V948" s="1413"/>
      <c r="W948" s="1413"/>
      <c r="X948" s="1413"/>
      <c r="Y948" s="1413"/>
      <c r="Z948" s="1414"/>
      <c r="AA948" s="1636"/>
      <c r="AB948" s="1533"/>
      <c r="AC948" s="1533"/>
      <c r="AD948" s="1533"/>
      <c r="AE948" s="1533"/>
      <c r="AF948" s="1637"/>
      <c r="AV948" s="2"/>
      <c r="AW948" s="2"/>
      <c r="AX948" s="2"/>
      <c r="AY948" s="2"/>
      <c r="AZ948" s="34"/>
      <c r="BA948" s="34"/>
      <c r="BB948" s="34"/>
      <c r="BC948" s="34"/>
    </row>
    <row r="949" spans="1:55" ht="12.95" customHeight="1">
      <c r="F949" s="47" t="s">
        <v>169</v>
      </c>
      <c r="G949" s="48"/>
      <c r="H949" s="48"/>
      <c r="I949" s="1646" t="s">
        <v>2717</v>
      </c>
      <c r="J949" s="1702"/>
      <c r="K949" s="1702"/>
      <c r="L949" s="1702"/>
      <c r="M949" s="1702"/>
      <c r="N949" s="1702"/>
      <c r="O949" s="1702"/>
      <c r="P949" s="1702"/>
      <c r="Q949" s="1702"/>
      <c r="R949" s="1702"/>
      <c r="S949" s="1702"/>
      <c r="T949" s="1703"/>
      <c r="U949" s="1632" t="s">
        <v>545</v>
      </c>
      <c r="V949" s="1413"/>
      <c r="W949" s="1413"/>
      <c r="X949" s="1413"/>
      <c r="Y949" s="1413"/>
      <c r="Z949" s="1414"/>
      <c r="AA949" s="1636">
        <v>20000000</v>
      </c>
      <c r="AB949" s="1533"/>
      <c r="AC949" s="1533"/>
      <c r="AD949" s="1533"/>
      <c r="AE949" s="1533"/>
      <c r="AF949" s="1637"/>
      <c r="AU949" s="2"/>
      <c r="AZ949" s="34"/>
      <c r="BA949" s="34"/>
      <c r="BB949" s="34"/>
      <c r="BC949" s="34"/>
    </row>
    <row r="950" spans="1:55" ht="12.95" customHeight="1">
      <c r="F950" s="47" t="s">
        <v>169</v>
      </c>
      <c r="G950" s="48"/>
      <c r="H950" s="48"/>
      <c r="I950" s="1701" t="s">
        <v>333</v>
      </c>
      <c r="J950" s="1702"/>
      <c r="K950" s="1702"/>
      <c r="L950" s="1702"/>
      <c r="M950" s="1702"/>
      <c r="N950" s="1702"/>
      <c r="O950" s="1702"/>
      <c r="P950" s="1702"/>
      <c r="Q950" s="1702"/>
      <c r="R950" s="1702"/>
      <c r="S950" s="1702"/>
      <c r="T950" s="1703"/>
      <c r="U950" s="1632" t="s">
        <v>591</v>
      </c>
      <c r="V950" s="1413"/>
      <c r="W950" s="1413"/>
      <c r="X950" s="1413"/>
      <c r="Y950" s="1413"/>
      <c r="Z950" s="1414"/>
      <c r="AA950" s="1636"/>
      <c r="AB950" s="1533"/>
      <c r="AC950" s="1533"/>
      <c r="AD950" s="1533"/>
      <c r="AE950" s="1533"/>
      <c r="AF950" s="1637"/>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c r="N955" s="1512"/>
      <c r="O955" s="1512"/>
      <c r="P955" s="1512"/>
      <c r="Q955" s="1512"/>
      <c r="R955" s="1512"/>
      <c r="S955" s="1627"/>
      <c r="U955" s="66" t="s">
        <v>11</v>
      </c>
      <c r="V955" s="5"/>
      <c r="W955" s="5"/>
      <c r="X955" s="5"/>
      <c r="Y955" s="5"/>
      <c r="Z955" s="5"/>
      <c r="AA955" s="5"/>
      <c r="AB955" s="5"/>
      <c r="AC955" s="5"/>
      <c r="AD955" s="46"/>
      <c r="AE955" s="1705"/>
      <c r="AF955" s="1512"/>
      <c r="AG955" s="1512"/>
      <c r="AH955" s="1512"/>
      <c r="AI955" s="1512"/>
      <c r="AJ955" s="1512"/>
      <c r="AK955" s="1627"/>
      <c r="AZ955" s="34"/>
      <c r="BA955" s="34"/>
      <c r="BB955" s="34"/>
      <c r="BC955" s="34"/>
    </row>
    <row r="956" spans="1:55" ht="12.95" customHeight="1">
      <c r="C956" s="66" t="s">
        <v>12</v>
      </c>
      <c r="D956" s="5"/>
      <c r="E956" s="5"/>
      <c r="F956" s="5"/>
      <c r="G956" s="5"/>
      <c r="H956" s="5"/>
      <c r="I956" s="5"/>
      <c r="J956" s="5"/>
      <c r="K956" s="5"/>
      <c r="L956" s="46"/>
      <c r="M956" s="1437"/>
      <c r="N956" s="1456"/>
      <c r="O956" s="1456"/>
      <c r="P956" s="1456"/>
      <c r="Q956" s="1456"/>
      <c r="R956" s="1456"/>
      <c r="S956" s="1665"/>
      <c r="U956" s="66" t="s">
        <v>12</v>
      </c>
      <c r="V956" s="5"/>
      <c r="W956" s="5"/>
      <c r="X956" s="5"/>
      <c r="Y956" s="5"/>
      <c r="Z956" s="5"/>
      <c r="AA956" s="5"/>
      <c r="AB956" s="5"/>
      <c r="AC956" s="5"/>
      <c r="AD956" s="46"/>
      <c r="AE956" s="1437"/>
      <c r="AF956" s="1456"/>
      <c r="AG956" s="1456"/>
      <c r="AH956" s="1456"/>
      <c r="AI956" s="1456"/>
      <c r="AJ956" s="1456"/>
      <c r="AK956" s="1665"/>
      <c r="AZ956" s="34"/>
      <c r="BA956" s="34"/>
      <c r="BB956" s="34"/>
      <c r="BC956" s="34"/>
    </row>
    <row r="957" spans="1:55" ht="12.95" customHeight="1">
      <c r="C957" s="66" t="s">
        <v>880</v>
      </c>
      <c r="D957" s="5"/>
      <c r="E957" s="5"/>
      <c r="J957" s="1809" t="s">
        <v>306</v>
      </c>
      <c r="K957" s="1810"/>
      <c r="L957" s="1810"/>
      <c r="M957" s="1810"/>
      <c r="N957" s="1810"/>
      <c r="O957" s="1810"/>
      <c r="P957" s="1810"/>
      <c r="Q957" s="1810"/>
      <c r="R957" s="1810"/>
      <c r="S957" s="1811"/>
      <c r="U957" s="66" t="s">
        <v>880</v>
      </c>
      <c r="V957" s="5"/>
      <c r="W957" s="5"/>
      <c r="AB957" s="1809" t="s">
        <v>306</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c r="N959" s="1611"/>
      <c r="O959" s="1611"/>
      <c r="P959" s="1611"/>
      <c r="Q959" s="1611"/>
      <c r="R959" s="1611"/>
      <c r="S959" s="1612"/>
      <c r="U959" s="66" t="s">
        <v>14</v>
      </c>
      <c r="V959" s="5"/>
      <c r="W959" s="5"/>
      <c r="X959" s="5"/>
      <c r="Y959" s="5"/>
      <c r="Z959" s="5"/>
      <c r="AA959" s="5"/>
      <c r="AB959" s="5"/>
      <c r="AC959" s="5"/>
      <c r="AD959" s="46"/>
      <c r="AE959" s="1726"/>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6"/>
      <c r="N960" s="1533"/>
      <c r="O960" s="1533"/>
      <c r="P960" s="1533"/>
      <c r="Q960" s="1533"/>
      <c r="R960" s="1533"/>
      <c r="S960" s="1637"/>
      <c r="U960" s="66" t="s">
        <v>15</v>
      </c>
      <c r="V960" s="5"/>
      <c r="W960" s="5"/>
      <c r="X960" s="5"/>
      <c r="Y960" s="5"/>
      <c r="Z960" s="5"/>
      <c r="AA960" s="5"/>
      <c r="AB960" s="5"/>
      <c r="AC960" s="5"/>
      <c r="AD960" s="46"/>
      <c r="AE960" s="1636"/>
      <c r="AF960" s="1533"/>
      <c r="AG960" s="1533"/>
      <c r="AH960" s="1533"/>
      <c r="AI960" s="1533"/>
      <c r="AJ960" s="1533"/>
      <c r="AK960" s="1637"/>
      <c r="AV960" s="2"/>
      <c r="AW960" s="2"/>
      <c r="AX960" s="2"/>
      <c r="AY960" s="2"/>
      <c r="AZ960" s="34"/>
      <c r="BA960" s="34"/>
      <c r="BB960" s="34"/>
      <c r="BC960" s="34"/>
    </row>
    <row r="961" spans="1:64" ht="12.95" customHeight="1">
      <c r="C961" s="66" t="s">
        <v>16</v>
      </c>
      <c r="D961" s="5"/>
      <c r="E961" s="5"/>
      <c r="F961" s="5"/>
      <c r="G961" s="5"/>
      <c r="H961" s="5"/>
      <c r="I961" s="5"/>
      <c r="J961" s="5"/>
      <c r="K961" s="5"/>
      <c r="L961" s="46"/>
      <c r="M961" s="1636"/>
      <c r="N961" s="1533"/>
      <c r="O961" s="1533"/>
      <c r="P961" s="1533"/>
      <c r="Q961" s="1533"/>
      <c r="R961" s="1533"/>
      <c r="S961" s="1637"/>
      <c r="U961" s="66" t="s">
        <v>16</v>
      </c>
      <c r="V961" s="5"/>
      <c r="W961" s="5"/>
      <c r="X961" s="5"/>
      <c r="Y961" s="5"/>
      <c r="Z961" s="5"/>
      <c r="AA961" s="5"/>
      <c r="AB961" s="5"/>
      <c r="AC961" s="5"/>
      <c r="AD961" s="46"/>
      <c r="AE961" s="1636"/>
      <c r="AF961" s="1533"/>
      <c r="AG961" s="1533"/>
      <c r="AH961" s="1533"/>
      <c r="AI961" s="1533"/>
      <c r="AJ961" s="1533"/>
      <c r="AK961" s="1637"/>
      <c r="AV961" s="2"/>
      <c r="AW961" s="2"/>
      <c r="AX961" s="2"/>
      <c r="AY961" s="2"/>
      <c r="AZ961" s="34"/>
      <c r="BB961" s="34"/>
      <c r="BC961" s="34"/>
    </row>
    <row r="962" spans="1:64" ht="12.95" customHeight="1">
      <c r="C962" s="121" t="s">
        <v>1661</v>
      </c>
      <c r="D962" s="5"/>
      <c r="E962" s="5"/>
      <c r="F962" s="5"/>
      <c r="G962" s="5"/>
      <c r="H962" s="5"/>
      <c r="I962" s="5"/>
      <c r="J962" s="5"/>
      <c r="K962" s="5"/>
      <c r="L962" s="46"/>
      <c r="M962" s="1777"/>
      <c r="N962" s="1778"/>
      <c r="O962" s="1778"/>
      <c r="P962" s="1778"/>
      <c r="Q962" s="1778"/>
      <c r="R962" s="1778"/>
      <c r="S962" s="1779"/>
      <c r="U962" s="121" t="s">
        <v>1661</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62"/>
      <c r="N967" s="1663"/>
      <c r="O967" s="1663"/>
      <c r="P967" s="1663"/>
      <c r="Q967" s="1663"/>
      <c r="R967" s="1663"/>
      <c r="S967" s="1664"/>
      <c r="T967" s="66" t="s">
        <v>790</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62"/>
      <c r="N968" s="1663"/>
      <c r="O968" s="1663"/>
      <c r="P968" s="1663"/>
      <c r="Q968" s="1663"/>
      <c r="R968" s="1663"/>
      <c r="S968" s="1664"/>
      <c r="T968" s="66" t="s">
        <v>789</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9" t="s">
        <v>591</v>
      </c>
      <c r="N969" s="1710"/>
      <c r="O969" s="1710"/>
      <c r="P969" s="1710"/>
      <c r="Q969" s="1710"/>
      <c r="R969" s="1710"/>
      <c r="S969" s="1711"/>
      <c r="T969" s="45" t="s">
        <v>336</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62"/>
      <c r="N970" s="1663"/>
      <c r="O970" s="1663"/>
      <c r="P970" s="1663"/>
      <c r="Q970" s="1663"/>
      <c r="R970" s="1663"/>
      <c r="S970" s="1664"/>
      <c r="T970" s="45" t="s">
        <v>337</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62"/>
      <c r="N971" s="1663"/>
      <c r="O971" s="1663"/>
      <c r="P971" s="1663"/>
      <c r="Q971" s="1663"/>
      <c r="R971" s="1663"/>
      <c r="S971" s="1664"/>
      <c r="T971" s="45" t="s">
        <v>375</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62"/>
      <c r="N973" s="1663"/>
      <c r="O973" s="1663"/>
      <c r="P973" s="1663"/>
      <c r="Q973" s="1663"/>
      <c r="R973" s="1663"/>
      <c r="S973" s="1664"/>
      <c r="T973" s="1764"/>
      <c r="U973" s="1765"/>
      <c r="V973" s="1765"/>
      <c r="W973" s="1765"/>
      <c r="X973" s="1765"/>
      <c r="Y973" s="1765"/>
      <c r="Z973" s="1766"/>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9" t="s">
        <v>669</v>
      </c>
      <c r="P974" s="1381"/>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77"/>
      <c r="H975" s="1477"/>
      <c r="I975" s="1477"/>
      <c r="J975" s="1477"/>
      <c r="K975" s="1477"/>
      <c r="L975" s="1477"/>
      <c r="M975" s="1662"/>
      <c r="N975" s="1663"/>
      <c r="O975" s="1663"/>
      <c r="P975" s="1663"/>
      <c r="Q975" s="1663"/>
      <c r="R975" s="1663"/>
      <c r="S975" s="1664"/>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9" t="s">
        <v>548</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2.9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2" t="s">
        <v>638</v>
      </c>
      <c r="E985" s="1793"/>
      <c r="F985" s="1793"/>
      <c r="G985" s="1793"/>
      <c r="H985" s="1793"/>
      <c r="I985" s="1793"/>
      <c r="J985" s="1793"/>
      <c r="K985" s="1793"/>
      <c r="L985" s="1793"/>
      <c r="M985" s="1793"/>
      <c r="N985" s="1793"/>
      <c r="O985" s="1793"/>
      <c r="P985" s="1793"/>
      <c r="Q985" s="1794"/>
      <c r="R985" s="1792" t="s">
        <v>639</v>
      </c>
      <c r="S985" s="1793"/>
      <c r="T985" s="1793"/>
      <c r="U985" s="1793"/>
      <c r="V985" s="1793"/>
      <c r="W985" s="1793"/>
      <c r="X985" s="1793"/>
      <c r="Y985" s="1793"/>
      <c r="Z985" s="1793"/>
      <c r="AA985" s="1794"/>
      <c r="AB985" s="1792" t="s">
        <v>640</v>
      </c>
      <c r="AC985" s="1793"/>
      <c r="AD985" s="1793"/>
      <c r="AE985" s="1793"/>
      <c r="AF985" s="1793"/>
      <c r="AG985" s="1793"/>
      <c r="AH985" s="1793"/>
      <c r="AI985" s="1794"/>
      <c r="AJ985" s="1792" t="s">
        <v>641</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9"/>
      <c r="D986" s="1798" t="s">
        <v>633</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437727</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504695</v>
      </c>
      <c r="S987" s="1785"/>
      <c r="T987" s="1785"/>
      <c r="U987" s="1785"/>
      <c r="V987" s="1785"/>
      <c r="W987" s="1785"/>
      <c r="X987" s="1785"/>
      <c r="Y987" s="1785"/>
      <c r="Z987" s="1785"/>
      <c r="AA987" s="1785"/>
      <c r="AB987" s="1782">
        <f>CU802</f>
        <v>142</v>
      </c>
      <c r="AC987" s="1783"/>
      <c r="AD987" s="1783"/>
      <c r="AE987" s="1783"/>
      <c r="AF987" s="1783"/>
      <c r="AG987" s="1783"/>
      <c r="AH987" s="1783"/>
      <c r="AI987" s="1784"/>
      <c r="AJ987" s="1718">
        <f>IF(ISERROR((R987*AB987)),0,(R987*AB987))</f>
        <v>71666690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608800</v>
      </c>
      <c r="S988" s="1785"/>
      <c r="T988" s="1785"/>
      <c r="U988" s="1785"/>
      <c r="V988" s="1785"/>
      <c r="W988" s="1785"/>
      <c r="X988" s="1785"/>
      <c r="Y988" s="1785"/>
      <c r="Z988" s="1785"/>
      <c r="AA988" s="1785"/>
      <c r="AB988" s="1782">
        <f>CZ802</f>
        <v>84</v>
      </c>
      <c r="AC988" s="1783"/>
      <c r="AD988" s="1783"/>
      <c r="AE988" s="1783"/>
      <c r="AF988" s="1783"/>
      <c r="AG988" s="1783"/>
      <c r="AH988" s="1783"/>
      <c r="AI988" s="1784"/>
      <c r="AJ988" s="1718">
        <f>IF(ISERROR((R988*AB988)),0,(R988*AB988))</f>
        <v>51139200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779264</v>
      </c>
      <c r="S989" s="1785"/>
      <c r="T989" s="1785"/>
      <c r="U989" s="1785"/>
      <c r="V989" s="1785"/>
      <c r="W989" s="1785"/>
      <c r="X989" s="1785"/>
      <c r="Y989" s="1785"/>
      <c r="Z989" s="1785"/>
      <c r="AA989" s="1785"/>
      <c r="AB989" s="1782">
        <f>DE802</f>
        <v>90</v>
      </c>
      <c r="AC989" s="1783"/>
      <c r="AD989" s="1783"/>
      <c r="AE989" s="1783"/>
      <c r="AF989" s="1783"/>
      <c r="AG989" s="1783"/>
      <c r="AH989" s="1783"/>
      <c r="AI989" s="1784"/>
      <c r="AJ989" s="1718">
        <f>IF(ISERROR((R989*AB989)),0,(R989*AB989))</f>
        <v>70133760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460</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868149</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791</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316</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512</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192939650</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666</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7" t="s">
        <v>668</v>
      </c>
      <c r="D994" s="1736" t="s">
        <v>1220</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669</v>
      </c>
      <c r="AH994" s="1831"/>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0" t="s">
        <v>2234</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3" t="s">
        <v>2205</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7" t="s">
        <v>1286</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669</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0" t="s">
        <v>1284</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314</v>
      </c>
      <c r="AZ1003" s="34"/>
      <c r="BB1003" s="34"/>
    </row>
    <row r="1004" spans="1:55" ht="12.95"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0.03</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0.16</v>
      </c>
      <c r="AZ1006" s="34"/>
      <c r="BB1006" s="34"/>
    </row>
    <row r="1007" spans="1:55" ht="12.95" customHeight="1">
      <c r="A1007" s="14"/>
      <c r="B1007" s="255"/>
      <c r="C1007" s="80" t="s">
        <v>672</v>
      </c>
      <c r="D1007" s="1767" t="s">
        <v>1683</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545</v>
      </c>
      <c r="AH1007" s="1754"/>
      <c r="AI1007" s="87"/>
      <c r="AJ1007" s="1727">
        <f>ROUND(IF(AG1007="yes",AJ992*0.1,0),0)</f>
        <v>19293965</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1285</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211</v>
      </c>
      <c r="D1011" s="1767" t="s">
        <v>1287</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669</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1288</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1841</v>
      </c>
      <c r="AZ1012" s="3" t="s">
        <v>2606</v>
      </c>
    </row>
    <row r="1013" spans="1:52" ht="12.95" customHeight="1">
      <c r="A1013" s="14"/>
      <c r="B1013" s="79"/>
      <c r="C1013" s="80" t="s">
        <v>214</v>
      </c>
      <c r="D1013" s="1767" t="s">
        <v>1289</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669</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8" t="s">
        <v>1290</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5" customHeight="1">
      <c r="A1016" s="14"/>
      <c r="B1016" s="79"/>
      <c r="C1016" s="80" t="s">
        <v>217</v>
      </c>
      <c r="D1016" s="1736" t="s">
        <v>2235</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669</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5" customHeight="1">
      <c r="A1017" s="14"/>
      <c r="B1017" s="73"/>
      <c r="C1017" s="74"/>
      <c r="D1017" s="1698" t="s">
        <v>1291</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5" customHeight="1">
      <c r="A1020" s="14"/>
      <c r="B1020" s="79"/>
      <c r="C1020" s="80" t="s">
        <v>222</v>
      </c>
      <c r="D1020" s="1815" t="s">
        <v>1292</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669</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5" customHeight="1">
      <c r="A1022" s="14"/>
      <c r="B1022" s="81"/>
      <c r="C1022" s="84"/>
      <c r="D1022" s="1698" t="s">
        <v>1293</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824" t="s">
        <v>591</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2605</v>
      </c>
      <c r="AY1024" s="201">
        <f>IF(SUM(AY1013:AY1023)&lt;=0.2,SUM(AY1013:AY1023),0.2)</f>
        <v>0.2</v>
      </c>
    </row>
    <row r="1025" spans="1:57" ht="12.95" customHeight="1">
      <c r="A1025" s="14"/>
      <c r="B1025" s="79"/>
      <c r="C1025" s="80" t="s">
        <v>228</v>
      </c>
      <c r="D1025" s="1767" t="s">
        <v>1294</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669</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1690</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233</v>
      </c>
      <c r="D1029" s="1736" t="s">
        <v>1295</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545</v>
      </c>
      <c r="AH1029" s="1754"/>
      <c r="AI1029" s="87"/>
      <c r="AJ1029" s="1727">
        <f>ROUND(IF(AG1029="yes",(AJ992*0.1),0),0)</f>
        <v>19293965</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1296</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687</v>
      </c>
      <c r="D1032" s="1767" t="s">
        <v>1686</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669</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687</v>
      </c>
      <c r="D1036" s="1736" t="s">
        <v>1688</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545</v>
      </c>
      <c r="AH1036" s="1756"/>
      <c r="AI1036" s="83"/>
      <c r="AJ1036" s="1727">
        <f>ROUND(IF(AND(AG1036="yes",AJ1032=0),(AJ992*0.1),0),0)</f>
        <v>19293965</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0.20382165605095542</v>
      </c>
      <c r="BB1039" s="3" t="s">
        <v>2492</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7" t="s">
        <v>1297</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545</v>
      </c>
      <c r="AH1041" s="1754"/>
      <c r="AI1041" s="87"/>
      <c r="AJ1041" s="1727">
        <f>ROUND(IF(AG1041="yes",(AJ992*0.1),0),0)</f>
        <v>19293965</v>
      </c>
      <c r="AK1041" s="1728"/>
      <c r="AL1041" s="1728"/>
      <c r="AM1041" s="1728"/>
      <c r="AN1041" s="1728"/>
      <c r="AO1041" s="1728"/>
      <c r="AP1041" s="1728"/>
      <c r="AQ1041" s="1729"/>
      <c r="AR1041" s="68"/>
      <c r="AS1041" s="68"/>
      <c r="AT1041" s="68"/>
      <c r="AU1041" s="68"/>
      <c r="AV1041" s="68"/>
      <c r="AW1041" s="68"/>
      <c r="AX1041" s="68"/>
      <c r="AY1041" s="68"/>
      <c r="BA1041">
        <f>Q212</f>
        <v>0</v>
      </c>
      <c r="BB1041" s="3" t="s">
        <v>2490</v>
      </c>
    </row>
    <row r="1042" spans="1:56" ht="12.95" customHeight="1">
      <c r="A1042" s="14"/>
      <c r="B1042" s="73"/>
      <c r="C1042" s="74"/>
      <c r="D1042" s="1698" t="s">
        <v>2144</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2491</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1684</v>
      </c>
      <c r="D1045" s="1736" t="s">
        <v>1864</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5788189.5</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8" t="s">
        <v>1299</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20548065</v>
      </c>
      <c r="BA1046" s="1182">
        <f>IF(BA1040,20%,15%)</f>
        <v>0.15</v>
      </c>
      <c r="BB1046" s="3" t="s">
        <v>2478</v>
      </c>
      <c r="BC1046" s="3" t="s">
        <v>2479</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90">
        <f>AY1003</f>
        <v>314</v>
      </c>
      <c r="J1048" s="1791"/>
      <c r="K1048" s="7"/>
      <c r="L1048" s="133"/>
      <c r="M1048" s="133"/>
      <c r="N1048" s="133"/>
      <c r="O1048" s="133"/>
      <c r="P1048" s="133"/>
      <c r="Q1048" s="133"/>
      <c r="R1048" s="133"/>
      <c r="S1048" s="133"/>
      <c r="T1048" s="133"/>
      <c r="U1048" s="133"/>
      <c r="V1048" s="134" t="s">
        <v>973</v>
      </c>
      <c r="W1048" s="48"/>
      <c r="X1048" s="1788">
        <f>CI753</f>
        <v>12</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1685</v>
      </c>
      <c r="D1049" s="1767" t="s">
        <v>2170</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61740688</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8" t="s">
        <v>1298</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0">
        <f>AY1003</f>
        <v>314</v>
      </c>
      <c r="J1052" s="1791"/>
      <c r="K1052" s="14"/>
      <c r="L1052" s="133"/>
      <c r="M1052" s="133"/>
      <c r="N1052" s="133"/>
      <c r="O1052" s="133"/>
      <c r="P1052" s="133"/>
      <c r="Q1052" s="133"/>
      <c r="R1052" s="133"/>
      <c r="S1052" s="133"/>
      <c r="T1052" s="133"/>
      <c r="U1052" s="133"/>
      <c r="V1052" s="134" t="s">
        <v>974</v>
      </c>
      <c r="X1052" s="1788">
        <f>CM753</f>
        <v>52</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6" t="s">
        <v>513</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337644387.5</v>
      </c>
      <c r="AK1053" s="1802"/>
      <c r="AL1053" s="1802"/>
      <c r="AM1053" s="1802"/>
      <c r="AN1053" s="1802"/>
      <c r="AO1053" s="1802"/>
      <c r="AP1053" s="1802"/>
      <c r="AQ1053" s="1803"/>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157487100</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20548065</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0.51639796618861311</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20500000</v>
      </c>
      <c r="BB1058" s="3" t="s">
        <v>2493</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18000000</v>
      </c>
      <c r="BB1059" s="3" t="s">
        <v>2494</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9" t="s">
        <v>794</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92" t="s">
        <v>545</v>
      </c>
      <c r="B1065" s="1492"/>
      <c r="C1065" s="1858">
        <v>1</v>
      </c>
      <c r="D1065" s="1858"/>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92" t="s">
        <v>591</v>
      </c>
      <c r="B1067" s="1492"/>
      <c r="C1067" s="1858">
        <v>2</v>
      </c>
      <c r="D1067" s="1858"/>
      <c r="E1067" s="1860" t="s">
        <v>2237</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92" t="s">
        <v>591</v>
      </c>
      <c r="B1070" s="1492"/>
      <c r="C1070" s="1409">
        <v>3</v>
      </c>
      <c r="D1070" s="1409"/>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9"/>
      <c r="D1071" s="1409"/>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9"/>
      <c r="D1072" s="1409"/>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9"/>
      <c r="D1073" s="1409"/>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9"/>
      <c r="D1074" s="140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92" t="s">
        <v>591</v>
      </c>
      <c r="B1075" s="1492"/>
      <c r="C1075" s="1409">
        <v>4</v>
      </c>
      <c r="D1075" s="1409"/>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9"/>
      <c r="D1076" s="1409"/>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9"/>
      <c r="D1077" s="1409"/>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9"/>
      <c r="D1078" s="1409"/>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9"/>
      <c r="D1079" s="1409"/>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9"/>
      <c r="D1080" s="140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92" t="s">
        <v>591</v>
      </c>
      <c r="B1081" s="1492"/>
      <c r="C1081" s="1409">
        <v>5</v>
      </c>
      <c r="D1081" s="1409"/>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9"/>
      <c r="D1082" s="1409"/>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9"/>
      <c r="D1083" s="1409"/>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9"/>
      <c r="D1084" s="140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92" t="s">
        <v>591</v>
      </c>
      <c r="B1085" s="1492"/>
      <c r="C1085" s="1409">
        <v>6</v>
      </c>
      <c r="D1085" s="1409"/>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9"/>
      <c r="D1087" s="1409"/>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9"/>
      <c r="D1088" s="140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92" t="s">
        <v>591</v>
      </c>
      <c r="B1089" s="1492"/>
      <c r="C1089" s="1409">
        <v>7</v>
      </c>
      <c r="D1089" s="1409"/>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9"/>
      <c r="D1090" s="1409"/>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9"/>
      <c r="D1091" s="1409"/>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9"/>
      <c r="D1092" s="140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9"/>
      <c r="D1093" s="140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92" t="s">
        <v>591</v>
      </c>
      <c r="B1094" s="1492"/>
      <c r="C1094" s="1409">
        <v>8</v>
      </c>
      <c r="D1094" s="1409"/>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9"/>
      <c r="D1095" s="1409"/>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9"/>
      <c r="D1096" s="140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92" t="s">
        <v>591</v>
      </c>
      <c r="B1097" s="1492"/>
      <c r="C1097" s="1858">
        <v>9</v>
      </c>
      <c r="D1097" s="1858"/>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92" t="s">
        <v>591</v>
      </c>
      <c r="B1100" s="1492"/>
      <c r="C1100" s="1858">
        <v>10</v>
      </c>
      <c r="D1100" s="1858"/>
      <c r="E1100" s="1859" t="s">
        <v>2238</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92" t="s">
        <v>591</v>
      </c>
      <c r="B1103" s="1492"/>
      <c r="C1103" s="1858">
        <v>11</v>
      </c>
      <c r="D1103" s="1858"/>
      <c r="E1103" s="1859" t="s">
        <v>2240</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92" t="s">
        <v>591</v>
      </c>
      <c r="B1125" s="1492"/>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M559:AS559"/>
    <mergeCell ref="W558:Y558"/>
    <mergeCell ref="AE558:AH55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F632:AJ632"/>
    <mergeCell ref="AC631:AE631"/>
    <mergeCell ref="AM565:AS565"/>
    <mergeCell ref="AE563:AH563"/>
    <mergeCell ref="AM563:AS563"/>
    <mergeCell ref="AM556:AS556"/>
    <mergeCell ref="Z434:AA434"/>
    <mergeCell ref="H590:R590"/>
    <mergeCell ref="AH509:AK509"/>
    <mergeCell ref="AM561:AS561"/>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DE729:DI729"/>
    <mergeCell ref="DE726:DI726"/>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W661:FA661"/>
    <mergeCell ref="EM662:EQ662"/>
    <mergeCell ref="ER662:EV662"/>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J721:FN721"/>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E962:AK962"/>
    <mergeCell ref="M961:S961"/>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K751:N751"/>
    <mergeCell ref="O751:S751"/>
    <mergeCell ref="K745:N745"/>
    <mergeCell ref="T750:W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T727:W727"/>
    <mergeCell ref="EO720:ES720"/>
    <mergeCell ref="DU727:DY727"/>
    <mergeCell ref="EE726:EI726"/>
    <mergeCell ref="EJ726:EN726"/>
    <mergeCell ref="DO720:DS720"/>
    <mergeCell ref="AH729:AJ729"/>
    <mergeCell ref="DU718:DY718"/>
    <mergeCell ref="DU721:DY721"/>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K714:AO717"/>
    <mergeCell ref="AK718:AO718"/>
    <mergeCell ref="AK630:AN630"/>
    <mergeCell ref="AK631:AN631"/>
    <mergeCell ref="AK632:AN632"/>
    <mergeCell ref="EM650:EQ650"/>
    <mergeCell ref="DX653:EB653"/>
    <mergeCell ref="AO628:AS628"/>
    <mergeCell ref="AG607:AH607"/>
    <mergeCell ref="AO624:AS626"/>
    <mergeCell ref="AG591:AH591"/>
    <mergeCell ref="Z632:AB632"/>
    <mergeCell ref="Z611:AK611"/>
    <mergeCell ref="DJ723:DN723"/>
    <mergeCell ref="DJ724:DN724"/>
    <mergeCell ref="AO631:AS631"/>
    <mergeCell ref="AI655:AK655"/>
    <mergeCell ref="CK722:CL722"/>
    <mergeCell ref="CK719:CL719"/>
    <mergeCell ref="CP719:CT719"/>
    <mergeCell ref="X720:AB720"/>
    <mergeCell ref="CM720:CN720"/>
    <mergeCell ref="CP720:CT720"/>
    <mergeCell ref="CI720:CJ720"/>
    <mergeCell ref="CU720:CY720"/>
    <mergeCell ref="CU723:CY723"/>
    <mergeCell ref="CM722:CN722"/>
    <mergeCell ref="CG722:CH722"/>
    <mergeCell ref="AK637:AN637"/>
    <mergeCell ref="AE695:AI695"/>
    <mergeCell ref="Z644:AK644"/>
    <mergeCell ref="AO636:AS636"/>
    <mergeCell ref="CZ718:DD718"/>
    <mergeCell ref="AC721:AG721"/>
    <mergeCell ref="AC722:AG722"/>
    <mergeCell ref="Z655:AE655"/>
    <mergeCell ref="Z668:AK668"/>
    <mergeCell ref="AF628:AJ628"/>
    <mergeCell ref="AF624:AJ626"/>
    <mergeCell ref="T635:V635"/>
    <mergeCell ref="AF637:AJ637"/>
    <mergeCell ref="AC636:AE636"/>
    <mergeCell ref="Z647:AE647"/>
    <mergeCell ref="AC720:AG720"/>
    <mergeCell ref="AK721:AO721"/>
    <mergeCell ref="W637:Y637"/>
    <mergeCell ref="AG657:AH657"/>
    <mergeCell ref="DO727:DS727"/>
    <mergeCell ref="DO728:DS728"/>
    <mergeCell ref="DO722:DS722"/>
    <mergeCell ref="DO723:DS723"/>
    <mergeCell ref="DO724:DS724"/>
    <mergeCell ref="DJ721:DN721"/>
    <mergeCell ref="DO726:DS726"/>
    <mergeCell ref="G684:R684"/>
    <mergeCell ref="G581:L581"/>
    <mergeCell ref="Z604:AK604"/>
    <mergeCell ref="G587:R587"/>
    <mergeCell ref="DO717:DS717"/>
    <mergeCell ref="CZ721:DD721"/>
    <mergeCell ref="T638:V638"/>
    <mergeCell ref="T628:V628"/>
    <mergeCell ref="DJ719:DN719"/>
    <mergeCell ref="CU717:CY717"/>
    <mergeCell ref="AC635:AE635"/>
    <mergeCell ref="W635:Y635"/>
    <mergeCell ref="Z597:AE597"/>
    <mergeCell ref="AF629:AJ629"/>
    <mergeCell ref="AI613:AK613"/>
    <mergeCell ref="AA614:AK614"/>
    <mergeCell ref="AC624:AE626"/>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P589:R589"/>
    <mergeCell ref="Z588:AK588"/>
    <mergeCell ref="AE559:AH559"/>
    <mergeCell ref="Z631:AB631"/>
    <mergeCell ref="C629:L629"/>
    <mergeCell ref="T629:V629"/>
    <mergeCell ref="T636:V636"/>
    <mergeCell ref="T637:V637"/>
    <mergeCell ref="O722:S722"/>
    <mergeCell ref="W563:Y563"/>
    <mergeCell ref="Z595:AK595"/>
    <mergeCell ref="G603:R603"/>
    <mergeCell ref="P597:R597"/>
    <mergeCell ref="G597:L597"/>
    <mergeCell ref="G602:R602"/>
    <mergeCell ref="W564:Y564"/>
    <mergeCell ref="W565:Y565"/>
    <mergeCell ref="M554:P554"/>
    <mergeCell ref="W465:Y465"/>
    <mergeCell ref="Z635:AB635"/>
    <mergeCell ref="G609:R609"/>
    <mergeCell ref="N615:O615"/>
    <mergeCell ref="M628:P628"/>
    <mergeCell ref="M633:P633"/>
    <mergeCell ref="Z605:AE605"/>
    <mergeCell ref="Z609:AK609"/>
    <mergeCell ref="AC632:AE632"/>
    <mergeCell ref="H672:R672"/>
    <mergeCell ref="AH720:AJ720"/>
    <mergeCell ref="AK722:AO722"/>
    <mergeCell ref="AH721:AJ721"/>
    <mergeCell ref="AK719:AO719"/>
    <mergeCell ref="AO641:AS641"/>
    <mergeCell ref="Z651:AK651"/>
    <mergeCell ref="AK638:AN638"/>
    <mergeCell ref="W703:AK703"/>
    <mergeCell ref="AF636:AJ636"/>
    <mergeCell ref="C565:L565"/>
    <mergeCell ref="Z570:AK570"/>
    <mergeCell ref="T565:V565"/>
    <mergeCell ref="C560:L560"/>
    <mergeCell ref="Z560:AD560"/>
    <mergeCell ref="AI563:AL563"/>
    <mergeCell ref="Z563:AD563"/>
    <mergeCell ref="T560:V560"/>
    <mergeCell ref="G570:R570"/>
    <mergeCell ref="Z561:AD561"/>
    <mergeCell ref="W560:Y560"/>
    <mergeCell ref="B566:AL566"/>
    <mergeCell ref="AE560:AH560"/>
    <mergeCell ref="M559:P559"/>
    <mergeCell ref="C564:L564"/>
    <mergeCell ref="M564:P564"/>
    <mergeCell ref="C561:L561"/>
    <mergeCell ref="C563:L563"/>
    <mergeCell ref="AE565:AH565"/>
    <mergeCell ref="AE564:AH564"/>
    <mergeCell ref="Z562:AD562"/>
    <mergeCell ref="W561:Y561"/>
    <mergeCell ref="W562:Y562"/>
    <mergeCell ref="T559:V559"/>
    <mergeCell ref="Q565:S565"/>
    <mergeCell ref="Q561:S561"/>
    <mergeCell ref="C562:L562"/>
    <mergeCell ref="G568:R568"/>
    <mergeCell ref="C559:L55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M627:P627"/>
    <mergeCell ref="M629:P629"/>
    <mergeCell ref="W624:Y626"/>
    <mergeCell ref="W628:Y628"/>
    <mergeCell ref="P663:R663"/>
    <mergeCell ref="AO640:AS640"/>
    <mergeCell ref="W636:Y636"/>
    <mergeCell ref="Q638:S638"/>
    <mergeCell ref="H648:R648"/>
    <mergeCell ref="AO632:AS632"/>
    <mergeCell ref="W633:Y633"/>
    <mergeCell ref="Z630:AB630"/>
    <mergeCell ref="C628:L628"/>
    <mergeCell ref="H614:R614"/>
    <mergeCell ref="M636:P636"/>
    <mergeCell ref="T630:V630"/>
    <mergeCell ref="T631:V631"/>
    <mergeCell ref="AC628:AE628"/>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I726:CJ726"/>
    <mergeCell ref="CG726:CH726"/>
    <mergeCell ref="CM727:CN727"/>
    <mergeCell ref="CK726:CL726"/>
    <mergeCell ref="DE732:DI732"/>
    <mergeCell ref="CM732:CN732"/>
    <mergeCell ref="CI735:CJ735"/>
    <mergeCell ref="DE727:DI727"/>
    <mergeCell ref="AC637:AE637"/>
    <mergeCell ref="X714:AB717"/>
    <mergeCell ref="AE694:AF694"/>
    <mergeCell ref="A709:AT711"/>
    <mergeCell ref="G660:R660"/>
    <mergeCell ref="T634:V634"/>
    <mergeCell ref="AF634:AJ634"/>
    <mergeCell ref="DE734:DI734"/>
    <mergeCell ref="DE722:DI722"/>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DJ725:DN725"/>
    <mergeCell ref="DE725:DI725"/>
    <mergeCell ref="CU727:CY727"/>
    <mergeCell ref="DE730:DI730"/>
    <mergeCell ref="CP736:CT736"/>
    <mergeCell ref="CM737:CN737"/>
    <mergeCell ref="CU737:CY737"/>
    <mergeCell ref="CZ738:DD738"/>
    <mergeCell ref="CM736:CN736"/>
    <mergeCell ref="CP741:CT741"/>
    <mergeCell ref="CP726:CT726"/>
    <mergeCell ref="CG735:CH735"/>
    <mergeCell ref="CI737:CJ737"/>
    <mergeCell ref="CZ724:DD724"/>
    <mergeCell ref="CU736:CY736"/>
    <mergeCell ref="CI728:CJ728"/>
    <mergeCell ref="CP725:CT725"/>
    <mergeCell ref="CU740:CY740"/>
    <mergeCell ref="CI739:CJ739"/>
    <mergeCell ref="CZ726:DD726"/>
    <mergeCell ref="CZ727:DD727"/>
    <mergeCell ref="CG737:CH737"/>
    <mergeCell ref="CZ729:DD729"/>
    <mergeCell ref="CG733:CH733"/>
    <mergeCell ref="CZ725:DD725"/>
    <mergeCell ref="CM735:CN735"/>
    <mergeCell ref="CM733:CN733"/>
    <mergeCell ref="CI733:CJ733"/>
    <mergeCell ref="CP737:CT737"/>
    <mergeCell ref="CZ734:DD734"/>
    <mergeCell ref="CU733:CY733"/>
    <mergeCell ref="CZ740:DD740"/>
    <mergeCell ref="CU741:CY741"/>
    <mergeCell ref="CK725:CL725"/>
    <mergeCell ref="DE731:DI731"/>
    <mergeCell ref="CZ739:DD739"/>
    <mergeCell ref="CK734:CL734"/>
    <mergeCell ref="CM734:CN734"/>
    <mergeCell ref="CK738:CL738"/>
    <mergeCell ref="CI731:CJ731"/>
    <mergeCell ref="G644:R644"/>
    <mergeCell ref="P655:R655"/>
    <mergeCell ref="K737:N737"/>
    <mergeCell ref="J704:X704"/>
    <mergeCell ref="K720:N720"/>
    <mergeCell ref="T714:W717"/>
    <mergeCell ref="H664:R664"/>
    <mergeCell ref="AA648:AK648"/>
    <mergeCell ref="CM724:CN724"/>
    <mergeCell ref="CG741:CH741"/>
    <mergeCell ref="CI741:CJ741"/>
    <mergeCell ref="CK741:CL741"/>
    <mergeCell ref="CM741:CN741"/>
    <mergeCell ref="CP724:CT724"/>
    <mergeCell ref="CP727:CT727"/>
    <mergeCell ref="CI727:CJ727"/>
    <mergeCell ref="CZ735:DD735"/>
    <mergeCell ref="CU734:CY734"/>
    <mergeCell ref="AC714:AG717"/>
    <mergeCell ref="CK736:CL736"/>
    <mergeCell ref="CG725:CH725"/>
    <mergeCell ref="CZ723:DD723"/>
    <mergeCell ref="AA664:AK664"/>
    <mergeCell ref="CM717:CN717"/>
    <mergeCell ref="N649:O649"/>
    <mergeCell ref="AH719:AJ719"/>
    <mergeCell ref="AI671:AK671"/>
    <mergeCell ref="AK737:AO737"/>
    <mergeCell ref="X735:AB735"/>
    <mergeCell ref="X736:AB736"/>
    <mergeCell ref="T735:W735"/>
    <mergeCell ref="AH733:AJ733"/>
    <mergeCell ref="O725:S725"/>
    <mergeCell ref="CK724:CL724"/>
    <mergeCell ref="CI723:CJ723"/>
    <mergeCell ref="CM730:CN730"/>
    <mergeCell ref="CK727:CL727"/>
    <mergeCell ref="Z687:AE687"/>
    <mergeCell ref="AH718:AJ718"/>
    <mergeCell ref="Z676:AK676"/>
    <mergeCell ref="W700:AK700"/>
    <mergeCell ref="Z683:AK683"/>
    <mergeCell ref="AA688:AK688"/>
    <mergeCell ref="T721:W721"/>
    <mergeCell ref="H680:R680"/>
    <mergeCell ref="G719:J719"/>
    <mergeCell ref="AC718:AG718"/>
    <mergeCell ref="G728:J728"/>
    <mergeCell ref="AG689:AH689"/>
    <mergeCell ref="O726:S726"/>
    <mergeCell ref="X722:AB722"/>
    <mergeCell ref="Z685:AK685"/>
    <mergeCell ref="AE698:AI698"/>
    <mergeCell ref="N657:O657"/>
    <mergeCell ref="Z660:AK660"/>
    <mergeCell ref="G663:L663"/>
    <mergeCell ref="T732:W732"/>
    <mergeCell ref="T731:W731"/>
    <mergeCell ref="T734:W734"/>
    <mergeCell ref="AC727:AG727"/>
    <mergeCell ref="AC728:AG728"/>
    <mergeCell ref="AC732:AG732"/>
    <mergeCell ref="X733:AB733"/>
    <mergeCell ref="G732:J732"/>
    <mergeCell ref="AH735:AJ735"/>
    <mergeCell ref="X734:AB734"/>
    <mergeCell ref="X724:AB724"/>
    <mergeCell ref="K724:N724"/>
    <mergeCell ref="K725:N725"/>
    <mergeCell ref="T744:W744"/>
    <mergeCell ref="X721:AB721"/>
    <mergeCell ref="X727:AB727"/>
    <mergeCell ref="G683:R683"/>
    <mergeCell ref="N681:O681"/>
    <mergeCell ref="X719:AB719"/>
    <mergeCell ref="X728:AB728"/>
    <mergeCell ref="O719:S719"/>
    <mergeCell ref="G662:R662"/>
    <mergeCell ref="AG681:AH681"/>
    <mergeCell ref="AI687:AK687"/>
    <mergeCell ref="J705:O705"/>
    <mergeCell ref="G723:J723"/>
    <mergeCell ref="K727:N727"/>
    <mergeCell ref="K726:N726"/>
    <mergeCell ref="K730:N730"/>
    <mergeCell ref="CK744:CL744"/>
    <mergeCell ref="CM744:CN744"/>
    <mergeCell ref="AK727:AO727"/>
    <mergeCell ref="AH724:AJ724"/>
    <mergeCell ref="CG738:CH738"/>
    <mergeCell ref="CK739:CL739"/>
    <mergeCell ref="CI734:CJ734"/>
    <mergeCell ref="CI719:CJ719"/>
    <mergeCell ref="CM739:CN739"/>
    <mergeCell ref="CI717:CJ717"/>
    <mergeCell ref="O737:S737"/>
    <mergeCell ref="O738:S738"/>
    <mergeCell ref="T740:W740"/>
    <mergeCell ref="G741:J741"/>
    <mergeCell ref="T739:W739"/>
    <mergeCell ref="CI732:CJ732"/>
    <mergeCell ref="CM728:CN728"/>
    <mergeCell ref="CG742:CH742"/>
    <mergeCell ref="CG743:CH743"/>
    <mergeCell ref="CG719:CH719"/>
    <mergeCell ref="CI721:CJ721"/>
    <mergeCell ref="AC739:AG739"/>
    <mergeCell ref="X732:AB732"/>
    <mergeCell ref="K734:N734"/>
    <mergeCell ref="AC736:AG736"/>
    <mergeCell ref="CG729:CH729"/>
    <mergeCell ref="CG723:CH723"/>
    <mergeCell ref="CG720:CH720"/>
    <mergeCell ref="CM719:CN719"/>
    <mergeCell ref="CM721:CN721"/>
    <mergeCell ref="CI738:CJ738"/>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N599:O599"/>
    <mergeCell ref="AA590:AK590"/>
    <mergeCell ref="AI589:AK589"/>
    <mergeCell ref="Z596:AK596"/>
    <mergeCell ref="H598:R598"/>
    <mergeCell ref="AG583:AH583"/>
    <mergeCell ref="G588:R588"/>
    <mergeCell ref="Z580:AK580"/>
    <mergeCell ref="Z578:AK578"/>
    <mergeCell ref="Z603:AK603"/>
    <mergeCell ref="G593:R593"/>
    <mergeCell ref="G605:L605"/>
    <mergeCell ref="H606:R606"/>
    <mergeCell ref="AI597:AK597"/>
    <mergeCell ref="G586:R586"/>
    <mergeCell ref="N575:O575"/>
    <mergeCell ref="AG599:AH599"/>
    <mergeCell ref="G595:R595"/>
    <mergeCell ref="G596:R596"/>
    <mergeCell ref="N583:O583"/>
    <mergeCell ref="AA606:AK606"/>
    <mergeCell ref="P605:R605"/>
    <mergeCell ref="G578:R578"/>
    <mergeCell ref="AK627:AN627"/>
    <mergeCell ref="N591:O591"/>
    <mergeCell ref="G577:R577"/>
    <mergeCell ref="AA582:AK582"/>
    <mergeCell ref="AA339:AF339"/>
    <mergeCell ref="D446:AF446"/>
    <mergeCell ref="D447:AF447"/>
    <mergeCell ref="W466:Y466"/>
    <mergeCell ref="AG446:AJ446"/>
    <mergeCell ref="W467:Y467"/>
    <mergeCell ref="AC387:AJ387"/>
    <mergeCell ref="D441:AF441"/>
    <mergeCell ref="AG447:AJ447"/>
    <mergeCell ref="AC454:AF454"/>
    <mergeCell ref="G613:L613"/>
    <mergeCell ref="Z577:AK577"/>
    <mergeCell ref="AF574:AK574"/>
    <mergeCell ref="Z585:AK585"/>
    <mergeCell ref="G579:R579"/>
    <mergeCell ref="G594:R594"/>
    <mergeCell ref="Z594:AK594"/>
    <mergeCell ref="Z610:AK610"/>
    <mergeCell ref="M562:P562"/>
    <mergeCell ref="M563:P563"/>
    <mergeCell ref="AI561:AL561"/>
    <mergeCell ref="Q564:S564"/>
    <mergeCell ref="AE561:AH561"/>
    <mergeCell ref="M560:P560"/>
    <mergeCell ref="Q563:S563"/>
    <mergeCell ref="AI565:AL565"/>
    <mergeCell ref="AE562:AH562"/>
    <mergeCell ref="Q562:S562"/>
    <mergeCell ref="M574:R574"/>
    <mergeCell ref="M561:P561"/>
    <mergeCell ref="AE556:AH556"/>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W554:Y554"/>
    <mergeCell ref="W555:Y555"/>
    <mergeCell ref="Z558:AD558"/>
    <mergeCell ref="AI560:AL560"/>
    <mergeCell ref="C558:L558"/>
    <mergeCell ref="Q560:S560"/>
    <mergeCell ref="M551:P553"/>
    <mergeCell ref="AC536:AF536"/>
    <mergeCell ref="AI558:AL558"/>
    <mergeCell ref="Q551:S553"/>
    <mergeCell ref="T551:V553"/>
    <mergeCell ref="M555:P555"/>
    <mergeCell ref="Q557:S557"/>
    <mergeCell ref="Z557:AD557"/>
    <mergeCell ref="C555:L555"/>
    <mergeCell ref="AC502:AF502"/>
    <mergeCell ref="B514:H516"/>
    <mergeCell ref="R411:S411"/>
    <mergeCell ref="W556:Y556"/>
    <mergeCell ref="Q556:S556"/>
    <mergeCell ref="S489:AK490"/>
    <mergeCell ref="P424:Q424"/>
    <mergeCell ref="D473:V473"/>
    <mergeCell ref="D470:V470"/>
    <mergeCell ref="D438:AF438"/>
    <mergeCell ref="AC503:AF503"/>
    <mergeCell ref="AC513:AF513"/>
    <mergeCell ref="AC518:AF518"/>
    <mergeCell ref="AH504:AK504"/>
    <mergeCell ref="AH517:AK517"/>
    <mergeCell ref="C557:L557"/>
    <mergeCell ref="AA323:AF323"/>
    <mergeCell ref="H320:R320"/>
    <mergeCell ref="AA331:AF331"/>
    <mergeCell ref="N363:O363"/>
    <mergeCell ref="AA337:AK337"/>
    <mergeCell ref="AA332:AF332"/>
    <mergeCell ref="H332:M332"/>
    <mergeCell ref="O520:AA520"/>
    <mergeCell ref="AE555:AH555"/>
    <mergeCell ref="AH518:AK518"/>
    <mergeCell ref="AH514:AK514"/>
    <mergeCell ref="Q555:S555"/>
    <mergeCell ref="AH539:AK539"/>
    <mergeCell ref="AH541:AK541"/>
    <mergeCell ref="AE554:AH554"/>
    <mergeCell ref="AC507:AF507"/>
    <mergeCell ref="AC505:AF505"/>
    <mergeCell ref="AH522:AK522"/>
    <mergeCell ref="AI315:AK315"/>
    <mergeCell ref="T558:V558"/>
    <mergeCell ref="AI556:AL556"/>
    <mergeCell ref="T557:V557"/>
    <mergeCell ref="Q389:U389"/>
    <mergeCell ref="AJ357:AK357"/>
    <mergeCell ref="D444:AF444"/>
    <mergeCell ref="M358:N358"/>
    <mergeCell ref="AH519:AK519"/>
    <mergeCell ref="AH536:AK536"/>
    <mergeCell ref="AG448:AJ448"/>
    <mergeCell ref="AH528:AK528"/>
    <mergeCell ref="AH501:AK501"/>
    <mergeCell ref="G474:V474"/>
    <mergeCell ref="P418:R418"/>
    <mergeCell ref="Q492:AK492"/>
    <mergeCell ref="AF418:AH418"/>
    <mergeCell ref="AA336:AK336"/>
    <mergeCell ref="H333:R333"/>
    <mergeCell ref="Q493:AK493"/>
    <mergeCell ref="AH505:AK505"/>
    <mergeCell ref="AH526:AK526"/>
    <mergeCell ref="W469:Y469"/>
    <mergeCell ref="AH515:AK515"/>
    <mergeCell ref="AC516:AF516"/>
    <mergeCell ref="W470:Y470"/>
    <mergeCell ref="D471:V471"/>
    <mergeCell ref="O532:AA532"/>
    <mergeCell ref="B551:L553"/>
    <mergeCell ref="AC533:AF533"/>
    <mergeCell ref="AC539:AF539"/>
    <mergeCell ref="L508:AB508"/>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AC520:AF520"/>
    <mergeCell ref="AC527:AF527"/>
    <mergeCell ref="H314:R314"/>
    <mergeCell ref="H316:M316"/>
    <mergeCell ref="AA322:AK322"/>
    <mergeCell ref="AA328:AK328"/>
    <mergeCell ref="AA327:AK327"/>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291:AF291"/>
    <mergeCell ref="AA319:AK319"/>
    <mergeCell ref="H287:R287"/>
    <mergeCell ref="U255:W255"/>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15:R315"/>
    <mergeCell ref="H327:R327"/>
    <mergeCell ref="H306:R306"/>
    <mergeCell ref="AA304:AK304"/>
    <mergeCell ref="AA309:AK309"/>
    <mergeCell ref="AA307:AF307"/>
    <mergeCell ref="AA305:AK305"/>
    <mergeCell ref="AA317:AK317"/>
    <mergeCell ref="T197:U197"/>
    <mergeCell ref="W253:X253"/>
    <mergeCell ref="M252:AE252"/>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AF251:AK251"/>
    <mergeCell ref="M256:AE256"/>
    <mergeCell ref="AC253:AE253"/>
    <mergeCell ref="AA311:AK311"/>
    <mergeCell ref="AA306:AK306"/>
    <mergeCell ref="AA303:AK303"/>
    <mergeCell ref="D270:H270"/>
    <mergeCell ref="X270:AC270"/>
    <mergeCell ref="Z263:AE263"/>
    <mergeCell ref="H311:R311"/>
    <mergeCell ref="H308:M308"/>
    <mergeCell ref="P307:R307"/>
    <mergeCell ref="H305:R305"/>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O153:AH153"/>
    <mergeCell ref="O156:AH1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86:AT87"/>
    <mergeCell ref="M257:T257"/>
    <mergeCell ref="J173:S173"/>
    <mergeCell ref="M244:AE244"/>
    <mergeCell ref="M247:R247"/>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H246:AK246"/>
    <mergeCell ref="AA288:AK288"/>
    <mergeCell ref="AI291:AK291"/>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I178:AK178"/>
    <mergeCell ref="O155:AH155"/>
    <mergeCell ref="AA298:AK298"/>
    <mergeCell ref="AA292:AF292"/>
    <mergeCell ref="O159:T159"/>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U263:W263"/>
    <mergeCell ref="H313:R313"/>
    <mergeCell ref="AI226:AJ226"/>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P339:R339"/>
    <mergeCell ref="AA341:AK341"/>
    <mergeCell ref="E368:AH369"/>
    <mergeCell ref="Q365:AG365"/>
    <mergeCell ref="V377:W377"/>
    <mergeCell ref="S377:T377"/>
    <mergeCell ref="D437:AF437"/>
    <mergeCell ref="D442:AF442"/>
    <mergeCell ref="AF430:AG430"/>
    <mergeCell ref="AG437:AJ437"/>
    <mergeCell ref="P349:AE349"/>
    <mergeCell ref="S402:U402"/>
    <mergeCell ref="J388:U388"/>
    <mergeCell ref="AG449:AJ449"/>
    <mergeCell ref="AA335:AK335"/>
    <mergeCell ref="AC347:AE347"/>
    <mergeCell ref="P343:AE343"/>
    <mergeCell ref="AA340:AF340"/>
    <mergeCell ref="P344:AE344"/>
    <mergeCell ref="AA338:AK338"/>
    <mergeCell ref="H337:R337"/>
    <mergeCell ref="P345:AE345"/>
    <mergeCell ref="R412:S412"/>
    <mergeCell ref="D449:AF449"/>
    <mergeCell ref="Q429:R429"/>
    <mergeCell ref="D448:AF448"/>
    <mergeCell ref="AC385:AJ385"/>
    <mergeCell ref="H336:R336"/>
    <mergeCell ref="H338:R338"/>
    <mergeCell ref="AG393:AJ393"/>
    <mergeCell ref="H340:M340"/>
    <mergeCell ref="D406:AJ407"/>
    <mergeCell ref="P346:AE346"/>
    <mergeCell ref="Q390:U390"/>
    <mergeCell ref="I410:AE410"/>
    <mergeCell ref="AI389:AJ389"/>
    <mergeCell ref="P347:Z347"/>
    <mergeCell ref="J386:U386"/>
    <mergeCell ref="T398:AJ398"/>
    <mergeCell ref="AG440:AJ440"/>
    <mergeCell ref="S401:U401"/>
    <mergeCell ref="AG401:AJ401"/>
    <mergeCell ref="V388:AJ388"/>
    <mergeCell ref="D443:AF443"/>
    <mergeCell ref="AJ356:AK356"/>
    <mergeCell ref="AD377:AE377"/>
    <mergeCell ref="AC371:AF371"/>
    <mergeCell ref="I421:K421"/>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J387:U387"/>
    <mergeCell ref="P425:Q425"/>
    <mergeCell ref="AC370:AF370"/>
    <mergeCell ref="AE402:AJ402"/>
    <mergeCell ref="Y364:Z364"/>
    <mergeCell ref="N378:P378"/>
    <mergeCell ref="CG748:CH748"/>
    <mergeCell ref="AG395:AJ395"/>
    <mergeCell ref="AI392:AJ392"/>
    <mergeCell ref="AG394:AJ394"/>
    <mergeCell ref="E420:AJ420"/>
    <mergeCell ref="AC521:AF521"/>
    <mergeCell ref="AH527:AK527"/>
    <mergeCell ref="AC517:AF517"/>
    <mergeCell ref="AC504:AF504"/>
    <mergeCell ref="T556:V556"/>
    <mergeCell ref="W551:Y553"/>
    <mergeCell ref="AH521:AK521"/>
    <mergeCell ref="AC530:AF530"/>
    <mergeCell ref="Z555:AD555"/>
    <mergeCell ref="O535:AA535"/>
    <mergeCell ref="AH523:AK523"/>
    <mergeCell ref="AG391:AJ391"/>
    <mergeCell ref="K404:AJ404"/>
    <mergeCell ref="AC386:AJ386"/>
    <mergeCell ref="K403:AJ403"/>
    <mergeCell ref="G571:R571"/>
    <mergeCell ref="Q559:S559"/>
    <mergeCell ref="C627:L627"/>
    <mergeCell ref="P581:R581"/>
    <mergeCell ref="I418:K418"/>
    <mergeCell ref="S413:T413"/>
    <mergeCell ref="C554:L554"/>
    <mergeCell ref="P572:R572"/>
    <mergeCell ref="AI605:AK605"/>
    <mergeCell ref="G604:R604"/>
    <mergeCell ref="H573:R573"/>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Z634:AB634"/>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U776:CY776"/>
    <mergeCell ref="CP750:CT750"/>
    <mergeCell ref="CU750:CY750"/>
    <mergeCell ref="CU726:CY726"/>
    <mergeCell ref="CG749:CH749"/>
    <mergeCell ref="CK752:CL752"/>
    <mergeCell ref="B741:F741"/>
    <mergeCell ref="CZ747:DD747"/>
    <mergeCell ref="CU751:CY751"/>
    <mergeCell ref="CZ732:DD732"/>
    <mergeCell ref="CU746:CY746"/>
    <mergeCell ref="T720:W720"/>
    <mergeCell ref="K714:N717"/>
    <mergeCell ref="C635:L635"/>
    <mergeCell ref="B736:F736"/>
    <mergeCell ref="B733:F733"/>
    <mergeCell ref="B731:F731"/>
    <mergeCell ref="B730:F730"/>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G676:R676"/>
    <mergeCell ref="AA680:AK68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G646:R646"/>
    <mergeCell ref="Z652:AK652"/>
    <mergeCell ref="G714:J717"/>
    <mergeCell ref="G668:R668"/>
    <mergeCell ref="Z569:AK569"/>
    <mergeCell ref="N607:O607"/>
    <mergeCell ref="CK748:CL748"/>
    <mergeCell ref="CM748:CN748"/>
    <mergeCell ref="CG724:CH724"/>
    <mergeCell ref="CG730:CH730"/>
    <mergeCell ref="CG728:CH728"/>
    <mergeCell ref="X718:AB718"/>
    <mergeCell ref="CP747:CT747"/>
    <mergeCell ref="T562:V562"/>
    <mergeCell ref="AH742:AJ742"/>
    <mergeCell ref="AK739:AO739"/>
    <mergeCell ref="AK747:AO747"/>
    <mergeCell ref="G721:J721"/>
    <mergeCell ref="G722:J722"/>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H525:AK525"/>
    <mergeCell ref="AK624:AN626"/>
    <mergeCell ref="T742:W742"/>
    <mergeCell ref="X745:AB745"/>
    <mergeCell ref="X746:AB746"/>
    <mergeCell ref="CK746:CL746"/>
    <mergeCell ref="CM746:CN746"/>
    <mergeCell ref="CG739:CH739"/>
    <mergeCell ref="CG740:CH740"/>
    <mergeCell ref="CK737:CL737"/>
    <mergeCell ref="CG732:CH732"/>
    <mergeCell ref="CP734:CT734"/>
    <mergeCell ref="CP751:CT751"/>
    <mergeCell ref="CM751:CN751"/>
    <mergeCell ref="CP723:CT723"/>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AH513:AK513"/>
    <mergeCell ref="AC531:AF531"/>
    <mergeCell ref="AC535:AF535"/>
    <mergeCell ref="AG443:AJ443"/>
    <mergeCell ref="AG444:AJ444"/>
    <mergeCell ref="D440:AF440"/>
    <mergeCell ref="AH503:AK503"/>
    <mergeCell ref="AC500:AF500"/>
    <mergeCell ref="AH506:AK506"/>
    <mergeCell ref="AH508:AK508"/>
    <mergeCell ref="AC508:AF508"/>
    <mergeCell ref="AH507:AK507"/>
    <mergeCell ref="AG450:AJ450"/>
    <mergeCell ref="D467:V467"/>
    <mergeCell ref="AG441:AJ441"/>
    <mergeCell ref="AG445:AJ445"/>
    <mergeCell ref="W471:Y471"/>
    <mergeCell ref="AC528:AF528"/>
    <mergeCell ref="AH510:AK510"/>
    <mergeCell ref="Q554:S554"/>
    <mergeCell ref="AH529:AK529"/>
    <mergeCell ref="AH534:AK534"/>
    <mergeCell ref="AC510:AF510"/>
    <mergeCell ref="Z554:AD554"/>
    <mergeCell ref="M558:P558"/>
    <mergeCell ref="Z559:AD559"/>
    <mergeCell ref="AC541:AF541"/>
    <mergeCell ref="W557:Y557"/>
    <mergeCell ref="AC526:AF526"/>
    <mergeCell ref="AE557:AH557"/>
    <mergeCell ref="AH532:AK532"/>
    <mergeCell ref="AC522:AF522"/>
    <mergeCell ref="T554:V554"/>
    <mergeCell ref="AC524:AF524"/>
    <mergeCell ref="AC540:AF540"/>
    <mergeCell ref="AH537:AK537"/>
    <mergeCell ref="AC534:AF534"/>
    <mergeCell ref="AH542:AK542"/>
    <mergeCell ref="AH524:AK524"/>
    <mergeCell ref="AI559:AL559"/>
    <mergeCell ref="AC538:AF538"/>
    <mergeCell ref="AH531:AK531"/>
    <mergeCell ref="AH540:AK540"/>
    <mergeCell ref="AC515:AF515"/>
    <mergeCell ref="AC514:AF514"/>
    <mergeCell ref="AH538:AK538"/>
    <mergeCell ref="Z551:AD553"/>
    <mergeCell ref="M556:P556"/>
    <mergeCell ref="B517:H519"/>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D472:V472"/>
    <mergeCell ref="W472:Y472"/>
    <mergeCell ref="AE551:AH553"/>
    <mergeCell ref="AI551:AL553"/>
    <mergeCell ref="AI554:AL554"/>
    <mergeCell ref="CK733:CL733"/>
    <mergeCell ref="DJ733:DN733"/>
    <mergeCell ref="C556:L556"/>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FT742:FX742"/>
    <mergeCell ref="DE741:DI741"/>
    <mergeCell ref="CU744:CY744"/>
    <mergeCell ref="CZ741:DD741"/>
    <mergeCell ref="DU741:DY741"/>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47:DI747"/>
    <mergeCell ref="CP744:CT744"/>
    <mergeCell ref="DJ744:DN744"/>
    <mergeCell ref="CM742:CN742"/>
    <mergeCell ref="DE746:DI746"/>
    <mergeCell ref="CP746:CT746"/>
    <mergeCell ref="ET752:EX752"/>
    <mergeCell ref="EO751:ES751"/>
    <mergeCell ref="CZ752:DD752"/>
    <mergeCell ref="ET753:EX753"/>
    <mergeCell ref="FE751:FI751"/>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8" workbookViewId="0">
      <selection activeCell="F95" sqref="F9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1)Citi - Permanent Loan</v>
      </c>
      <c r="G2" s="139" t="str">
        <f>Application!B628&amp;Application!C628</f>
        <v>2)Deferred Developer Fee</v>
      </c>
      <c r="H2" s="139" t="str">
        <f>Application!B629&amp;Application!C629</f>
        <v>3)Cash Flow From Operations</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15000</v>
      </c>
      <c r="C6" s="147">
        <v>15000</v>
      </c>
      <c r="D6" s="147"/>
      <c r="E6" s="147"/>
      <c r="F6" s="147">
        <f>C6</f>
        <v>15000</v>
      </c>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15000</v>
      </c>
      <c r="C8" s="146">
        <f t="shared" ref="C8:Q8" si="0">SUM(C4:C7)</f>
        <v>15000</v>
      </c>
      <c r="D8" s="146">
        <f t="shared" si="0"/>
        <v>0</v>
      </c>
      <c r="E8" s="146">
        <f t="shared" si="0"/>
        <v>0</v>
      </c>
      <c r="F8" s="146">
        <f t="shared" si="0"/>
        <v>15000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15000</v>
      </c>
      <c r="C12" s="146">
        <f t="shared" si="2"/>
        <v>15000</v>
      </c>
      <c r="D12" s="146">
        <f t="shared" si="2"/>
        <v>0</v>
      </c>
      <c r="E12" s="146">
        <f t="shared" si="2"/>
        <v>0</v>
      </c>
      <c r="F12" s="146">
        <f t="shared" si="2"/>
        <v>15000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15000</v>
      </c>
      <c r="S12" s="148"/>
      <c r="T12" s="148"/>
      <c r="U12" s="143"/>
    </row>
    <row r="13" spans="1:21" s="144" customFormat="1">
      <c r="A13" s="287" t="s">
        <v>902</v>
      </c>
      <c r="B13" s="146">
        <f>SUM(C13+D13)</f>
        <v>125000</v>
      </c>
      <c r="C13" s="147">
        <v>125000</v>
      </c>
      <c r="D13" s="147"/>
      <c r="E13" s="147"/>
      <c r="F13" s="147">
        <f>C13</f>
        <v>125000</v>
      </c>
      <c r="G13" s="147"/>
      <c r="H13" s="147"/>
      <c r="I13" s="147"/>
      <c r="J13" s="147"/>
      <c r="K13" s="147"/>
      <c r="L13" s="147"/>
      <c r="M13" s="147"/>
      <c r="N13" s="147"/>
      <c r="O13" s="147"/>
      <c r="P13" s="147"/>
      <c r="Q13" s="147"/>
      <c r="R13" s="516">
        <f>SUM(E13:Q13)</f>
        <v>125000</v>
      </c>
      <c r="S13" s="147">
        <v>125000</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3500000</v>
      </c>
      <c r="C27" s="147">
        <v>3500000</v>
      </c>
      <c r="D27" s="147"/>
      <c r="E27" s="147"/>
      <c r="F27" s="147">
        <f>C27</f>
        <v>3500000</v>
      </c>
      <c r="G27" s="147"/>
      <c r="H27" s="147"/>
      <c r="I27" s="147"/>
      <c r="J27" s="147"/>
      <c r="K27" s="147"/>
      <c r="L27" s="147"/>
      <c r="M27" s="147"/>
      <c r="N27" s="147"/>
      <c r="O27" s="147"/>
      <c r="P27" s="147"/>
      <c r="Q27" s="147"/>
      <c r="R27" s="516">
        <f t="shared" si="4"/>
        <v>3500000</v>
      </c>
      <c r="S27" s="147">
        <v>3500000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8240000</v>
      </c>
      <c r="C29" s="147">
        <v>8240000</v>
      </c>
      <c r="D29" s="147"/>
      <c r="E29" s="147"/>
      <c r="F29" s="147">
        <f>C29-E29</f>
        <v>8240000</v>
      </c>
      <c r="G29" s="147"/>
      <c r="H29" s="147"/>
      <c r="I29" s="147"/>
      <c r="J29" s="147"/>
      <c r="K29" s="147"/>
      <c r="L29" s="147"/>
      <c r="M29" s="147"/>
      <c r="N29" s="147"/>
      <c r="O29" s="147"/>
      <c r="P29" s="147"/>
      <c r="Q29" s="147"/>
      <c r="R29" s="516">
        <f t="shared" ref="R29:R37" si="7">SUM(E29:Q29)</f>
        <v>8240000</v>
      </c>
      <c r="S29" s="147">
        <f>C29</f>
        <v>8240000</v>
      </c>
      <c r="T29" s="147"/>
      <c r="U29" s="143"/>
    </row>
    <row r="30" spans="1:21" s="144" customFormat="1">
      <c r="A30" s="145" t="s">
        <v>599</v>
      </c>
      <c r="B30" s="146">
        <f t="shared" si="6"/>
        <v>77311420</v>
      </c>
      <c r="C30" s="147">
        <v>77311420</v>
      </c>
      <c r="D30" s="147"/>
      <c r="E30" s="147">
        <v>75334292</v>
      </c>
      <c r="F30" s="147">
        <f>C30-E30</f>
        <v>1977128</v>
      </c>
      <c r="G30" s="147"/>
      <c r="H30" s="147"/>
      <c r="I30" s="147"/>
      <c r="J30" s="147"/>
      <c r="K30" s="147"/>
      <c r="L30" s="147"/>
      <c r="M30" s="147"/>
      <c r="N30" s="147"/>
      <c r="O30" s="147"/>
      <c r="P30" s="147"/>
      <c r="Q30" s="147"/>
      <c r="R30" s="516">
        <f t="shared" si="7"/>
        <v>77311420</v>
      </c>
      <c r="S30" s="147">
        <f t="shared" ref="S30:S37" si="8">C30</f>
        <v>77311420</v>
      </c>
      <c r="T30" s="147"/>
      <c r="U30" s="143"/>
    </row>
    <row r="31" spans="1:21" s="144" customFormat="1">
      <c r="A31" s="145" t="s">
        <v>600</v>
      </c>
      <c r="B31" s="146">
        <f t="shared" si="6"/>
        <v>2950000</v>
      </c>
      <c r="C31" s="147">
        <v>2950000</v>
      </c>
      <c r="D31" s="147"/>
      <c r="E31" s="147"/>
      <c r="F31" s="147">
        <f>C31</f>
        <v>2950000</v>
      </c>
      <c r="G31" s="147"/>
      <c r="H31" s="147"/>
      <c r="I31" s="147"/>
      <c r="J31" s="147"/>
      <c r="K31" s="147"/>
      <c r="L31" s="147"/>
      <c r="M31" s="147"/>
      <c r="N31" s="147"/>
      <c r="O31" s="147"/>
      <c r="P31" s="147"/>
      <c r="Q31" s="147"/>
      <c r="R31" s="516">
        <f t="shared" si="7"/>
        <v>2950000</v>
      </c>
      <c r="S31" s="147">
        <f t="shared" si="8"/>
        <v>2950000</v>
      </c>
      <c r="T31" s="147"/>
      <c r="U31" s="143"/>
    </row>
    <row r="32" spans="1:21" s="144" customFormat="1">
      <c r="A32" s="145" t="s">
        <v>137</v>
      </c>
      <c r="B32" s="146">
        <f t="shared" si="6"/>
        <v>2950000</v>
      </c>
      <c r="C32" s="147">
        <v>2950000</v>
      </c>
      <c r="D32" s="147"/>
      <c r="E32" s="147"/>
      <c r="F32" s="147">
        <f t="shared" ref="F32:F37" si="9">C32</f>
        <v>2950000</v>
      </c>
      <c r="G32" s="147"/>
      <c r="H32" s="147"/>
      <c r="I32" s="147"/>
      <c r="J32" s="147"/>
      <c r="K32" s="147"/>
      <c r="L32" s="147"/>
      <c r="M32" s="147"/>
      <c r="N32" s="147"/>
      <c r="O32" s="147"/>
      <c r="P32" s="147"/>
      <c r="Q32" s="147"/>
      <c r="R32" s="516">
        <f t="shared" si="7"/>
        <v>2950000</v>
      </c>
      <c r="S32" s="147">
        <f t="shared" si="8"/>
        <v>2950000</v>
      </c>
      <c r="T32" s="147"/>
      <c r="U32" s="143"/>
    </row>
    <row r="33" spans="1:21" s="144" customFormat="1">
      <c r="A33" s="145" t="s">
        <v>138</v>
      </c>
      <c r="B33" s="146">
        <f t="shared" si="6"/>
        <v>2808580</v>
      </c>
      <c r="C33" s="147">
        <v>2808580</v>
      </c>
      <c r="D33" s="147"/>
      <c r="E33" s="147"/>
      <c r="F33" s="147">
        <f t="shared" si="9"/>
        <v>2808580</v>
      </c>
      <c r="G33" s="147"/>
      <c r="H33" s="147"/>
      <c r="I33" s="147"/>
      <c r="J33" s="147"/>
      <c r="K33" s="147"/>
      <c r="L33" s="147"/>
      <c r="M33" s="147"/>
      <c r="N33" s="147"/>
      <c r="O33" s="147"/>
      <c r="P33" s="147"/>
      <c r="Q33" s="147"/>
      <c r="R33" s="516">
        <f t="shared" si="7"/>
        <v>2808580</v>
      </c>
      <c r="S33" s="147">
        <f t="shared" si="8"/>
        <v>2808580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740000</v>
      </c>
      <c r="C35" s="147">
        <v>740000</v>
      </c>
      <c r="D35" s="147"/>
      <c r="E35" s="147"/>
      <c r="F35" s="147">
        <f t="shared" si="9"/>
        <v>740000</v>
      </c>
      <c r="G35" s="147"/>
      <c r="H35" s="147"/>
      <c r="I35" s="147"/>
      <c r="J35" s="147"/>
      <c r="K35" s="147"/>
      <c r="L35" s="147"/>
      <c r="M35" s="147"/>
      <c r="N35" s="147"/>
      <c r="O35" s="147"/>
      <c r="P35" s="147"/>
      <c r="Q35" s="147"/>
      <c r="R35" s="516">
        <f t="shared" si="7"/>
        <v>740000</v>
      </c>
      <c r="S35" s="147">
        <f t="shared" si="8"/>
        <v>740000</v>
      </c>
      <c r="T35" s="147"/>
      <c r="U35" s="143"/>
    </row>
    <row r="36" spans="1:21" s="144" customFormat="1">
      <c r="A36" s="283" t="s">
        <v>1640</v>
      </c>
      <c r="B36" s="146">
        <f t="shared" si="6"/>
        <v>500000</v>
      </c>
      <c r="C36" s="147">
        <v>500000</v>
      </c>
      <c r="D36" s="147"/>
      <c r="E36" s="147"/>
      <c r="F36" s="147">
        <f t="shared" si="9"/>
        <v>500000</v>
      </c>
      <c r="G36" s="147"/>
      <c r="H36" s="147"/>
      <c r="I36" s="147"/>
      <c r="J36" s="147"/>
      <c r="K36" s="147"/>
      <c r="L36" s="147"/>
      <c r="M36" s="147"/>
      <c r="N36" s="147"/>
      <c r="O36" s="147"/>
      <c r="P36" s="147"/>
      <c r="Q36" s="147"/>
      <c r="R36" s="516">
        <f t="shared" si="7"/>
        <v>500000</v>
      </c>
      <c r="S36" s="147">
        <f t="shared" si="8"/>
        <v>500000</v>
      </c>
      <c r="T36" s="147"/>
      <c r="U36" s="143"/>
    </row>
    <row r="37" spans="1:21" s="144" customFormat="1">
      <c r="A37" s="1149" t="s">
        <v>2719</v>
      </c>
      <c r="B37" s="146">
        <f t="shared" si="6"/>
        <v>1000000</v>
      </c>
      <c r="C37" s="147">
        <v>1000000</v>
      </c>
      <c r="D37" s="147"/>
      <c r="E37" s="147"/>
      <c r="F37" s="147">
        <f t="shared" si="9"/>
        <v>1000000</v>
      </c>
      <c r="G37" s="147"/>
      <c r="H37" s="147"/>
      <c r="I37" s="147"/>
      <c r="J37" s="147"/>
      <c r="K37" s="147"/>
      <c r="L37" s="147"/>
      <c r="M37" s="147"/>
      <c r="N37" s="147"/>
      <c r="O37" s="147"/>
      <c r="P37" s="147"/>
      <c r="Q37" s="147"/>
      <c r="R37" s="516">
        <f t="shared" si="7"/>
        <v>1000000</v>
      </c>
      <c r="S37" s="147">
        <f t="shared" si="8"/>
        <v>1000000</v>
      </c>
      <c r="T37" s="147"/>
      <c r="U37" s="143"/>
    </row>
    <row r="38" spans="1:21" s="144" customFormat="1">
      <c r="A38" s="149" t="s">
        <v>143</v>
      </c>
      <c r="B38" s="146">
        <f t="shared" si="6"/>
        <v>96500000</v>
      </c>
      <c r="C38" s="146">
        <f>SUM(C29:C37)</f>
        <v>96500000</v>
      </c>
      <c r="D38" s="146">
        <f t="shared" ref="D38:Q38" si="10">SUM(D29:D37)</f>
        <v>0</v>
      </c>
      <c r="E38" s="146">
        <f t="shared" si="10"/>
        <v>75334292</v>
      </c>
      <c r="F38" s="146">
        <f t="shared" si="10"/>
        <v>21165708</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96500000</v>
      </c>
      <c r="S38" s="150">
        <f>SUM(S29:S37)</f>
        <v>96500000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1525000</v>
      </c>
      <c r="C40" s="147">
        <v>1525000</v>
      </c>
      <c r="D40" s="147"/>
      <c r="E40" s="147"/>
      <c r="F40" s="147">
        <f>C40</f>
        <v>1525000</v>
      </c>
      <c r="G40" s="147"/>
      <c r="H40" s="147"/>
      <c r="I40" s="147"/>
      <c r="J40" s="147"/>
      <c r="K40" s="147"/>
      <c r="L40" s="147"/>
      <c r="M40" s="147"/>
      <c r="N40" s="147"/>
      <c r="O40" s="147"/>
      <c r="P40" s="147"/>
      <c r="Q40" s="147"/>
      <c r="R40" s="516">
        <f>SUM(E40:Q40)</f>
        <v>1525000</v>
      </c>
      <c r="S40" s="147">
        <f>C40</f>
        <v>1525000</v>
      </c>
      <c r="T40" s="147"/>
      <c r="U40" s="143"/>
    </row>
    <row r="41" spans="1:21" s="144" customFormat="1">
      <c r="A41" s="145" t="s">
        <v>146</v>
      </c>
      <c r="B41" s="146">
        <f>SUM(C41+D41)</f>
        <v>475000</v>
      </c>
      <c r="C41" s="147">
        <v>475000</v>
      </c>
      <c r="D41" s="147"/>
      <c r="E41" s="147"/>
      <c r="F41" s="147">
        <f>C41</f>
        <v>475000</v>
      </c>
      <c r="G41" s="147"/>
      <c r="H41" s="147"/>
      <c r="I41" s="147"/>
      <c r="J41" s="147"/>
      <c r="K41" s="147"/>
      <c r="L41" s="147"/>
      <c r="M41" s="147"/>
      <c r="N41" s="147"/>
      <c r="O41" s="147"/>
      <c r="P41" s="147"/>
      <c r="Q41" s="147"/>
      <c r="R41" s="516">
        <f>SUM(E41:Q41)</f>
        <v>475000</v>
      </c>
      <c r="S41" s="147">
        <f>C41</f>
        <v>475000</v>
      </c>
      <c r="T41" s="147"/>
      <c r="U41" s="143"/>
    </row>
    <row r="42" spans="1:21" s="144" customFormat="1">
      <c r="A42" s="149" t="s">
        <v>147</v>
      </c>
      <c r="B42" s="146">
        <f>SUM(C42:D42)</f>
        <v>2000000</v>
      </c>
      <c r="C42" s="146">
        <f>SUM(C39:C41)</f>
        <v>2000000</v>
      </c>
      <c r="D42" s="146">
        <f>SUM(D39:D41)</f>
        <v>0</v>
      </c>
      <c r="E42" s="146">
        <f t="shared" ref="E42:T42" si="11">SUM(E40:E41)</f>
        <v>0</v>
      </c>
      <c r="F42" s="146">
        <f t="shared" si="11"/>
        <v>2000000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2000000</v>
      </c>
      <c r="S42" s="150">
        <f t="shared" si="11"/>
        <v>2000000</v>
      </c>
      <c r="T42" s="150">
        <f t="shared" si="11"/>
        <v>0</v>
      </c>
      <c r="U42" s="143"/>
    </row>
    <row r="43" spans="1:21" s="144" customFormat="1">
      <c r="A43" s="149" t="s">
        <v>148</v>
      </c>
      <c r="B43" s="146">
        <f>SUM(C43:D43)</f>
        <v>1460000</v>
      </c>
      <c r="C43" s="147">
        <v>1460000</v>
      </c>
      <c r="D43" s="147"/>
      <c r="E43" s="147"/>
      <c r="F43" s="147">
        <f>C43</f>
        <v>1460000</v>
      </c>
      <c r="G43" s="147"/>
      <c r="H43" s="147"/>
      <c r="I43" s="147"/>
      <c r="J43" s="147"/>
      <c r="K43" s="147"/>
      <c r="L43" s="147"/>
      <c r="M43" s="147"/>
      <c r="N43" s="147"/>
      <c r="O43" s="147"/>
      <c r="P43" s="147"/>
      <c r="Q43" s="147"/>
      <c r="R43" s="516">
        <f>SUM(E43:Q43)</f>
        <v>1460000</v>
      </c>
      <c r="S43" s="147">
        <f>C43</f>
        <v>1460000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15125000</v>
      </c>
      <c r="C45" s="147">
        <v>15125000</v>
      </c>
      <c r="D45" s="147"/>
      <c r="E45" s="147"/>
      <c r="F45" s="147">
        <f>C45-H45</f>
        <v>15125000</v>
      </c>
      <c r="G45" s="147"/>
      <c r="H45" s="147"/>
      <c r="I45" s="147"/>
      <c r="J45" s="147"/>
      <c r="K45" s="147"/>
      <c r="L45" s="147"/>
      <c r="M45" s="147"/>
      <c r="N45" s="147"/>
      <c r="O45" s="147"/>
      <c r="P45" s="147"/>
      <c r="Q45" s="147"/>
      <c r="R45" s="516">
        <f t="shared" ref="R45:R53" si="13">SUM(E45:Q45)</f>
        <v>15125000</v>
      </c>
      <c r="S45" s="147">
        <f>15125000-51000</f>
        <v>15074000</v>
      </c>
      <c r="T45" s="147"/>
      <c r="U45" s="143"/>
    </row>
    <row r="46" spans="1:21" s="144" customFormat="1">
      <c r="A46" s="145" t="s">
        <v>151</v>
      </c>
      <c r="B46" s="146">
        <f t="shared" si="12"/>
        <v>1100000</v>
      </c>
      <c r="C46" s="147">
        <v>1100000</v>
      </c>
      <c r="D46" s="147"/>
      <c r="E46" s="147"/>
      <c r="F46" s="147">
        <f>C46</f>
        <v>1100000</v>
      </c>
      <c r="G46" s="147"/>
      <c r="H46" s="147"/>
      <c r="I46" s="147"/>
      <c r="J46" s="147"/>
      <c r="K46" s="147"/>
      <c r="L46" s="147"/>
      <c r="M46" s="147"/>
      <c r="N46" s="147"/>
      <c r="O46" s="147"/>
      <c r="P46" s="147"/>
      <c r="Q46" s="147"/>
      <c r="R46" s="516">
        <f t="shared" si="13"/>
        <v>1100000</v>
      </c>
      <c r="S46" s="147">
        <f>C46</f>
        <v>1100000</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513000</v>
      </c>
      <c r="C49" s="147">
        <v>513000</v>
      </c>
      <c r="D49" s="147"/>
      <c r="E49" s="147"/>
      <c r="F49" s="147">
        <f>C49</f>
        <v>513000</v>
      </c>
      <c r="G49" s="147"/>
      <c r="H49" s="147"/>
      <c r="I49" s="147"/>
      <c r="J49" s="147"/>
      <c r="K49" s="147"/>
      <c r="L49" s="147"/>
      <c r="M49" s="147"/>
      <c r="N49" s="147"/>
      <c r="O49" s="147"/>
      <c r="P49" s="147"/>
      <c r="Q49" s="147"/>
      <c r="R49" s="516">
        <f t="shared" si="13"/>
        <v>513000</v>
      </c>
      <c r="S49" s="147">
        <v>498000</v>
      </c>
      <c r="T49" s="147"/>
      <c r="U49" s="143"/>
    </row>
    <row r="50" spans="1:21" s="144" customFormat="1">
      <c r="A50" s="145" t="s">
        <v>156</v>
      </c>
      <c r="B50" s="146">
        <f t="shared" si="12"/>
        <v>127500</v>
      </c>
      <c r="C50" s="147">
        <v>127500</v>
      </c>
      <c r="D50" s="147"/>
      <c r="E50" s="147"/>
      <c r="F50" s="147">
        <f>C50</f>
        <v>127500</v>
      </c>
      <c r="G50" s="147"/>
      <c r="H50" s="147"/>
      <c r="I50" s="147"/>
      <c r="J50" s="147"/>
      <c r="K50" s="147"/>
      <c r="L50" s="147"/>
      <c r="M50" s="147"/>
      <c r="N50" s="147"/>
      <c r="O50" s="147"/>
      <c r="P50" s="147"/>
      <c r="Q50" s="147"/>
      <c r="R50" s="516">
        <f t="shared" si="13"/>
        <v>127500</v>
      </c>
      <c r="S50" s="147">
        <f>C50</f>
        <v>127500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1200000</v>
      </c>
      <c r="C52" s="147">
        <v>1200000</v>
      </c>
      <c r="D52" s="147"/>
      <c r="E52" s="147"/>
      <c r="F52" s="147">
        <f>C52</f>
        <v>1200000</v>
      </c>
      <c r="G52" s="147"/>
      <c r="H52" s="147"/>
      <c r="I52" s="147"/>
      <c r="J52" s="147"/>
      <c r="K52" s="147"/>
      <c r="L52" s="147"/>
      <c r="M52" s="147"/>
      <c r="N52" s="147"/>
      <c r="O52" s="147"/>
      <c r="P52" s="147"/>
      <c r="Q52" s="147"/>
      <c r="R52" s="516">
        <f t="shared" si="13"/>
        <v>1200000</v>
      </c>
      <c r="S52" s="147">
        <f>C52</f>
        <v>1200000</v>
      </c>
      <c r="T52" s="147"/>
      <c r="U52" s="143"/>
    </row>
    <row r="53" spans="1:21" s="144" customFormat="1" ht="24">
      <c r="A53" s="1149" t="s">
        <v>2720</v>
      </c>
      <c r="B53" s="146">
        <f t="shared" si="12"/>
        <v>2000000</v>
      </c>
      <c r="C53" s="147">
        <v>2000000</v>
      </c>
      <c r="D53" s="147"/>
      <c r="E53" s="147"/>
      <c r="F53" s="147">
        <f>C53</f>
        <v>2000000</v>
      </c>
      <c r="G53" s="147"/>
      <c r="H53" s="147"/>
      <c r="I53" s="147"/>
      <c r="J53" s="147"/>
      <c r="K53" s="147"/>
      <c r="L53" s="147"/>
      <c r="M53" s="147"/>
      <c r="N53" s="147"/>
      <c r="O53" s="147"/>
      <c r="P53" s="147"/>
      <c r="Q53" s="147"/>
      <c r="R53" s="516">
        <f t="shared" si="13"/>
        <v>2000000</v>
      </c>
      <c r="S53" s="147">
        <v>2000000</v>
      </c>
      <c r="T53" s="147"/>
      <c r="U53" s="143"/>
    </row>
    <row r="54" spans="1:21" s="153" customFormat="1">
      <c r="A54" s="149" t="s">
        <v>157</v>
      </c>
      <c r="B54" s="150">
        <f>SUM(C54:D54)</f>
        <v>20065500</v>
      </c>
      <c r="C54" s="150">
        <f t="shared" ref="C54:T54" si="14">SUM(C45:C53)</f>
        <v>20065500</v>
      </c>
      <c r="D54" s="150">
        <f t="shared" si="14"/>
        <v>0</v>
      </c>
      <c r="E54" s="150">
        <f t="shared" si="14"/>
        <v>0</v>
      </c>
      <c r="F54" s="150">
        <f t="shared" si="14"/>
        <v>20065500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20065500</v>
      </c>
      <c r="S54" s="150">
        <f t="shared" si="14"/>
        <v>19999500</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10000</v>
      </c>
      <c r="C56" s="147">
        <v>10000</v>
      </c>
      <c r="D56" s="147"/>
      <c r="E56" s="147"/>
      <c r="F56" s="147">
        <f>C56</f>
        <v>10000</v>
      </c>
      <c r="G56" s="147"/>
      <c r="H56" s="147"/>
      <c r="I56" s="147"/>
      <c r="J56" s="147"/>
      <c r="K56" s="147"/>
      <c r="L56" s="147"/>
      <c r="M56" s="147"/>
      <c r="N56" s="147"/>
      <c r="O56" s="147"/>
      <c r="P56" s="147"/>
      <c r="Q56" s="147"/>
      <c r="R56" s="516">
        <f t="shared" ref="R56:R61" si="16">SUM(E56:Q56)</f>
        <v>10000</v>
      </c>
      <c r="S56" s="148"/>
      <c r="T56" s="148"/>
      <c r="U56" s="143"/>
    </row>
    <row r="57" spans="1:21" s="192" customFormat="1">
      <c r="A57" s="186" t="s">
        <v>152</v>
      </c>
      <c r="B57" s="193">
        <f t="shared" si="15"/>
        <v>50000</v>
      </c>
      <c r="C57" s="190">
        <v>50000</v>
      </c>
      <c r="D57" s="190"/>
      <c r="E57" s="190"/>
      <c r="F57" s="190">
        <f t="shared" ref="F57:F58" si="17">C57</f>
        <v>50000</v>
      </c>
      <c r="G57" s="190"/>
      <c r="H57" s="190"/>
      <c r="I57" s="190"/>
      <c r="J57" s="190"/>
      <c r="K57" s="190"/>
      <c r="L57" s="190"/>
      <c r="M57" s="190"/>
      <c r="N57" s="190"/>
      <c r="O57" s="190"/>
      <c r="P57" s="190"/>
      <c r="Q57" s="190"/>
      <c r="R57" s="516">
        <f t="shared" si="16"/>
        <v>50000</v>
      </c>
      <c r="S57" s="194"/>
      <c r="T57" s="194"/>
      <c r="U57" s="191"/>
    </row>
    <row r="58" spans="1:21" s="144" customFormat="1">
      <c r="A58" s="145" t="s">
        <v>156</v>
      </c>
      <c r="B58" s="146">
        <f t="shared" si="15"/>
        <v>10000</v>
      </c>
      <c r="C58" s="147">
        <v>10000</v>
      </c>
      <c r="D58" s="147"/>
      <c r="E58" s="147"/>
      <c r="F58" s="147">
        <f t="shared" si="17"/>
        <v>10000</v>
      </c>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300</v>
      </c>
      <c r="B62" s="146">
        <f>SUM(C62:D62)</f>
        <v>70000</v>
      </c>
      <c r="C62" s="146">
        <f t="shared" ref="C62:R62" si="18">SUM(C56:C61)</f>
        <v>70000</v>
      </c>
      <c r="D62" s="146">
        <f t="shared" si="18"/>
        <v>0</v>
      </c>
      <c r="E62" s="146">
        <f t="shared" si="18"/>
        <v>0</v>
      </c>
      <c r="F62" s="146">
        <f t="shared" si="18"/>
        <v>70000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70000</v>
      </c>
      <c r="S62" s="148"/>
      <c r="T62" s="148"/>
      <c r="U62" s="143"/>
    </row>
    <row r="63" spans="1:21" s="144" customFormat="1">
      <c r="A63" s="154" t="s">
        <v>301</v>
      </c>
      <c r="B63" s="146">
        <f t="shared" ref="B63:R63" si="19">SUM(B8+B11+B13+B14+B15+B26+B27+B38+B42+B43+B54+B62)</f>
        <v>123735500</v>
      </c>
      <c r="C63" s="146">
        <f t="shared" si="19"/>
        <v>123735500</v>
      </c>
      <c r="D63" s="146">
        <f t="shared" si="19"/>
        <v>0</v>
      </c>
      <c r="E63" s="146">
        <f t="shared" si="19"/>
        <v>75334292</v>
      </c>
      <c r="F63" s="146">
        <f t="shared" si="19"/>
        <v>48401208</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123735500</v>
      </c>
      <c r="S63" s="146">
        <f>SUM(S10+S13+S14+S15+S26+S27+S38+S42+S43+S54)</f>
        <v>123584500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135000</v>
      </c>
      <c r="C65" s="147">
        <v>135000</v>
      </c>
      <c r="D65" s="147"/>
      <c r="E65" s="147"/>
      <c r="F65" s="147">
        <f>C65</f>
        <v>135000</v>
      </c>
      <c r="G65" s="147"/>
      <c r="H65" s="147"/>
      <c r="I65" s="147"/>
      <c r="J65" s="147"/>
      <c r="K65" s="147"/>
      <c r="L65" s="147"/>
      <c r="M65" s="147"/>
      <c r="N65" s="147"/>
      <c r="O65" s="147"/>
      <c r="P65" s="147"/>
      <c r="Q65" s="147"/>
      <c r="R65" s="516">
        <f>SUM(E65:Q65)</f>
        <v>135000</v>
      </c>
      <c r="S65" s="147">
        <f>C65</f>
        <v>135000</v>
      </c>
      <c r="T65" s="147"/>
      <c r="U65" s="143"/>
    </row>
    <row r="66" spans="1:21" s="144" customFormat="1" ht="24" customHeight="1">
      <c r="A66" s="283" t="s">
        <v>1641</v>
      </c>
      <c r="B66" s="146">
        <f>SUM(C66+D66)</f>
        <v>100000</v>
      </c>
      <c r="C66" s="147">
        <v>100000</v>
      </c>
      <c r="D66" s="147"/>
      <c r="E66" s="147"/>
      <c r="F66" s="147">
        <f t="shared" ref="F66:F69" si="20">C66</f>
        <v>100000</v>
      </c>
      <c r="G66" s="147"/>
      <c r="H66" s="147"/>
      <c r="I66" s="147"/>
      <c r="J66" s="147"/>
      <c r="K66" s="147"/>
      <c r="L66" s="147"/>
      <c r="M66" s="147"/>
      <c r="N66" s="147"/>
      <c r="O66" s="147"/>
      <c r="P66" s="147"/>
      <c r="Q66" s="147"/>
      <c r="R66" s="516">
        <f>SUM(E66:Q66)</f>
        <v>100000</v>
      </c>
      <c r="S66" s="147">
        <f t="shared" ref="S66:S69" si="21">C66</f>
        <v>100000</v>
      </c>
      <c r="T66" s="147"/>
      <c r="U66" s="143"/>
    </row>
    <row r="67" spans="1:21" s="144" customFormat="1" ht="24" customHeight="1">
      <c r="A67" s="283" t="s">
        <v>1642</v>
      </c>
      <c r="B67" s="146">
        <f>SUM(C67+D67)</f>
        <v>40000</v>
      </c>
      <c r="C67" s="147">
        <v>40000</v>
      </c>
      <c r="D67" s="147"/>
      <c r="E67" s="147"/>
      <c r="F67" s="147">
        <f t="shared" si="20"/>
        <v>40000</v>
      </c>
      <c r="G67" s="147"/>
      <c r="H67" s="147"/>
      <c r="I67" s="147"/>
      <c r="J67" s="147"/>
      <c r="K67" s="147"/>
      <c r="L67" s="147"/>
      <c r="M67" s="147"/>
      <c r="N67" s="147"/>
      <c r="O67" s="147"/>
      <c r="P67" s="147"/>
      <c r="Q67" s="147"/>
      <c r="R67" s="516">
        <f>SUM(E67:Q67)</f>
        <v>40000</v>
      </c>
      <c r="S67" s="147">
        <f t="shared" si="21"/>
        <v>40000</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2721</v>
      </c>
      <c r="B69" s="146">
        <f>SUM(C69+D69)</f>
        <v>120000</v>
      </c>
      <c r="C69" s="147">
        <v>120000</v>
      </c>
      <c r="D69" s="147"/>
      <c r="E69" s="147"/>
      <c r="F69" s="147">
        <f t="shared" si="20"/>
        <v>120000</v>
      </c>
      <c r="G69" s="147"/>
      <c r="H69" s="147"/>
      <c r="I69" s="147"/>
      <c r="J69" s="147"/>
      <c r="K69" s="147"/>
      <c r="L69" s="147"/>
      <c r="M69" s="147"/>
      <c r="N69" s="147"/>
      <c r="O69" s="147"/>
      <c r="P69" s="147"/>
      <c r="Q69" s="147"/>
      <c r="R69" s="516">
        <f>SUM(E69:Q69)</f>
        <v>120000</v>
      </c>
      <c r="S69" s="147">
        <f t="shared" si="21"/>
        <v>120000</v>
      </c>
      <c r="T69" s="147"/>
      <c r="U69" s="143"/>
    </row>
    <row r="70" spans="1:21" s="144" customFormat="1">
      <c r="A70" s="149" t="s">
        <v>1645</v>
      </c>
      <c r="B70" s="146">
        <f>SUM(C70:D70)</f>
        <v>395000</v>
      </c>
      <c r="C70" s="146">
        <f>SUM(C65:C69)</f>
        <v>395000</v>
      </c>
      <c r="D70" s="146">
        <f>SUM(D65:D69)</f>
        <v>0</v>
      </c>
      <c r="E70" s="146">
        <f t="shared" ref="E70:T70" si="22">SUM(E65:E69)</f>
        <v>0</v>
      </c>
      <c r="F70" s="146">
        <f t="shared" si="22"/>
        <v>395000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395000</v>
      </c>
      <c r="S70" s="150">
        <f t="shared" si="22"/>
        <v>395000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1500000</v>
      </c>
      <c r="C75" s="147">
        <v>1500000</v>
      </c>
      <c r="D75" s="147"/>
      <c r="E75" s="147"/>
      <c r="F75" s="147">
        <f>C75</f>
        <v>1500000</v>
      </c>
      <c r="G75" s="147"/>
      <c r="H75" s="147"/>
      <c r="I75" s="147"/>
      <c r="J75" s="147"/>
      <c r="K75" s="147"/>
      <c r="L75" s="147"/>
      <c r="M75" s="147"/>
      <c r="N75" s="147"/>
      <c r="O75" s="147"/>
      <c r="P75" s="147"/>
      <c r="Q75" s="147"/>
      <c r="R75" s="516">
        <f>SUM(E75:Q75)</f>
        <v>1500000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1500000</v>
      </c>
      <c r="C77" s="146">
        <f>SUM(C72:C76)</f>
        <v>1500000</v>
      </c>
      <c r="D77" s="146">
        <f>SUM(D72:D76)</f>
        <v>0</v>
      </c>
      <c r="E77" s="146">
        <f t="shared" ref="E77:Q77" si="23">SUM(E72:E76)</f>
        <v>0</v>
      </c>
      <c r="F77" s="146">
        <f t="shared" si="23"/>
        <v>1500000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1500000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9500000</v>
      </c>
      <c r="C79" s="147">
        <v>9500000</v>
      </c>
      <c r="D79" s="147"/>
      <c r="E79" s="147"/>
      <c r="F79" s="147">
        <f>C79-H79</f>
        <v>6757601</v>
      </c>
      <c r="G79" s="147"/>
      <c r="H79" s="147">
        <v>2742399</v>
      </c>
      <c r="I79" s="147"/>
      <c r="J79" s="147"/>
      <c r="K79" s="147"/>
      <c r="L79" s="147"/>
      <c r="M79" s="147"/>
      <c r="N79" s="147"/>
      <c r="O79" s="147"/>
      <c r="P79" s="147"/>
      <c r="Q79" s="147"/>
      <c r="R79" s="516">
        <f>SUM(E79:Q79)</f>
        <v>9500000</v>
      </c>
      <c r="S79" s="147">
        <f>C79</f>
        <v>9500000</v>
      </c>
      <c r="T79" s="147"/>
      <c r="U79" s="143"/>
    </row>
    <row r="80" spans="1:21" s="144" customFormat="1">
      <c r="A80" s="283" t="s">
        <v>58</v>
      </c>
      <c r="B80" s="146">
        <f>SUM(C80:D80)</f>
        <v>1067100</v>
      </c>
      <c r="C80" s="147">
        <v>1067100</v>
      </c>
      <c r="D80" s="147"/>
      <c r="E80" s="147"/>
      <c r="F80" s="147">
        <f>C80</f>
        <v>1067100</v>
      </c>
      <c r="G80" s="147"/>
      <c r="H80" s="147"/>
      <c r="I80" s="147"/>
      <c r="J80" s="147"/>
      <c r="K80" s="147"/>
      <c r="L80" s="147"/>
      <c r="M80" s="147"/>
      <c r="N80" s="147"/>
      <c r="O80" s="147"/>
      <c r="P80" s="147"/>
      <c r="Q80" s="147"/>
      <c r="R80" s="516">
        <f>SUM(E80:Q80)</f>
        <v>1067100</v>
      </c>
      <c r="S80" s="147">
        <f>C80</f>
        <v>1067100</v>
      </c>
      <c r="T80" s="147"/>
      <c r="U80" s="143"/>
    </row>
    <row r="81" spans="1:21" s="144" customFormat="1">
      <c r="A81" s="149" t="s">
        <v>1209</v>
      </c>
      <c r="B81" s="146">
        <f>SUM(C81:D81)</f>
        <v>10567100</v>
      </c>
      <c r="C81" s="509">
        <f>SUM(C79:C80)</f>
        <v>10567100</v>
      </c>
      <c r="D81" s="509">
        <f t="shared" ref="D81:T81" si="24">SUM(D79:D80)</f>
        <v>0</v>
      </c>
      <c r="E81" s="509">
        <f t="shared" si="24"/>
        <v>0</v>
      </c>
      <c r="F81" s="509">
        <f t="shared" si="24"/>
        <v>7824701</v>
      </c>
      <c r="G81" s="509">
        <f t="shared" si="24"/>
        <v>0</v>
      </c>
      <c r="H81" s="509">
        <f t="shared" si="24"/>
        <v>2742399</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10567100</v>
      </c>
      <c r="S81" s="509">
        <f t="shared" si="24"/>
        <v>10567100</v>
      </c>
      <c r="T81" s="509">
        <f t="shared" si="2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5">SUM(C83+D83)</f>
        <v>70000</v>
      </c>
      <c r="C83" s="147">
        <v>70000</v>
      </c>
      <c r="D83" s="147"/>
      <c r="E83" s="147"/>
      <c r="F83" s="147">
        <f>C83</f>
        <v>70000</v>
      </c>
      <c r="G83" s="147"/>
      <c r="H83" s="147"/>
      <c r="I83" s="147"/>
      <c r="J83" s="147"/>
      <c r="K83" s="147"/>
      <c r="L83" s="147"/>
      <c r="M83" s="147"/>
      <c r="N83" s="147"/>
      <c r="O83" s="147"/>
      <c r="P83" s="147"/>
      <c r="Q83" s="147"/>
      <c r="R83" s="516">
        <f t="shared" ref="R83:R95" si="26">SUM(E83:Q83)</f>
        <v>70000</v>
      </c>
      <c r="S83" s="148"/>
      <c r="T83" s="148"/>
      <c r="U83" s="143"/>
    </row>
    <row r="84" spans="1:21" s="144" customFormat="1">
      <c r="A84" s="145" t="s">
        <v>767</v>
      </c>
      <c r="B84" s="146">
        <f t="shared" si="25"/>
        <v>1900</v>
      </c>
      <c r="C84" s="147">
        <v>1900</v>
      </c>
      <c r="D84" s="147"/>
      <c r="E84" s="147"/>
      <c r="F84" s="147">
        <f t="shared" ref="F84:F91" si="27">C84</f>
        <v>1900</v>
      </c>
      <c r="G84" s="147"/>
      <c r="H84" s="147"/>
      <c r="I84" s="147"/>
      <c r="J84" s="147"/>
      <c r="K84" s="147"/>
      <c r="L84" s="147"/>
      <c r="M84" s="147"/>
      <c r="N84" s="147"/>
      <c r="O84" s="147"/>
      <c r="P84" s="147"/>
      <c r="Q84" s="147"/>
      <c r="R84" s="516">
        <f t="shared" si="26"/>
        <v>1900</v>
      </c>
      <c r="S84" s="147">
        <f>C84</f>
        <v>1900</v>
      </c>
      <c r="T84" s="147"/>
      <c r="U84" s="143"/>
    </row>
    <row r="85" spans="1:21" s="144" customFormat="1">
      <c r="A85" s="145" t="s">
        <v>768</v>
      </c>
      <c r="B85" s="146">
        <f t="shared" si="25"/>
        <v>0</v>
      </c>
      <c r="C85" s="147">
        <v>0</v>
      </c>
      <c r="D85" s="147"/>
      <c r="E85" s="147"/>
      <c r="F85" s="147">
        <f t="shared" si="27"/>
        <v>0</v>
      </c>
      <c r="G85" s="147"/>
      <c r="H85" s="147"/>
      <c r="I85" s="147"/>
      <c r="J85" s="147"/>
      <c r="K85" s="147"/>
      <c r="L85" s="147"/>
      <c r="M85" s="147"/>
      <c r="N85" s="147"/>
      <c r="O85" s="147"/>
      <c r="P85" s="147"/>
      <c r="Q85" s="147"/>
      <c r="R85" s="516">
        <f t="shared" si="26"/>
        <v>0</v>
      </c>
      <c r="S85" s="147">
        <f t="shared" ref="S85:S87" si="28">C85</f>
        <v>0</v>
      </c>
      <c r="T85" s="147"/>
      <c r="U85" s="143"/>
    </row>
    <row r="86" spans="1:21" s="144" customFormat="1">
      <c r="A86" s="145" t="s">
        <v>769</v>
      </c>
      <c r="B86" s="146">
        <f t="shared" si="25"/>
        <v>1310000</v>
      </c>
      <c r="C86" s="147">
        <v>1310000</v>
      </c>
      <c r="D86" s="147"/>
      <c r="E86" s="147"/>
      <c r="F86" s="147">
        <f t="shared" si="27"/>
        <v>1310000</v>
      </c>
      <c r="G86" s="147"/>
      <c r="H86" s="147"/>
      <c r="I86" s="147"/>
      <c r="J86" s="147"/>
      <c r="K86" s="147"/>
      <c r="L86" s="147"/>
      <c r="M86" s="147"/>
      <c r="N86" s="147"/>
      <c r="O86" s="147"/>
      <c r="P86" s="147"/>
      <c r="Q86" s="147"/>
      <c r="R86" s="516">
        <f t="shared" si="26"/>
        <v>1310000</v>
      </c>
      <c r="S86" s="147">
        <f t="shared" si="28"/>
        <v>1310000</v>
      </c>
      <c r="T86" s="147"/>
      <c r="U86" s="143"/>
    </row>
    <row r="87" spans="1:21" s="144" customFormat="1">
      <c r="A87" s="145" t="s">
        <v>770</v>
      </c>
      <c r="B87" s="146">
        <f t="shared" si="25"/>
        <v>321600</v>
      </c>
      <c r="C87" s="147">
        <f>151379100-151057500</f>
        <v>321600</v>
      </c>
      <c r="D87" s="147"/>
      <c r="E87" s="147"/>
      <c r="F87" s="147">
        <f t="shared" si="27"/>
        <v>321600</v>
      </c>
      <c r="G87" s="147"/>
      <c r="H87" s="147"/>
      <c r="I87" s="147"/>
      <c r="J87" s="147"/>
      <c r="K87" s="147"/>
      <c r="L87" s="147"/>
      <c r="M87" s="147"/>
      <c r="N87" s="147"/>
      <c r="O87" s="147"/>
      <c r="P87" s="147"/>
      <c r="Q87" s="147"/>
      <c r="R87" s="516">
        <f t="shared" si="26"/>
        <v>321600</v>
      </c>
      <c r="S87" s="147">
        <f t="shared" si="28"/>
        <v>321600</v>
      </c>
      <c r="T87" s="147"/>
      <c r="U87" s="143"/>
    </row>
    <row r="88" spans="1:21" s="144" customFormat="1">
      <c r="A88" s="145" t="s">
        <v>771</v>
      </c>
      <c r="B88" s="146">
        <f t="shared" si="25"/>
        <v>150000</v>
      </c>
      <c r="C88" s="147">
        <v>150000</v>
      </c>
      <c r="D88" s="147"/>
      <c r="E88" s="147"/>
      <c r="F88" s="147">
        <f t="shared" si="27"/>
        <v>150000</v>
      </c>
      <c r="G88" s="147"/>
      <c r="H88" s="147"/>
      <c r="I88" s="147"/>
      <c r="J88" s="147"/>
      <c r="K88" s="147"/>
      <c r="L88" s="147"/>
      <c r="M88" s="147"/>
      <c r="N88" s="147"/>
      <c r="O88" s="147"/>
      <c r="P88" s="147"/>
      <c r="Q88" s="147"/>
      <c r="R88" s="516">
        <f t="shared" si="26"/>
        <v>150000</v>
      </c>
      <c r="S88" s="148"/>
      <c r="T88" s="148"/>
      <c r="U88" s="143"/>
    </row>
    <row r="89" spans="1:21" s="144" customFormat="1">
      <c r="A89" s="145" t="s">
        <v>772</v>
      </c>
      <c r="B89" s="146">
        <f t="shared" si="25"/>
        <v>750000</v>
      </c>
      <c r="C89" s="147">
        <v>750000</v>
      </c>
      <c r="D89" s="147"/>
      <c r="E89" s="147"/>
      <c r="F89" s="147">
        <f t="shared" si="27"/>
        <v>750000</v>
      </c>
      <c r="G89" s="147"/>
      <c r="H89" s="147"/>
      <c r="I89" s="147"/>
      <c r="J89" s="147"/>
      <c r="K89" s="147"/>
      <c r="L89" s="147"/>
      <c r="M89" s="147"/>
      <c r="N89" s="147"/>
      <c r="O89" s="147"/>
      <c r="P89" s="147"/>
      <c r="Q89" s="147"/>
      <c r="R89" s="516">
        <f t="shared" si="26"/>
        <v>750000</v>
      </c>
      <c r="S89" s="147">
        <f>C89</f>
        <v>750000</v>
      </c>
      <c r="T89" s="147"/>
      <c r="U89" s="143"/>
    </row>
    <row r="90" spans="1:21" s="144" customFormat="1">
      <c r="A90" s="145" t="s">
        <v>773</v>
      </c>
      <c r="B90" s="146">
        <f t="shared" si="25"/>
        <v>7000</v>
      </c>
      <c r="C90" s="147">
        <v>7000</v>
      </c>
      <c r="D90" s="147"/>
      <c r="E90" s="147"/>
      <c r="F90" s="147">
        <f t="shared" si="27"/>
        <v>7000</v>
      </c>
      <c r="G90" s="147"/>
      <c r="H90" s="147"/>
      <c r="I90" s="147"/>
      <c r="J90" s="147"/>
      <c r="K90" s="147"/>
      <c r="L90" s="147"/>
      <c r="M90" s="147"/>
      <c r="N90" s="147"/>
      <c r="O90" s="147"/>
      <c r="P90" s="147"/>
      <c r="Q90" s="147"/>
      <c r="R90" s="516">
        <f t="shared" si="26"/>
        <v>7000</v>
      </c>
      <c r="S90" s="147">
        <f t="shared" ref="S90:S91" si="29">C90</f>
        <v>7000</v>
      </c>
      <c r="T90" s="147"/>
      <c r="U90" s="143"/>
    </row>
    <row r="91" spans="1:21" s="144" customFormat="1">
      <c r="A91" s="145" t="s">
        <v>371</v>
      </c>
      <c r="B91" s="146">
        <f t="shared" si="25"/>
        <v>50000</v>
      </c>
      <c r="C91" s="147">
        <v>50000</v>
      </c>
      <c r="D91" s="147"/>
      <c r="E91" s="147"/>
      <c r="F91" s="147">
        <f t="shared" si="27"/>
        <v>50000</v>
      </c>
      <c r="G91" s="147"/>
      <c r="H91" s="147"/>
      <c r="I91" s="147"/>
      <c r="J91" s="147"/>
      <c r="K91" s="147"/>
      <c r="L91" s="147"/>
      <c r="M91" s="147"/>
      <c r="N91" s="147"/>
      <c r="O91" s="147"/>
      <c r="P91" s="147"/>
      <c r="Q91" s="147"/>
      <c r="R91" s="516">
        <f t="shared" si="26"/>
        <v>50000</v>
      </c>
      <c r="S91" s="147">
        <f t="shared" si="29"/>
        <v>50000</v>
      </c>
      <c r="T91" s="147"/>
      <c r="U91" s="143"/>
    </row>
    <row r="92" spans="1:21" s="144" customFormat="1">
      <c r="A92" s="283" t="s">
        <v>1211</v>
      </c>
      <c r="B92" s="146">
        <f t="shared" si="25"/>
        <v>0</v>
      </c>
      <c r="C92" s="147"/>
      <c r="D92" s="147"/>
      <c r="E92" s="147"/>
      <c r="F92" s="147"/>
      <c r="G92" s="147"/>
      <c r="H92" s="147"/>
      <c r="I92" s="147"/>
      <c r="J92" s="147"/>
      <c r="K92" s="147"/>
      <c r="L92" s="147"/>
      <c r="M92" s="147"/>
      <c r="N92" s="147"/>
      <c r="O92" s="147"/>
      <c r="P92" s="147"/>
      <c r="Q92" s="147"/>
      <c r="R92" s="516">
        <f t="shared" si="26"/>
        <v>0</v>
      </c>
      <c r="S92" s="147"/>
      <c r="T92" s="147"/>
      <c r="U92" s="143"/>
    </row>
    <row r="93" spans="1:21" s="144" customFormat="1">
      <c r="A93" s="1149" t="s">
        <v>34</v>
      </c>
      <c r="B93" s="146">
        <f t="shared" si="25"/>
        <v>0</v>
      </c>
      <c r="C93" s="147"/>
      <c r="D93" s="147"/>
      <c r="E93" s="147"/>
      <c r="F93" s="147"/>
      <c r="G93" s="147"/>
      <c r="H93" s="147"/>
      <c r="I93" s="147"/>
      <c r="J93" s="147"/>
      <c r="K93" s="147"/>
      <c r="L93" s="147"/>
      <c r="M93" s="147"/>
      <c r="N93" s="147"/>
      <c r="O93" s="147"/>
      <c r="P93" s="147"/>
      <c r="Q93" s="147"/>
      <c r="R93" s="516">
        <f t="shared" si="26"/>
        <v>0</v>
      </c>
      <c r="S93" s="147"/>
      <c r="T93" s="147"/>
      <c r="U93" s="143"/>
    </row>
    <row r="94" spans="1:21" s="144" customFormat="1">
      <c r="A94" s="1149" t="s">
        <v>34</v>
      </c>
      <c r="B94" s="146">
        <f t="shared" si="25"/>
        <v>0</v>
      </c>
      <c r="C94" s="147"/>
      <c r="D94" s="147"/>
      <c r="E94" s="147"/>
      <c r="F94" s="147"/>
      <c r="G94" s="147"/>
      <c r="H94" s="147"/>
      <c r="I94" s="147"/>
      <c r="J94" s="147"/>
      <c r="K94" s="147"/>
      <c r="L94" s="147"/>
      <c r="M94" s="147"/>
      <c r="N94" s="147"/>
      <c r="O94" s="147"/>
      <c r="P94" s="147"/>
      <c r="Q94" s="147"/>
      <c r="R94" s="516">
        <f t="shared" si="26"/>
        <v>0</v>
      </c>
      <c r="S94" s="147"/>
      <c r="T94" s="147"/>
      <c r="U94" s="143"/>
    </row>
    <row r="95" spans="1:21" s="144" customFormat="1">
      <c r="A95" s="1149" t="s">
        <v>34</v>
      </c>
      <c r="B95" s="146">
        <f t="shared" si="25"/>
        <v>0</v>
      </c>
      <c r="C95" s="147"/>
      <c r="D95" s="147"/>
      <c r="E95" s="147"/>
      <c r="F95" s="147"/>
      <c r="G95" s="147"/>
      <c r="H95" s="147"/>
      <c r="I95" s="147"/>
      <c r="J95" s="147"/>
      <c r="K95" s="147"/>
      <c r="L95" s="147"/>
      <c r="M95" s="147"/>
      <c r="N95" s="147"/>
      <c r="O95" s="147"/>
      <c r="P95" s="147"/>
      <c r="Q95" s="147"/>
      <c r="R95" s="516">
        <f t="shared" si="26"/>
        <v>0</v>
      </c>
      <c r="S95" s="147"/>
      <c r="T95" s="147"/>
      <c r="U95" s="143"/>
    </row>
    <row r="96" spans="1:21" s="144" customFormat="1">
      <c r="A96" s="149" t="s">
        <v>774</v>
      </c>
      <c r="B96" s="146">
        <f>SUM(C96:D96)</f>
        <v>2660500</v>
      </c>
      <c r="C96" s="146">
        <f t="shared" ref="C96:R96" si="30">SUM(C83:C95)</f>
        <v>2660500</v>
      </c>
      <c r="D96" s="146">
        <f t="shared" si="30"/>
        <v>0</v>
      </c>
      <c r="E96" s="146">
        <f t="shared" si="30"/>
        <v>0</v>
      </c>
      <c r="F96" s="146">
        <f t="shared" si="30"/>
        <v>2660500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2660500</v>
      </c>
      <c r="S96" s="150">
        <f>SUM(S84:S87,S89:S95)</f>
        <v>2440500</v>
      </c>
      <c r="T96" s="146">
        <f>SUM(T84:T87,T89:T95)</f>
        <v>0</v>
      </c>
      <c r="U96" s="143"/>
    </row>
    <row r="97" spans="1:21" s="144" customFormat="1">
      <c r="A97" s="149" t="s">
        <v>775</v>
      </c>
      <c r="B97" s="146">
        <f>SUM(C97:D97)</f>
        <v>138858100</v>
      </c>
      <c r="C97" s="146">
        <f t="shared" ref="C97:R97" si="31">SUM(C63+C70+C77+C81+C96)</f>
        <v>138858100</v>
      </c>
      <c r="D97" s="146">
        <f t="shared" si="31"/>
        <v>0</v>
      </c>
      <c r="E97" s="146">
        <f t="shared" si="31"/>
        <v>75334292</v>
      </c>
      <c r="F97" s="146">
        <f t="shared" si="31"/>
        <v>60781409</v>
      </c>
      <c r="G97" s="146">
        <f t="shared" si="31"/>
        <v>0</v>
      </c>
      <c r="H97" s="146">
        <f t="shared" si="31"/>
        <v>2742399</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138858100</v>
      </c>
      <c r="S97" s="146">
        <f>SUM(S63+S70+S81+S96)</f>
        <v>136987100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20500000</v>
      </c>
      <c r="C99" s="979">
        <v>20500000</v>
      </c>
      <c r="D99" s="979"/>
      <c r="E99" s="979"/>
      <c r="F99" s="147">
        <f>C99-G99</f>
        <v>511400</v>
      </c>
      <c r="G99" s="147">
        <v>19988600</v>
      </c>
      <c r="H99" s="147"/>
      <c r="I99" s="147"/>
      <c r="J99" s="147"/>
      <c r="K99" s="147"/>
      <c r="L99" s="147"/>
      <c r="M99" s="147"/>
      <c r="N99" s="147"/>
      <c r="O99" s="147"/>
      <c r="P99" s="147"/>
      <c r="Q99" s="147"/>
      <c r="R99" s="516">
        <f>SUM(E99:Q99)</f>
        <v>20500000</v>
      </c>
      <c r="S99" s="147">
        <f>R99</f>
        <v>20500000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20500000</v>
      </c>
      <c r="C104" s="146">
        <f>SUM(C99:C103)</f>
        <v>20500000</v>
      </c>
      <c r="D104" s="146">
        <f t="shared" ref="D104:T104" si="32">SUM(D99:D103)</f>
        <v>0</v>
      </c>
      <c r="E104" s="146">
        <f t="shared" si="32"/>
        <v>0</v>
      </c>
      <c r="F104" s="146">
        <f t="shared" si="32"/>
        <v>511400</v>
      </c>
      <c r="G104" s="146">
        <f t="shared" si="32"/>
        <v>19988600</v>
      </c>
      <c r="H104" s="146">
        <f t="shared" si="32"/>
        <v>0</v>
      </c>
      <c r="I104" s="146">
        <f t="shared" si="32"/>
        <v>0</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2">
        <f t="shared" si="32"/>
        <v>20500000</v>
      </c>
      <c r="S104" s="150">
        <f t="shared" si="32"/>
        <v>20500000</v>
      </c>
      <c r="T104" s="150">
        <f t="shared" si="32"/>
        <v>0</v>
      </c>
      <c r="U104" s="143"/>
    </row>
    <row r="105" spans="1:21" s="144" customFormat="1">
      <c r="A105" s="149" t="s">
        <v>780</v>
      </c>
      <c r="B105" s="150">
        <f>SUM(C105:D105)</f>
        <v>159358100</v>
      </c>
      <c r="C105" s="150">
        <f t="shared" ref="C105:R105" si="33">SUM(C97+C104)</f>
        <v>159358100</v>
      </c>
      <c r="D105" s="150">
        <f t="shared" si="33"/>
        <v>0</v>
      </c>
      <c r="E105" s="150">
        <f t="shared" si="33"/>
        <v>75334292</v>
      </c>
      <c r="F105" s="150">
        <f t="shared" si="33"/>
        <v>61292809</v>
      </c>
      <c r="G105" s="150">
        <f t="shared" si="33"/>
        <v>19988600</v>
      </c>
      <c r="H105" s="150">
        <f t="shared" si="33"/>
        <v>2742399</v>
      </c>
      <c r="I105" s="150">
        <f t="shared" si="33"/>
        <v>0</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42">
        <f t="shared" si="33"/>
        <v>159358100</v>
      </c>
      <c r="S105" s="150">
        <f>S97+S104</f>
        <v>157487100</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157487100</v>
      </c>
      <c r="T107" s="150">
        <f>T105+T106</f>
        <v>0</v>
      </c>
    </row>
    <row r="108" spans="1:21" s="189" customFormat="1">
      <c r="A108" s="162" t="s">
        <v>879</v>
      </c>
      <c r="B108" s="157"/>
      <c r="C108" s="157"/>
      <c r="D108" s="157"/>
      <c r="E108" s="301">
        <f>Application!AO640</f>
        <v>75334292</v>
      </c>
      <c r="F108" s="301">
        <f>Application!AO627</f>
        <v>61292809</v>
      </c>
      <c r="G108" s="301">
        <f>Application!AO628</f>
        <v>19988600</v>
      </c>
      <c r="H108" s="301">
        <f>Application!AO629</f>
        <v>2742399</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3" t="s">
        <v>1224</v>
      </c>
      <c r="E123" s="1560"/>
      <c r="F123" s="1560"/>
      <c r="G123" s="1560"/>
      <c r="H123" s="1560"/>
      <c r="I123" s="1560"/>
      <c r="J123" s="1560"/>
      <c r="K123" s="1560"/>
      <c r="L123" s="1560"/>
      <c r="M123" s="1560"/>
      <c r="N123" s="1560"/>
      <c r="O123" s="1560"/>
      <c r="P123" s="1560"/>
      <c r="Q123" s="1560"/>
      <c r="R123" s="1560"/>
      <c r="S123" s="1560"/>
      <c r="T123" s="324"/>
      <c r="U123" s="326"/>
    </row>
    <row r="124" spans="1:21" ht="12.75">
      <c r="A124" s="117" t="s">
        <v>992</v>
      </c>
      <c r="B124" s="333"/>
      <c r="C124" s="117"/>
      <c r="D124" s="1560"/>
      <c r="E124" s="1560"/>
      <c r="F124" s="1560"/>
      <c r="G124" s="1560"/>
      <c r="H124" s="1560"/>
      <c r="I124" s="1560"/>
      <c r="J124" s="1560"/>
      <c r="K124" s="1560"/>
      <c r="L124" s="1560"/>
      <c r="M124" s="1560"/>
      <c r="N124" s="1560"/>
      <c r="O124" s="1560"/>
      <c r="P124" s="1560"/>
      <c r="Q124" s="1560"/>
      <c r="R124" s="1560"/>
      <c r="S124" s="1560"/>
      <c r="T124" s="324"/>
      <c r="U124" s="326"/>
    </row>
    <row r="125" spans="1:21" ht="12.75">
      <c r="A125" s="117" t="s">
        <v>993</v>
      </c>
      <c r="B125" s="333"/>
      <c r="C125" s="117"/>
      <c r="D125" s="1560"/>
      <c r="E125" s="1560"/>
      <c r="F125" s="1560"/>
      <c r="G125" s="1560"/>
      <c r="H125" s="1560"/>
      <c r="I125" s="1560"/>
      <c r="J125" s="1560"/>
      <c r="K125" s="1560"/>
      <c r="L125" s="1560"/>
      <c r="M125" s="1560"/>
      <c r="N125" s="1560"/>
      <c r="O125" s="1560"/>
      <c r="P125" s="1560"/>
      <c r="Q125" s="1560"/>
      <c r="R125" s="1560"/>
      <c r="S125" s="1560"/>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299</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5"/>
      <c r="E131" s="1535"/>
      <c r="F131" s="1535"/>
      <c r="G131" s="1535"/>
      <c r="H131" s="1535"/>
      <c r="I131" s="117"/>
      <c r="J131" s="1535"/>
      <c r="K131" s="1535"/>
      <c r="L131" s="1535"/>
      <c r="M131" s="1535"/>
      <c r="N131" s="117"/>
      <c r="O131" s="117"/>
      <c r="P131" s="117"/>
      <c r="Q131" s="117"/>
      <c r="R131" s="117"/>
      <c r="S131" s="117"/>
      <c r="T131" s="324"/>
      <c r="U131" s="326"/>
    </row>
    <row r="132" spans="1:21" ht="12" customHeight="1">
      <c r="A132" s="336"/>
      <c r="B132" s="117"/>
      <c r="C132" s="117"/>
      <c r="D132" s="1864" t="s">
        <v>1000</v>
      </c>
      <c r="E132" s="1864"/>
      <c r="F132" s="1864"/>
      <c r="G132" s="1864"/>
      <c r="H132" s="1864"/>
      <c r="I132" s="117"/>
      <c r="J132" s="1864" t="s">
        <v>1001</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1004</v>
      </c>
      <c r="B139" s="1861"/>
      <c r="C139" s="1861"/>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5" workbookViewId="0">
      <selection activeCell="C59" sqref="C5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1227</v>
      </c>
      <c r="B1" s="1875"/>
      <c r="C1" s="1875"/>
      <c r="D1" s="1875"/>
      <c r="E1" s="1875"/>
      <c r="F1" s="1875"/>
      <c r="G1" s="1875"/>
      <c r="H1" s="1875"/>
      <c r="I1" s="1875"/>
      <c r="J1" s="187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15000</v>
      </c>
      <c r="C6" s="362">
        <f>B6</f>
        <v>15000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15000</v>
      </c>
      <c r="C8" s="361">
        <f>SUM(C4:C7)</f>
        <v>15000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15000</v>
      </c>
      <c r="C12" s="361">
        <f>SUM(C8+C11)</f>
        <v>15000</v>
      </c>
      <c r="D12" s="361">
        <f>SUM(D8+D11)</f>
        <v>0</v>
      </c>
      <c r="E12" s="363"/>
      <c r="F12" s="363"/>
      <c r="G12" s="363"/>
      <c r="H12" s="363"/>
      <c r="I12" s="363"/>
      <c r="J12" s="363"/>
      <c r="K12" s="359"/>
    </row>
    <row r="13" spans="1:11" s="360" customFormat="1">
      <c r="A13" s="366" t="s">
        <v>902</v>
      </c>
      <c r="B13" s="361">
        <f>'Sources and Uses Budget'!C13</f>
        <v>125000</v>
      </c>
      <c r="C13" s="362">
        <f>B13</f>
        <v>125000</v>
      </c>
      <c r="D13" s="362"/>
      <c r="E13" s="361">
        <f>'Sources and Uses Budget'!S13</f>
        <v>125000</v>
      </c>
      <c r="F13" s="362">
        <f>E13</f>
        <v>125000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3500000</v>
      </c>
      <c r="C27" s="362">
        <f>B27</f>
        <v>3500000</v>
      </c>
      <c r="D27" s="362"/>
      <c r="E27" s="361">
        <f>'Sources and Uses Budget'!S27</f>
        <v>3500000</v>
      </c>
      <c r="F27" s="362">
        <f>E27</f>
        <v>3500000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8240000</v>
      </c>
      <c r="C29" s="362">
        <f>B29</f>
        <v>8240000</v>
      </c>
      <c r="D29" s="362"/>
      <c r="E29" s="361">
        <f>'Sources and Uses Budget'!S29</f>
        <v>8240000</v>
      </c>
      <c r="F29" s="362">
        <f>E29</f>
        <v>8240000</v>
      </c>
      <c r="G29" s="362"/>
      <c r="H29" s="361">
        <f>'Sources and Uses Budget'!T29</f>
        <v>0</v>
      </c>
      <c r="I29" s="362"/>
      <c r="J29" s="362"/>
      <c r="K29" s="359"/>
    </row>
    <row r="30" spans="1:11" s="360" customFormat="1">
      <c r="A30" s="145" t="s">
        <v>599</v>
      </c>
      <c r="B30" s="361">
        <f>'Sources and Uses Budget'!C30</f>
        <v>77311420</v>
      </c>
      <c r="C30" s="362">
        <f t="shared" ref="C30:C37" si="0">B30</f>
        <v>77311420</v>
      </c>
      <c r="D30" s="362"/>
      <c r="E30" s="361">
        <f>'Sources and Uses Budget'!S30</f>
        <v>77311420</v>
      </c>
      <c r="F30" s="362">
        <f t="shared" ref="F30:F37" si="1">E30</f>
        <v>77311420</v>
      </c>
      <c r="G30" s="362"/>
      <c r="H30" s="361">
        <f>'Sources and Uses Budget'!T30</f>
        <v>0</v>
      </c>
      <c r="I30" s="362"/>
      <c r="J30" s="362"/>
      <c r="K30" s="359"/>
    </row>
    <row r="31" spans="1:11" s="360" customFormat="1">
      <c r="A31" s="145" t="s">
        <v>600</v>
      </c>
      <c r="B31" s="361">
        <f>'Sources and Uses Budget'!C31</f>
        <v>2950000</v>
      </c>
      <c r="C31" s="362">
        <f t="shared" si="0"/>
        <v>2950000</v>
      </c>
      <c r="D31" s="362"/>
      <c r="E31" s="361">
        <f>'Sources and Uses Budget'!S31</f>
        <v>2950000</v>
      </c>
      <c r="F31" s="362">
        <f t="shared" si="1"/>
        <v>2950000</v>
      </c>
      <c r="G31" s="362"/>
      <c r="H31" s="361">
        <f>'Sources and Uses Budget'!T31</f>
        <v>0</v>
      </c>
      <c r="I31" s="362"/>
      <c r="J31" s="362"/>
      <c r="K31" s="359"/>
    </row>
    <row r="32" spans="1:11" s="360" customFormat="1">
      <c r="A32" s="145" t="s">
        <v>137</v>
      </c>
      <c r="B32" s="361">
        <f>'Sources and Uses Budget'!C32</f>
        <v>2950000</v>
      </c>
      <c r="C32" s="362">
        <f t="shared" si="0"/>
        <v>2950000</v>
      </c>
      <c r="D32" s="362"/>
      <c r="E32" s="361">
        <f>'Sources and Uses Budget'!S32</f>
        <v>2950000</v>
      </c>
      <c r="F32" s="362">
        <f t="shared" si="1"/>
        <v>2950000</v>
      </c>
      <c r="G32" s="362"/>
      <c r="H32" s="361">
        <f>'Sources and Uses Budget'!T32</f>
        <v>0</v>
      </c>
      <c r="I32" s="362"/>
      <c r="J32" s="362"/>
      <c r="K32" s="359"/>
    </row>
    <row r="33" spans="1:11" s="360" customFormat="1">
      <c r="A33" s="145" t="s">
        <v>138</v>
      </c>
      <c r="B33" s="361">
        <f>'Sources and Uses Budget'!C33</f>
        <v>2808580</v>
      </c>
      <c r="C33" s="362">
        <f t="shared" si="0"/>
        <v>2808580</v>
      </c>
      <c r="D33" s="362"/>
      <c r="E33" s="361">
        <f>'Sources and Uses Budget'!S33</f>
        <v>2808580</v>
      </c>
      <c r="F33" s="362">
        <f t="shared" si="1"/>
        <v>2808580</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740000</v>
      </c>
      <c r="C35" s="362">
        <f t="shared" si="0"/>
        <v>740000</v>
      </c>
      <c r="D35" s="362"/>
      <c r="E35" s="361">
        <f>'Sources and Uses Budget'!S35</f>
        <v>740000</v>
      </c>
      <c r="F35" s="362">
        <f t="shared" si="1"/>
        <v>740000</v>
      </c>
      <c r="G35" s="362"/>
      <c r="H35" s="361">
        <f>'Sources and Uses Budget'!T35</f>
        <v>0</v>
      </c>
      <c r="I35" s="362"/>
      <c r="J35" s="362"/>
      <c r="K35" s="359"/>
    </row>
    <row r="36" spans="1:11" s="360" customFormat="1">
      <c r="A36" s="508" t="s">
        <v>1640</v>
      </c>
      <c r="B36" s="361">
        <f>'Sources and Uses Budget'!C36</f>
        <v>500000</v>
      </c>
      <c r="C36" s="362">
        <f t="shared" si="0"/>
        <v>500000</v>
      </c>
      <c r="D36" s="362"/>
      <c r="E36" s="361">
        <f>'Sources and Uses Budget'!S36</f>
        <v>500000</v>
      </c>
      <c r="F36" s="362">
        <f t="shared" si="1"/>
        <v>500000</v>
      </c>
      <c r="G36" s="362"/>
      <c r="H36" s="361">
        <f>'Sources and Uses Budget'!T36</f>
        <v>0</v>
      </c>
      <c r="I36" s="362"/>
      <c r="J36" s="362"/>
      <c r="K36" s="359"/>
    </row>
    <row r="37" spans="1:11" s="360" customFormat="1">
      <c r="A37" s="364" t="str">
        <f>'Sources and Uses Budget'!$A37</f>
        <v>Other: Utility Costs</v>
      </c>
      <c r="B37" s="361">
        <f>'Sources and Uses Budget'!C37</f>
        <v>1000000</v>
      </c>
      <c r="C37" s="362">
        <f t="shared" si="0"/>
        <v>1000000</v>
      </c>
      <c r="D37" s="362"/>
      <c r="E37" s="361">
        <f>'Sources and Uses Budget'!S37</f>
        <v>1000000</v>
      </c>
      <c r="F37" s="362">
        <f t="shared" si="1"/>
        <v>1000000</v>
      </c>
      <c r="G37" s="362"/>
      <c r="H37" s="361">
        <f>'Sources and Uses Budget'!T37</f>
        <v>0</v>
      </c>
      <c r="I37" s="362"/>
      <c r="J37" s="362"/>
      <c r="K37" s="359"/>
    </row>
    <row r="38" spans="1:11" s="360" customFormat="1">
      <c r="A38" s="365" t="s">
        <v>143</v>
      </c>
      <c r="B38" s="361">
        <f>'Sources and Uses Budget'!C38</f>
        <v>96500000</v>
      </c>
      <c r="C38" s="361">
        <f>SUM(C29:C37)</f>
        <v>96500000</v>
      </c>
      <c r="D38" s="361">
        <f>SUM(D29:D37)</f>
        <v>0</v>
      </c>
      <c r="E38" s="361">
        <f>'Sources and Uses Budget'!S38</f>
        <v>96500000</v>
      </c>
      <c r="F38" s="367">
        <f>SUM(F29:F37)</f>
        <v>96500000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1525000</v>
      </c>
      <c r="C40" s="362">
        <f>B40</f>
        <v>1525000</v>
      </c>
      <c r="D40" s="362"/>
      <c r="E40" s="361">
        <f>'Sources and Uses Budget'!S40</f>
        <v>1525000</v>
      </c>
      <c r="F40" s="362">
        <f>E40</f>
        <v>1525000</v>
      </c>
      <c r="G40" s="362"/>
      <c r="H40" s="361">
        <f>'Sources and Uses Budget'!T40</f>
        <v>0</v>
      </c>
      <c r="I40" s="362"/>
      <c r="J40" s="362"/>
      <c r="K40" s="359"/>
    </row>
    <row r="41" spans="1:11" s="360" customFormat="1">
      <c r="A41" s="364" t="s">
        <v>146</v>
      </c>
      <c r="B41" s="361">
        <f>'Sources and Uses Budget'!C41</f>
        <v>475000</v>
      </c>
      <c r="C41" s="362">
        <f>B41</f>
        <v>475000</v>
      </c>
      <c r="D41" s="362"/>
      <c r="E41" s="361">
        <f>'Sources and Uses Budget'!S41</f>
        <v>475000</v>
      </c>
      <c r="F41" s="362">
        <f>E41</f>
        <v>475000</v>
      </c>
      <c r="G41" s="362"/>
      <c r="H41" s="361">
        <f>'Sources and Uses Budget'!T41</f>
        <v>0</v>
      </c>
      <c r="I41" s="362"/>
      <c r="J41" s="362"/>
      <c r="K41" s="359"/>
    </row>
    <row r="42" spans="1:11" s="360" customFormat="1">
      <c r="A42" s="365" t="s">
        <v>147</v>
      </c>
      <c r="B42" s="361">
        <f>'Sources and Uses Budget'!C42</f>
        <v>2000000</v>
      </c>
      <c r="C42" s="361">
        <f>SUM(C39:C41)</f>
        <v>2000000</v>
      </c>
      <c r="D42" s="361">
        <f>SUM(D39:D41)</f>
        <v>0</v>
      </c>
      <c r="E42" s="361">
        <f>'Sources and Uses Budget'!S42</f>
        <v>2000000</v>
      </c>
      <c r="F42" s="367">
        <f>SUM(F40:F41)</f>
        <v>2000000</v>
      </c>
      <c r="G42" s="367">
        <f>SUM(G40:G41)</f>
        <v>0</v>
      </c>
      <c r="H42" s="361">
        <f>'Sources and Uses Budget'!T42</f>
        <v>0</v>
      </c>
      <c r="I42" s="367">
        <f>SUM(I40:I41)</f>
        <v>0</v>
      </c>
      <c r="J42" s="367">
        <f>SUM(J40:J41)</f>
        <v>0</v>
      </c>
      <c r="K42" s="359"/>
    </row>
    <row r="43" spans="1:11" s="360" customFormat="1">
      <c r="A43" s="365" t="s">
        <v>148</v>
      </c>
      <c r="B43" s="361">
        <f>'Sources and Uses Budget'!C43</f>
        <v>1460000</v>
      </c>
      <c r="C43" s="362">
        <f>B43</f>
        <v>1460000</v>
      </c>
      <c r="D43" s="362"/>
      <c r="E43" s="361">
        <f>'Sources and Uses Budget'!S43</f>
        <v>1460000</v>
      </c>
      <c r="F43" s="362">
        <f>E43</f>
        <v>1460000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15125000</v>
      </c>
      <c r="C45" s="362">
        <f>B45</f>
        <v>15125000</v>
      </c>
      <c r="D45" s="362"/>
      <c r="E45" s="361">
        <f>'Sources and Uses Budget'!S45</f>
        <v>15074000</v>
      </c>
      <c r="F45" s="362">
        <f>E45</f>
        <v>15074000</v>
      </c>
      <c r="G45" s="362"/>
      <c r="H45" s="361">
        <f>'Sources and Uses Budget'!T45</f>
        <v>0</v>
      </c>
      <c r="I45" s="362"/>
      <c r="J45" s="362"/>
      <c r="K45" s="359"/>
    </row>
    <row r="46" spans="1:11" s="360" customFormat="1">
      <c r="A46" s="364" t="s">
        <v>151</v>
      </c>
      <c r="B46" s="361">
        <f>'Sources and Uses Budget'!C46</f>
        <v>1100000</v>
      </c>
      <c r="C46" s="362">
        <f t="shared" ref="C46:C53" si="2">B46</f>
        <v>1100000</v>
      </c>
      <c r="D46" s="362"/>
      <c r="E46" s="361">
        <f>'Sources and Uses Budget'!S46</f>
        <v>1100000</v>
      </c>
      <c r="F46" s="362">
        <f t="shared" ref="F46:F53" si="3">E46</f>
        <v>1100000</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513000</v>
      </c>
      <c r="C49" s="362">
        <f t="shared" si="2"/>
        <v>513000</v>
      </c>
      <c r="D49" s="362"/>
      <c r="E49" s="361">
        <f>'Sources and Uses Budget'!S49</f>
        <v>498000</v>
      </c>
      <c r="F49" s="362">
        <f t="shared" si="3"/>
        <v>498000</v>
      </c>
      <c r="G49" s="362"/>
      <c r="H49" s="361">
        <f>'Sources and Uses Budget'!T49</f>
        <v>0</v>
      </c>
      <c r="I49" s="362"/>
      <c r="J49" s="362"/>
      <c r="K49" s="359"/>
    </row>
    <row r="50" spans="1:11" s="360" customFormat="1">
      <c r="A50" s="364" t="s">
        <v>156</v>
      </c>
      <c r="B50" s="361">
        <f>'Sources and Uses Budget'!C50</f>
        <v>127500</v>
      </c>
      <c r="C50" s="362">
        <f t="shared" si="2"/>
        <v>127500</v>
      </c>
      <c r="D50" s="362"/>
      <c r="E50" s="361">
        <f>'Sources and Uses Budget'!S50</f>
        <v>127500</v>
      </c>
      <c r="F50" s="362">
        <f t="shared" si="3"/>
        <v>127500</v>
      </c>
      <c r="G50" s="362"/>
      <c r="H50" s="361">
        <f>'Sources and Uses Budget'!T50</f>
        <v>0</v>
      </c>
      <c r="I50" s="362"/>
      <c r="J50" s="362"/>
      <c r="K50" s="359"/>
    </row>
    <row r="51" spans="1:11" s="360" customFormat="1">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c r="A52" s="364" t="s">
        <v>155</v>
      </c>
      <c r="B52" s="361">
        <f>'Sources and Uses Budget'!C52</f>
        <v>1200000</v>
      </c>
      <c r="C52" s="362">
        <f t="shared" si="2"/>
        <v>1200000</v>
      </c>
      <c r="D52" s="362"/>
      <c r="E52" s="361">
        <f>'Sources and Uses Budget'!S52</f>
        <v>1200000</v>
      </c>
      <c r="F52" s="362">
        <f t="shared" si="3"/>
        <v>1200000</v>
      </c>
      <c r="G52" s="362"/>
      <c r="H52" s="361">
        <f>'Sources and Uses Budget'!T52</f>
        <v>0</v>
      </c>
      <c r="I52" s="362"/>
      <c r="J52" s="362"/>
      <c r="K52" s="359"/>
    </row>
    <row r="53" spans="1:11" s="360" customFormat="1" ht="24">
      <c r="A53" s="364" t="str">
        <f>'Sources and Uses Budget'!$A53</f>
        <v>Other: Construction Interest Rate Cap Premium</v>
      </c>
      <c r="B53" s="361">
        <f>'Sources and Uses Budget'!C53</f>
        <v>2000000</v>
      </c>
      <c r="C53" s="362">
        <f t="shared" si="2"/>
        <v>2000000</v>
      </c>
      <c r="D53" s="362"/>
      <c r="E53" s="361">
        <f>'Sources and Uses Budget'!S53</f>
        <v>2000000</v>
      </c>
      <c r="F53" s="362">
        <f t="shared" si="3"/>
        <v>2000000</v>
      </c>
      <c r="G53" s="362"/>
      <c r="H53" s="361">
        <f>'Sources and Uses Budget'!T53</f>
        <v>0</v>
      </c>
      <c r="I53" s="362"/>
      <c r="J53" s="362"/>
      <c r="K53" s="359"/>
    </row>
    <row r="54" spans="1:11" s="369" customFormat="1">
      <c r="A54" s="365" t="s">
        <v>157</v>
      </c>
      <c r="B54" s="361">
        <f>'Sources and Uses Budget'!C54</f>
        <v>20065500</v>
      </c>
      <c r="C54" s="367">
        <f>SUM(C45:C53)</f>
        <v>20065500</v>
      </c>
      <c r="D54" s="367">
        <f>SUM(D45:D53)</f>
        <v>0</v>
      </c>
      <c r="E54" s="361">
        <f>'Sources and Uses Budget'!S54</f>
        <v>19999500</v>
      </c>
      <c r="F54" s="367">
        <f>SUM(F45:F53)</f>
        <v>19999500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10000</v>
      </c>
      <c r="C56" s="362">
        <f>B56</f>
        <v>10000</v>
      </c>
      <c r="D56" s="362"/>
      <c r="E56" s="363"/>
      <c r="F56" s="363"/>
      <c r="G56" s="363"/>
      <c r="H56" s="363"/>
      <c r="I56" s="363"/>
      <c r="J56" s="363"/>
      <c r="K56" s="359"/>
    </row>
    <row r="57" spans="1:11" s="360" customFormat="1" ht="12" customHeight="1">
      <c r="A57" s="364" t="s">
        <v>152</v>
      </c>
      <c r="B57" s="361">
        <f>'Sources and Uses Budget'!C57</f>
        <v>50000</v>
      </c>
      <c r="C57" s="362">
        <f>B57</f>
        <v>50000</v>
      </c>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70000</v>
      </c>
      <c r="C62" s="361">
        <f>SUM(C56:C61)</f>
        <v>70000</v>
      </c>
      <c r="D62" s="361">
        <f>SUM(D56:D61)</f>
        <v>0</v>
      </c>
      <c r="E62" s="363"/>
      <c r="F62" s="363"/>
      <c r="G62" s="363"/>
      <c r="H62" s="363"/>
      <c r="I62" s="363"/>
      <c r="J62" s="363"/>
      <c r="K62" s="359"/>
    </row>
    <row r="63" spans="1:11" s="360" customFormat="1">
      <c r="A63" s="370" t="s">
        <v>301</v>
      </c>
      <c r="B63" s="361">
        <f>'Sources and Uses Budget'!C63</f>
        <v>123735500</v>
      </c>
      <c r="C63" s="361">
        <f>SUM(C8+C11+C13+C14+C15+C26+C27+C38+C42+C43+C54+C62)</f>
        <v>123735500</v>
      </c>
      <c r="D63" s="361">
        <f>SUM(D8+D11+D13+D14+D15+D26+D27+D38+D42+D43+D54+D62)</f>
        <v>0</v>
      </c>
      <c r="E63" s="361">
        <f>'Sources and Uses Budget'!S63</f>
        <v>123584500</v>
      </c>
      <c r="F63" s="361">
        <f>SUM(F10+F13+F14+F15+F26+F27+F38+F42+F43+F54)</f>
        <v>123584500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135000</v>
      </c>
      <c r="C65" s="362">
        <f>B65</f>
        <v>135000</v>
      </c>
      <c r="D65" s="362"/>
      <c r="E65" s="361">
        <f>'Sources and Uses Budget'!S65</f>
        <v>135000</v>
      </c>
      <c r="F65" s="362">
        <f>E65</f>
        <v>135000</v>
      </c>
      <c r="G65" s="362"/>
      <c r="H65" s="361">
        <f>'Sources and Uses Budget'!T65</f>
        <v>0</v>
      </c>
      <c r="I65" s="362"/>
      <c r="J65" s="362"/>
      <c r="K65" s="359"/>
    </row>
    <row r="66" spans="1:11" s="360" customFormat="1" ht="24">
      <c r="A66" s="283" t="s">
        <v>1641</v>
      </c>
      <c r="B66" s="361">
        <f>'Sources and Uses Budget'!C66</f>
        <v>100000</v>
      </c>
      <c r="C66" s="362">
        <f t="shared" ref="C66:C69" si="4">B66</f>
        <v>100000</v>
      </c>
      <c r="D66" s="362"/>
      <c r="E66" s="361">
        <f>'Sources and Uses Budget'!S66</f>
        <v>100000</v>
      </c>
      <c r="F66" s="362">
        <f t="shared" ref="F66:F69" si="5">E66</f>
        <v>100000</v>
      </c>
      <c r="G66" s="362"/>
      <c r="H66" s="361">
        <f>'Sources and Uses Budget'!T66</f>
        <v>0</v>
      </c>
      <c r="I66" s="362"/>
      <c r="J66" s="362"/>
      <c r="K66" s="359"/>
    </row>
    <row r="67" spans="1:11" s="360" customFormat="1" ht="24">
      <c r="A67" s="283" t="s">
        <v>1642</v>
      </c>
      <c r="B67" s="361">
        <f>'Sources and Uses Budget'!C67</f>
        <v>40000</v>
      </c>
      <c r="C67" s="362">
        <f t="shared" si="4"/>
        <v>40000</v>
      </c>
      <c r="D67" s="362"/>
      <c r="E67" s="361">
        <f>'Sources and Uses Budget'!S67</f>
        <v>40000</v>
      </c>
      <c r="F67" s="362">
        <f t="shared" si="5"/>
        <v>40000</v>
      </c>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f t="shared" si="5"/>
        <v>0</v>
      </c>
      <c r="G68" s="362"/>
      <c r="H68" s="361">
        <f>'Sources and Uses Budget'!T68</f>
        <v>0</v>
      </c>
      <c r="I68" s="362"/>
      <c r="J68" s="362"/>
      <c r="K68" s="359"/>
    </row>
    <row r="69" spans="1:11" s="360" customFormat="1">
      <c r="A69" s="364" t="str">
        <f>'Sources and Uses Budget'!$A69</f>
        <v>Other: Borrrower Legal</v>
      </c>
      <c r="B69" s="361">
        <f>'Sources and Uses Budget'!C69</f>
        <v>120000</v>
      </c>
      <c r="C69" s="362">
        <f t="shared" si="4"/>
        <v>120000</v>
      </c>
      <c r="D69" s="362"/>
      <c r="E69" s="361">
        <f>'Sources and Uses Budget'!S69</f>
        <v>120000</v>
      </c>
      <c r="F69" s="362">
        <f t="shared" si="5"/>
        <v>120000</v>
      </c>
      <c r="G69" s="362"/>
      <c r="H69" s="361">
        <f>'Sources and Uses Budget'!T69</f>
        <v>0</v>
      </c>
      <c r="I69" s="362"/>
      <c r="J69" s="362"/>
      <c r="K69" s="359"/>
    </row>
    <row r="70" spans="1:11" s="360" customFormat="1">
      <c r="A70" s="365" t="s">
        <v>601</v>
      </c>
      <c r="B70" s="361">
        <f>'Sources and Uses Budget'!C70</f>
        <v>395000</v>
      </c>
      <c r="C70" s="361">
        <f>SUM(C64:C69)</f>
        <v>395000</v>
      </c>
      <c r="D70" s="361">
        <f>SUM(D64:D69)</f>
        <v>0</v>
      </c>
      <c r="E70" s="361">
        <f>'Sources and Uses Budget'!S70</f>
        <v>395000</v>
      </c>
      <c r="F70" s="367">
        <f>SUM(F65:F69)</f>
        <v>395000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1500000</v>
      </c>
      <c r="C75" s="362">
        <f>B75</f>
        <v>1500000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1500000</v>
      </c>
      <c r="C77" s="361">
        <f>SUM(C72:C76)</f>
        <v>1500000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9500000</v>
      </c>
      <c r="C79" s="362">
        <f>B79</f>
        <v>9500000</v>
      </c>
      <c r="D79" s="362"/>
      <c r="E79" s="361">
        <f>'Sources and Uses Budget'!S79</f>
        <v>9500000</v>
      </c>
      <c r="F79" s="362">
        <f>E79</f>
        <v>9500000</v>
      </c>
      <c r="G79" s="362"/>
      <c r="H79" s="361">
        <f>'Sources and Uses Budget'!T79</f>
        <v>0</v>
      </c>
      <c r="I79" s="362"/>
      <c r="J79" s="362"/>
      <c r="K79" s="359"/>
    </row>
    <row r="80" spans="1:11" s="360" customFormat="1">
      <c r="A80" s="364" t="s">
        <v>58</v>
      </c>
      <c r="B80" s="361">
        <f>'Sources and Uses Budget'!C80</f>
        <v>1067100</v>
      </c>
      <c r="C80" s="362">
        <f>B80</f>
        <v>1067100</v>
      </c>
      <c r="D80" s="362"/>
      <c r="E80" s="361">
        <f>'Sources and Uses Budget'!S80</f>
        <v>1067100</v>
      </c>
      <c r="F80" s="362">
        <f>E80</f>
        <v>1067100</v>
      </c>
      <c r="G80" s="362"/>
      <c r="H80" s="361">
        <f>'Sources and Uses Budget'!T80</f>
        <v>0</v>
      </c>
      <c r="I80" s="362"/>
      <c r="J80" s="362"/>
      <c r="K80" s="359"/>
    </row>
    <row r="81" spans="1:11" s="360" customFormat="1">
      <c r="A81" s="365" t="s">
        <v>1209</v>
      </c>
      <c r="B81" s="361">
        <f>'Sources and Uses Budget'!C81</f>
        <v>10567100</v>
      </c>
      <c r="C81" s="361">
        <f>SUM(C79:C80)</f>
        <v>10567100</v>
      </c>
      <c r="D81" s="361">
        <f>SUM(D79:D80)</f>
        <v>0</v>
      </c>
      <c r="E81" s="361">
        <f>'Sources and Uses Budget'!S81</f>
        <v>10567100</v>
      </c>
      <c r="F81" s="361">
        <f>SUM(F79:F80)</f>
        <v>10567100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70000</v>
      </c>
      <c r="C83" s="362">
        <f>B83</f>
        <v>70000</v>
      </c>
      <c r="D83" s="362"/>
      <c r="E83" s="363"/>
      <c r="F83" s="363"/>
      <c r="G83" s="363"/>
      <c r="H83" s="363"/>
      <c r="I83" s="363"/>
      <c r="J83" s="363"/>
      <c r="K83" s="359"/>
    </row>
    <row r="84" spans="1:11" s="360" customFormat="1">
      <c r="A84" s="145" t="s">
        <v>767</v>
      </c>
      <c r="B84" s="361">
        <f>'Sources and Uses Budget'!C84</f>
        <v>1900</v>
      </c>
      <c r="C84" s="362">
        <f t="shared" ref="C84:C91" si="6">B84</f>
        <v>1900</v>
      </c>
      <c r="D84" s="362"/>
      <c r="E84" s="361">
        <f>'Sources and Uses Budget'!S84</f>
        <v>1900</v>
      </c>
      <c r="F84" s="362">
        <f>E84</f>
        <v>1900</v>
      </c>
      <c r="G84" s="362"/>
      <c r="H84" s="361">
        <f>'Sources and Uses Budget'!T84</f>
        <v>0</v>
      </c>
      <c r="I84" s="362"/>
      <c r="J84" s="362"/>
      <c r="K84" s="359"/>
    </row>
    <row r="85" spans="1:11" s="360" customFormat="1">
      <c r="A85" s="145" t="s">
        <v>768</v>
      </c>
      <c r="B85" s="361">
        <f>'Sources and Uses Budget'!C85</f>
        <v>0</v>
      </c>
      <c r="C85" s="362">
        <f t="shared" si="6"/>
        <v>0</v>
      </c>
      <c r="D85" s="362"/>
      <c r="E85" s="361">
        <f>'Sources and Uses Budget'!S85</f>
        <v>0</v>
      </c>
      <c r="F85" s="362">
        <f t="shared" ref="F85:F87" si="7">E85</f>
        <v>0</v>
      </c>
      <c r="G85" s="362"/>
      <c r="H85" s="361">
        <f>'Sources and Uses Budget'!T85</f>
        <v>0</v>
      </c>
      <c r="I85" s="362"/>
      <c r="J85" s="362"/>
      <c r="K85" s="359"/>
    </row>
    <row r="86" spans="1:11" s="360" customFormat="1">
      <c r="A86" s="145" t="s">
        <v>769</v>
      </c>
      <c r="B86" s="361">
        <f>'Sources and Uses Budget'!C86</f>
        <v>1310000</v>
      </c>
      <c r="C86" s="362">
        <f t="shared" si="6"/>
        <v>1310000</v>
      </c>
      <c r="D86" s="362"/>
      <c r="E86" s="361">
        <f>'Sources and Uses Budget'!S86</f>
        <v>1310000</v>
      </c>
      <c r="F86" s="362">
        <f t="shared" si="7"/>
        <v>1310000</v>
      </c>
      <c r="G86" s="362"/>
      <c r="H86" s="361">
        <f>'Sources and Uses Budget'!T86</f>
        <v>0</v>
      </c>
      <c r="I86" s="362"/>
      <c r="J86" s="362"/>
      <c r="K86" s="359"/>
    </row>
    <row r="87" spans="1:11" s="360" customFormat="1">
      <c r="A87" s="145" t="s">
        <v>770</v>
      </c>
      <c r="B87" s="361">
        <f>'Sources and Uses Budget'!C87</f>
        <v>321600</v>
      </c>
      <c r="C87" s="362">
        <f t="shared" si="6"/>
        <v>321600</v>
      </c>
      <c r="D87" s="362"/>
      <c r="E87" s="361">
        <f>'Sources and Uses Budget'!S87</f>
        <v>321600</v>
      </c>
      <c r="F87" s="362">
        <f t="shared" si="7"/>
        <v>321600</v>
      </c>
      <c r="G87" s="362"/>
      <c r="H87" s="361">
        <f>'Sources and Uses Budget'!T87</f>
        <v>0</v>
      </c>
      <c r="I87" s="362"/>
      <c r="J87" s="362"/>
      <c r="K87" s="359"/>
    </row>
    <row r="88" spans="1:11" s="360" customFormat="1">
      <c r="A88" s="145" t="s">
        <v>771</v>
      </c>
      <c r="B88" s="361">
        <f>'Sources and Uses Budget'!C88</f>
        <v>150000</v>
      </c>
      <c r="C88" s="362">
        <f t="shared" si="6"/>
        <v>150000</v>
      </c>
      <c r="D88" s="362"/>
      <c r="E88" s="363"/>
      <c r="F88" s="363"/>
      <c r="G88" s="363"/>
      <c r="H88" s="363"/>
      <c r="I88" s="363"/>
      <c r="J88" s="363"/>
      <c r="K88" s="359"/>
    </row>
    <row r="89" spans="1:11" s="360" customFormat="1">
      <c r="A89" s="145" t="s">
        <v>772</v>
      </c>
      <c r="B89" s="361">
        <f>'Sources and Uses Budget'!C89</f>
        <v>750000</v>
      </c>
      <c r="C89" s="362">
        <f t="shared" si="6"/>
        <v>750000</v>
      </c>
      <c r="D89" s="362"/>
      <c r="E89" s="361">
        <f>'Sources and Uses Budget'!S89</f>
        <v>750000</v>
      </c>
      <c r="F89" s="362">
        <f>E89</f>
        <v>750000</v>
      </c>
      <c r="G89" s="362"/>
      <c r="H89" s="361">
        <f>'Sources and Uses Budget'!T89</f>
        <v>0</v>
      </c>
      <c r="I89" s="362"/>
      <c r="J89" s="362"/>
      <c r="K89" s="359"/>
    </row>
    <row r="90" spans="1:11" s="360" customFormat="1">
      <c r="A90" s="145" t="s">
        <v>773</v>
      </c>
      <c r="B90" s="361">
        <f>'Sources and Uses Budget'!C90</f>
        <v>7000</v>
      </c>
      <c r="C90" s="362">
        <f t="shared" si="6"/>
        <v>7000</v>
      </c>
      <c r="D90" s="362"/>
      <c r="E90" s="361">
        <f>'Sources and Uses Budget'!S90</f>
        <v>7000</v>
      </c>
      <c r="F90" s="362">
        <f t="shared" ref="F90:F91" si="8">E90</f>
        <v>7000</v>
      </c>
      <c r="G90" s="362"/>
      <c r="H90" s="361">
        <f>'Sources and Uses Budget'!T90</f>
        <v>0</v>
      </c>
      <c r="I90" s="362"/>
      <c r="J90" s="362"/>
      <c r="K90" s="359"/>
    </row>
    <row r="91" spans="1:11" s="360" customFormat="1">
      <c r="A91" s="155" t="s">
        <v>371</v>
      </c>
      <c r="B91" s="361">
        <f>'Sources and Uses Budget'!C91</f>
        <v>50000</v>
      </c>
      <c r="C91" s="362">
        <f t="shared" si="6"/>
        <v>50000</v>
      </c>
      <c r="D91" s="362"/>
      <c r="E91" s="361">
        <f>'Sources and Uses Budget'!S91</f>
        <v>50000</v>
      </c>
      <c r="F91" s="362">
        <f t="shared" si="8"/>
        <v>50000</v>
      </c>
      <c r="G91" s="362"/>
      <c r="H91" s="361">
        <f>'Sources and Uses Budget'!T91</f>
        <v>0</v>
      </c>
      <c r="I91" s="362"/>
      <c r="J91" s="362"/>
      <c r="K91" s="359"/>
    </row>
    <row r="92" spans="1:11" s="360" customFormat="1">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2660500</v>
      </c>
      <c r="C96" s="361">
        <f>SUM(C83:C95)</f>
        <v>2660500</v>
      </c>
      <c r="D96" s="361">
        <f>SUM(D83:D95)</f>
        <v>0</v>
      </c>
      <c r="E96" s="361">
        <f>'Sources and Uses Budget'!S96</f>
        <v>2440500</v>
      </c>
      <c r="F96" s="367">
        <f>SUM(F84:F87,F89:F95)</f>
        <v>2440500</v>
      </c>
      <c r="G96" s="367">
        <f>SUM(G84:G87,G89:G95)</f>
        <v>0</v>
      </c>
      <c r="H96" s="361">
        <f>'Sources and Uses Budget'!T96</f>
        <v>0</v>
      </c>
      <c r="I96" s="361">
        <f>SUM(I84:I87,I89:I95)</f>
        <v>0</v>
      </c>
      <c r="J96" s="361">
        <f>SUM(J84:J87,J89:J95)</f>
        <v>0</v>
      </c>
      <c r="K96" s="359"/>
    </row>
    <row r="97" spans="1:11" s="360" customFormat="1">
      <c r="A97" s="365" t="s">
        <v>1029</v>
      </c>
      <c r="B97" s="361">
        <f>'Sources and Uses Budget'!C97</f>
        <v>138858100</v>
      </c>
      <c r="C97" s="361">
        <f>SUM(C63+C70+C77+C81+C96)</f>
        <v>138858100</v>
      </c>
      <c r="D97" s="361">
        <f>SUM(D63+D70+D77+D81+D96)</f>
        <v>0</v>
      </c>
      <c r="E97" s="361">
        <f>'Sources and Uses Budget'!S97</f>
        <v>136987100</v>
      </c>
      <c r="F97" s="367">
        <f>SUM(+F63+F70+F81+F96)</f>
        <v>136987100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20500000</v>
      </c>
      <c r="C99" s="362">
        <f>B99</f>
        <v>20500000</v>
      </c>
      <c r="D99" s="362"/>
      <c r="E99" s="361">
        <f>'Sources and Uses Budget'!S99</f>
        <v>20500000</v>
      </c>
      <c r="F99" s="362">
        <f>E99</f>
        <v>20500000</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20500000</v>
      </c>
      <c r="C104" s="361">
        <f>SUM(C99:C103)</f>
        <v>20500000</v>
      </c>
      <c r="D104" s="361">
        <f>SUM(D99:D103)</f>
        <v>0</v>
      </c>
      <c r="E104" s="361">
        <f>'Sources and Uses Budget'!S104</f>
        <v>20500000</v>
      </c>
      <c r="F104" s="367">
        <f>SUM(F99:F103)</f>
        <v>20500000</v>
      </c>
      <c r="G104" s="367">
        <f>SUM(G99:G103)</f>
        <v>0</v>
      </c>
      <c r="H104" s="361">
        <f>'Sources and Uses Budget'!T104</f>
        <v>0</v>
      </c>
      <c r="I104" s="367">
        <f>SUM(I99:I103)</f>
        <v>0</v>
      </c>
      <c r="J104" s="367">
        <f>SUM(J99:J103)</f>
        <v>0</v>
      </c>
      <c r="K104" s="359"/>
    </row>
    <row r="105" spans="1:11" s="360" customFormat="1">
      <c r="A105" s="365" t="s">
        <v>1030</v>
      </c>
      <c r="B105" s="361">
        <f>'Sources and Uses Budget'!C105</f>
        <v>159358100</v>
      </c>
      <c r="C105" s="367">
        <f>SUM(C97+C104)</f>
        <v>159358100</v>
      </c>
      <c r="D105" s="367">
        <f>SUM(D97+D104)</f>
        <v>0</v>
      </c>
      <c r="E105" s="361">
        <f>'Sources and Uses Budget'!S105</f>
        <v>157487100</v>
      </c>
      <c r="F105" s="367">
        <f>F97+F104</f>
        <v>157487100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157487100</v>
      </c>
      <c r="F107" s="367">
        <f>F105+F106</f>
        <v>157487100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885" t="s">
        <v>2456</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2455</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7" t="str">
        <f>IF(Application!H18="","",Application!H18)</f>
        <v>The Green at Warner Center</v>
      </c>
      <c r="M4" s="1878"/>
      <c r="N4" s="1878"/>
      <c r="O4" s="1878"/>
      <c r="P4" s="1878"/>
      <c r="Q4" s="1878"/>
      <c r="R4" s="1878"/>
      <c r="S4" s="1878"/>
      <c r="T4" s="1878"/>
      <c r="U4" s="1878"/>
      <c r="V4" s="1878"/>
      <c r="W4" s="1878"/>
      <c r="X4" s="1878"/>
      <c r="Y4" s="1878"/>
      <c r="Z4" s="1878"/>
      <c r="AA4" s="1878"/>
      <c r="AB4" s="1878"/>
      <c r="AC4" s="1879"/>
      <c r="AD4" s="1190"/>
      <c r="AE4" s="1190"/>
      <c r="AF4" s="1891" t="s">
        <v>2454</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2453</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7" t="str">
        <f>IF(Application!H16="","",Application!H16)</f>
        <v>Capstone Equities, LLC</v>
      </c>
      <c r="M6" s="1878"/>
      <c r="N6" s="1878"/>
      <c r="O6" s="1878"/>
      <c r="P6" s="1878"/>
      <c r="Q6" s="1878"/>
      <c r="R6" s="1878"/>
      <c r="S6" s="1878"/>
      <c r="T6" s="1878"/>
      <c r="U6" s="1878"/>
      <c r="V6" s="1878"/>
      <c r="W6" s="1878"/>
      <c r="X6" s="1878"/>
      <c r="Y6" s="1878"/>
      <c r="Z6" s="1878"/>
      <c r="AA6" s="1878"/>
      <c r="AB6" s="1878"/>
      <c r="AC6" s="1879"/>
      <c r="AD6" s="1190"/>
      <c r="AE6" s="1190"/>
      <c r="AF6" s="1880" t="s">
        <v>2451</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2450</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2448</v>
      </c>
      <c r="AG8" s="1880"/>
      <c r="AH8" s="1880"/>
      <c r="AI8" s="1880"/>
      <c r="AJ8" s="1880"/>
      <c r="AK8" s="1880"/>
      <c r="AL8" s="1880"/>
      <c r="AM8" s="1880"/>
      <c r="AN8" s="1880"/>
      <c r="AO8" s="1880"/>
      <c r="AP8" s="1881" t="s">
        <v>2098</v>
      </c>
      <c r="AQ8" s="1881"/>
      <c r="AR8" s="1881"/>
      <c r="AS8" s="1881"/>
      <c r="AT8" s="1881"/>
      <c r="AU8" s="1881"/>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2447</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6">
        <f>Application!AO627</f>
        <v>61292809</v>
      </c>
      <c r="O10" s="1906"/>
      <c r="P10" s="1906"/>
      <c r="Q10" s="1906"/>
      <c r="R10" s="1906"/>
      <c r="S10" s="1906"/>
      <c r="T10" s="1906"/>
      <c r="U10" s="1190"/>
      <c r="V10" s="1190"/>
      <c r="W10" s="1190"/>
      <c r="X10" s="1193"/>
      <c r="Y10" s="1193"/>
      <c r="Z10" s="1193"/>
      <c r="AA10" s="1193"/>
      <c r="AB10" s="1193"/>
      <c r="AC10" s="1193"/>
      <c r="AD10" s="1193"/>
      <c r="AE10" s="1193"/>
      <c r="AF10" s="1891" t="s">
        <v>2444</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2441</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4" t="s">
        <v>2439</v>
      </c>
      <c r="C13" s="1895"/>
      <c r="D13" s="1895"/>
      <c r="E13" s="1895"/>
      <c r="F13" s="1895"/>
      <c r="G13" s="1895"/>
      <c r="H13" s="1895"/>
      <c r="I13" s="1895"/>
      <c r="J13" s="1895"/>
      <c r="K13" s="1895"/>
      <c r="L13" s="1895"/>
      <c r="M13" s="1895"/>
      <c r="N13" s="1895"/>
      <c r="O13" s="1895"/>
      <c r="P13" s="1896"/>
      <c r="Q13" s="1897" t="s">
        <v>669</v>
      </c>
      <c r="R13" s="1898"/>
      <c r="S13" s="1898"/>
      <c r="T13" s="1899"/>
      <c r="U13" s="1193"/>
      <c r="V13" s="1190"/>
      <c r="W13" s="1190"/>
      <c r="X13" s="1190"/>
      <c r="Y13" s="1190"/>
      <c r="Z13" s="1190"/>
      <c r="AA13" s="1900" t="s">
        <v>2438</v>
      </c>
      <c r="AB13" s="1900"/>
      <c r="AC13" s="1900"/>
      <c r="AD13" s="1900"/>
      <c r="AE13" s="1900"/>
      <c r="AF13" s="1900"/>
      <c r="AG13" s="1900"/>
      <c r="AH13" s="1900"/>
      <c r="AI13" s="1900"/>
      <c r="AJ13" s="1900"/>
      <c r="AK13" s="1900"/>
      <c r="AL13" s="1900"/>
      <c r="AM13" s="1900"/>
      <c r="AN13" s="1900"/>
      <c r="AO13" s="1901">
        <f>Application!W473</f>
        <v>49</v>
      </c>
      <c r="AP13" s="1902"/>
      <c r="AQ13" s="1902"/>
      <c r="AR13" s="1902"/>
      <c r="AS13" s="1902"/>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2436</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thickBot="1">
      <c r="A15" s="1190"/>
      <c r="B15" s="1907" t="s">
        <v>2435</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2434</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2433</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2432</v>
      </c>
      <c r="C18" s="1916"/>
      <c r="D18" s="1916"/>
      <c r="E18" s="1916"/>
      <c r="F18" s="1916"/>
      <c r="G18" s="1916"/>
      <c r="H18" s="1916"/>
      <c r="I18" s="1917"/>
      <c r="J18" s="1918" t="s">
        <v>1586</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2431</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52</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40</v>
      </c>
      <c r="W19" s="1926"/>
      <c r="X19" s="1926"/>
      <c r="Y19" s="1926"/>
      <c r="Z19" s="1926"/>
      <c r="AA19" s="1927"/>
      <c r="AB19" s="1925" cm="1">
        <f t="array" ref="AB19">SUMPRODUCT((Application!$B$714:$B$738 = 'CalHFA Addendum'!AB$18)*(Application!$AC$714:$AC$738 = 'CalHFA Addendum'!$B19),Application!$G$714:$G$738)</f>
        <v>4</v>
      </c>
      <c r="AC19" s="1926"/>
      <c r="AD19" s="1926"/>
      <c r="AE19" s="1926"/>
      <c r="AF19" s="1926"/>
      <c r="AG19" s="1927"/>
      <c r="AH19" s="1925" cm="1">
        <f t="array" ref="AH19">SUMPRODUCT((Application!$B$714:$B$738 = 'CalHFA Addendum'!AH$18)*(Application!$AC$714:$AC$738 = 'CalHFA Addendum'!$B19),Application!$G$714:$G$738)</f>
        <v>8</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0.16455696202531644</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12</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0</v>
      </c>
      <c r="W21" s="1926"/>
      <c r="X21" s="1926"/>
      <c r="Y21" s="1926"/>
      <c r="Z21" s="1926"/>
      <c r="AA21" s="1927"/>
      <c r="AB21" s="1925" cm="1">
        <f t="array" ref="AB21">SUMPRODUCT((Application!$B$714:$B$738 = 'CalHFA Addendum'!AB$18)*(Application!$AC$714:$AC$738 = 'CalHFA Addendum'!$B21),Application!$G$714:$G$738)</f>
        <v>4</v>
      </c>
      <c r="AC21" s="1926"/>
      <c r="AD21" s="1926"/>
      <c r="AE21" s="1926"/>
      <c r="AF21" s="1926"/>
      <c r="AG21" s="1927"/>
      <c r="AH21" s="1925" cm="1">
        <f t="array" ref="AH21">SUMPRODUCT((Application!$B$714:$B$738 = 'CalHFA Addendum'!AH$18)*(Application!$AC$714:$AC$738 = 'CalHFA Addendum'!$B21),Application!$G$714:$G$738)</f>
        <v>8</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3.7974683544303799E-2</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156</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82</v>
      </c>
      <c r="W22" s="1926"/>
      <c r="X22" s="1926"/>
      <c r="Y22" s="1926"/>
      <c r="Z22" s="1926"/>
      <c r="AA22" s="1927"/>
      <c r="AB22" s="1925" cm="1">
        <f t="array" ref="AB22">SUMPRODUCT((Application!$B$714:$B$738 = 'CalHFA Addendum'!AB$18)*(Application!$AC$714:$AC$738 = 'CalHFA Addendum'!$B22),Application!$G$714:$G$738)</f>
        <v>74</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0.49367088607594939</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20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20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6.3291139240506333E-2</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74</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74</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0.23417721518987342</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thickBot="1">
      <c r="A28" s="1190"/>
      <c r="B28" s="1934" t="s">
        <v>2430</v>
      </c>
      <c r="C28" s="1935"/>
      <c r="D28" s="1935"/>
      <c r="E28" s="1935"/>
      <c r="F28" s="1935"/>
      <c r="G28" s="1935"/>
      <c r="H28" s="1935"/>
      <c r="I28" s="1936"/>
      <c r="J28" s="1937">
        <f>SUM(P28:AS28)</f>
        <v>2</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2</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6.3291139240506328E-3</v>
      </c>
      <c r="AU28" s="1941"/>
      <c r="AV28" s="1941"/>
      <c r="AW28" s="1941"/>
      <c r="AX28" s="1941"/>
      <c r="AY28" s="1942"/>
      <c r="AZ28" s="1190"/>
      <c r="BA28" s="1190"/>
      <c r="BB28" s="1190"/>
      <c r="BC28" s="1190"/>
      <c r="BD28" s="1190"/>
      <c r="BE28" s="1194"/>
    </row>
    <row r="29" spans="1:58" thickBot="1">
      <c r="A29" s="1190"/>
      <c r="B29" s="1971" t="s">
        <v>1586</v>
      </c>
      <c r="C29" s="1944"/>
      <c r="D29" s="1944"/>
      <c r="E29" s="1944"/>
      <c r="F29" s="1944"/>
      <c r="G29" s="1944"/>
      <c r="H29" s="1944"/>
      <c r="I29" s="1945"/>
      <c r="J29" s="1943">
        <f>SUM(J19:O28)</f>
        <v>316</v>
      </c>
      <c r="K29" s="1944"/>
      <c r="L29" s="1944"/>
      <c r="M29" s="1944"/>
      <c r="N29" s="1944"/>
      <c r="O29" s="1945"/>
      <c r="P29" s="1943">
        <f>SUM(P19:U28)</f>
        <v>0</v>
      </c>
      <c r="Q29" s="1944"/>
      <c r="R29" s="1944"/>
      <c r="S29" s="1944"/>
      <c r="T29" s="1944"/>
      <c r="U29" s="1945"/>
      <c r="V29" s="1943">
        <f>SUM(V19:AA28)</f>
        <v>142</v>
      </c>
      <c r="W29" s="1944"/>
      <c r="X29" s="1944"/>
      <c r="Y29" s="1944"/>
      <c r="Z29" s="1944"/>
      <c r="AA29" s="1945"/>
      <c r="AB29" s="1943">
        <f>SUM(AB19:AG28)</f>
        <v>84</v>
      </c>
      <c r="AC29" s="1944"/>
      <c r="AD29" s="1944"/>
      <c r="AE29" s="1944"/>
      <c r="AF29" s="1944"/>
      <c r="AG29" s="1945"/>
      <c r="AH29" s="1943">
        <f>SUM(AH19:AM28)</f>
        <v>90</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9" t="s">
        <v>2429</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thickBot="1">
      <c r="A32" s="1190"/>
      <c r="B32" s="1952" t="s">
        <v>2428</v>
      </c>
      <c r="C32" s="1953"/>
      <c r="D32" s="1953"/>
      <c r="E32" s="1953"/>
      <c r="F32" s="1953"/>
      <c r="G32" s="1953"/>
      <c r="H32" s="1953"/>
      <c r="I32" s="1953"/>
      <c r="J32" s="1956" t="s">
        <v>2427</v>
      </c>
      <c r="K32" s="1957"/>
      <c r="L32" s="1957"/>
      <c r="M32" s="1957"/>
      <c r="N32" s="1956" t="s">
        <v>2426</v>
      </c>
      <c r="O32" s="1957"/>
      <c r="P32" s="1957"/>
      <c r="Q32" s="1959"/>
      <c r="R32" s="1961" t="s">
        <v>2425</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2424</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2423</v>
      </c>
      <c r="AT35" s="1973"/>
      <c r="AU35" s="1973"/>
      <c r="AV35" s="1973"/>
      <c r="AW35" s="1973"/>
      <c r="AX35" s="1981"/>
      <c r="AY35" s="1972" t="s">
        <v>2422</v>
      </c>
      <c r="AZ35" s="1973"/>
      <c r="BA35" s="1973"/>
      <c r="BB35" s="1973"/>
      <c r="BC35" s="1973"/>
      <c r="BD35" s="1974"/>
      <c r="BE35" s="1194"/>
    </row>
    <row r="36" spans="1:58" ht="15.75" customHeight="1">
      <c r="A36" s="1190"/>
      <c r="B36" s="1991" t="s">
        <v>2421</v>
      </c>
      <c r="C36" s="1992"/>
      <c r="D36" s="1992"/>
      <c r="E36" s="1992"/>
      <c r="F36" s="1992"/>
      <c r="G36" s="1992"/>
      <c r="H36" s="1992"/>
      <c r="I36" s="1992"/>
      <c r="J36" s="1993" t="s">
        <v>2420</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2419</v>
      </c>
      <c r="C37" s="1992"/>
      <c r="D37" s="1992"/>
      <c r="E37" s="1992"/>
      <c r="F37" s="1992"/>
      <c r="G37" s="1992"/>
      <c r="H37" s="1992"/>
      <c r="I37" s="1992"/>
      <c r="J37" s="1993" t="s">
        <v>2418</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2417</v>
      </c>
      <c r="C38" s="1992"/>
      <c r="D38" s="1992"/>
      <c r="E38" s="1992"/>
      <c r="F38" s="1992"/>
      <c r="G38" s="1992"/>
      <c r="H38" s="1992"/>
      <c r="I38" s="1992"/>
      <c r="J38" s="1993" t="s">
        <v>2416</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2415</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2415</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2414</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2414</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2413</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2412</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2411</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2335</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2408</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2401</v>
      </c>
      <c r="C51" s="2011"/>
      <c r="D51" s="2011"/>
      <c r="E51" s="2011"/>
      <c r="F51" s="2011"/>
      <c r="G51" s="2011"/>
      <c r="H51" s="2011"/>
      <c r="I51" s="2011"/>
      <c r="J51" s="2011" t="s">
        <v>2407</v>
      </c>
      <c r="K51" s="2011"/>
      <c r="L51" s="2011"/>
      <c r="M51" s="2011"/>
      <c r="N51" s="2011"/>
      <c r="O51" s="2011"/>
      <c r="P51" s="2011"/>
      <c r="Q51" s="2011"/>
      <c r="R51" s="2012" t="s">
        <v>2406</v>
      </c>
      <c r="S51" s="2012"/>
      <c r="T51" s="2012"/>
      <c r="U51" s="2012"/>
      <c r="V51" s="2012"/>
      <c r="W51" s="2012"/>
      <c r="X51" s="2012"/>
      <c r="Y51" s="2012"/>
      <c r="Z51" s="2012" t="s">
        <v>2405</v>
      </c>
      <c r="AA51" s="2012"/>
      <c r="AB51" s="2012"/>
      <c r="AC51" s="2012"/>
      <c r="AD51" s="2012"/>
      <c r="AE51" s="2012"/>
      <c r="AF51" s="2012"/>
      <c r="AG51" s="2012"/>
      <c r="AH51" s="2012" t="s">
        <v>2404</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2403</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2402</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1586</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2401</v>
      </c>
      <c r="C59" s="2020"/>
      <c r="D59" s="2020"/>
      <c r="E59" s="2020"/>
      <c r="F59" s="2020"/>
      <c r="G59" s="2020"/>
      <c r="H59" s="2020"/>
      <c r="I59" s="2021"/>
      <c r="J59" s="1913" t="s">
        <v>2400</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2398</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2397</v>
      </c>
      <c r="AD68" s="2057"/>
      <c r="AE68" s="2057"/>
      <c r="AF68" s="2057"/>
      <c r="AG68" s="2057"/>
      <c r="AH68" s="2057"/>
      <c r="AI68" s="2057"/>
      <c r="AJ68" s="2057"/>
      <c r="AK68" s="2057"/>
      <c r="AL68" s="2057"/>
      <c r="AM68" s="2057"/>
      <c r="AN68" s="2057"/>
      <c r="AO68" s="2057"/>
      <c r="AP68" s="2057"/>
      <c r="AQ68" s="2057"/>
      <c r="AR68" s="2057"/>
      <c r="AS68" s="2057"/>
      <c r="AT68" s="2057"/>
      <c r="AU68" s="2057"/>
      <c r="AV68" s="2034" t="s">
        <v>669</v>
      </c>
      <c r="AW68" s="2035"/>
      <c r="AX68" s="2035"/>
      <c r="AY68" s="2035"/>
      <c r="AZ68" s="2035"/>
      <c r="BA68" s="2035"/>
      <c r="BB68" s="2035"/>
      <c r="BC68" s="2036"/>
      <c r="BD68" s="1190"/>
      <c r="BE68" s="1194"/>
      <c r="BM68" s="1199" t="s">
        <v>2396</v>
      </c>
    </row>
    <row r="69" spans="1:94" ht="15.75" customHeight="1" thickTop="1" thickBot="1">
      <c r="A69" s="1190"/>
      <c r="B69" s="2037" t="s">
        <v>2395</v>
      </c>
      <c r="C69" s="2038"/>
      <c r="D69" s="2038"/>
      <c r="E69" s="2038"/>
      <c r="F69" s="2038"/>
      <c r="G69" s="2038"/>
      <c r="H69" s="2038"/>
      <c r="I69" s="2038"/>
      <c r="J69" s="2038"/>
      <c r="K69" s="2038"/>
      <c r="L69" s="2038"/>
      <c r="M69" s="2038"/>
      <c r="N69" s="2038"/>
      <c r="O69" s="2039" t="s">
        <v>2394</v>
      </c>
      <c r="P69" s="2040"/>
      <c r="Q69" s="2040"/>
      <c r="R69" s="2040"/>
      <c r="S69" s="2040"/>
      <c r="T69" s="2040"/>
      <c r="U69" s="2040"/>
      <c r="V69" s="2040"/>
      <c r="W69" s="2040"/>
      <c r="X69" s="2040"/>
      <c r="Y69" s="2040"/>
      <c r="Z69" s="2040"/>
      <c r="AA69" s="2041"/>
      <c r="AB69" s="1190"/>
      <c r="AC69" s="2042" t="s">
        <v>2393</v>
      </c>
      <c r="AD69" s="2043"/>
      <c r="AE69" s="2043"/>
      <c r="AF69" s="2043"/>
      <c r="AG69" s="2043"/>
      <c r="AH69" s="2043"/>
      <c r="AI69" s="2043"/>
      <c r="AJ69" s="2043"/>
      <c r="AK69" s="2043"/>
      <c r="AL69" s="2043"/>
      <c r="AM69" s="2043"/>
      <c r="AN69" s="2043"/>
      <c r="AO69" s="2043"/>
      <c r="AP69" s="2043"/>
      <c r="AQ69" s="2043"/>
      <c r="AR69" s="2043"/>
      <c r="AS69" s="2043"/>
      <c r="AT69" s="2043"/>
      <c r="AU69" s="2043"/>
      <c r="AV69" s="2034" t="s">
        <v>669</v>
      </c>
      <c r="AW69" s="2035"/>
      <c r="AX69" s="2035"/>
      <c r="AY69" s="2035"/>
      <c r="AZ69" s="2035"/>
      <c r="BA69" s="2035"/>
      <c r="BB69" s="2035"/>
      <c r="BC69" s="2036"/>
      <c r="BD69" s="1190"/>
      <c r="BE69" s="1194"/>
      <c r="BM69" s="1200" t="s">
        <v>545</v>
      </c>
    </row>
    <row r="70" spans="1:94" ht="15.75" customHeight="1">
      <c r="A70" s="1190"/>
      <c r="B70" s="1991" t="s">
        <v>2392</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2391</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669</v>
      </c>
    </row>
    <row r="71" spans="1:94" ht="15.75" customHeight="1" thickBot="1">
      <c r="A71" s="1190"/>
      <c r="B71" s="1991" t="s">
        <v>2390</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2389</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2388</v>
      </c>
    </row>
    <row r="72" spans="1:94" ht="15.75" customHeight="1">
      <c r="A72" s="1190"/>
      <c r="B72" s="1991" t="s">
        <v>2387</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2386</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2385</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2330</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2383</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2382</v>
      </c>
      <c r="C81" s="2067"/>
      <c r="D81" s="2067"/>
      <c r="E81" s="2067"/>
      <c r="F81" s="2067"/>
      <c r="G81" s="2067"/>
      <c r="H81" s="2067"/>
      <c r="I81" s="2067"/>
      <c r="J81" s="2067"/>
      <c r="K81" s="2067"/>
      <c r="L81" s="2067"/>
      <c r="M81" s="2067"/>
      <c r="N81" s="2067"/>
      <c r="O81" s="2067"/>
      <c r="P81" s="2067"/>
      <c r="Q81" s="2067"/>
      <c r="R81" s="2068" t="s">
        <v>2188</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2381</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2380</v>
      </c>
      <c r="AK83" s="2090"/>
      <c r="AL83" s="2090"/>
      <c r="AM83" s="2090"/>
      <c r="AN83" s="2090"/>
      <c r="AO83" s="2090"/>
      <c r="AP83" s="2090"/>
      <c r="AQ83" s="2090"/>
      <c r="AR83" s="2090"/>
      <c r="AS83" s="2090"/>
      <c r="AT83" s="2090"/>
      <c r="AU83" s="2090"/>
      <c r="AV83" s="2090"/>
      <c r="AW83" s="2090"/>
      <c r="AX83" s="2090"/>
      <c r="AY83" s="2093" t="s">
        <v>545</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2370</v>
      </c>
      <c r="J84" s="2011"/>
      <c r="K84" s="2011"/>
      <c r="L84" s="2011"/>
      <c r="M84" s="2011"/>
      <c r="N84" s="2011"/>
      <c r="O84" s="2011" t="s">
        <v>2346</v>
      </c>
      <c r="P84" s="2011"/>
      <c r="Q84" s="2011"/>
      <c r="R84" s="2011"/>
      <c r="S84" s="2011"/>
      <c r="T84" s="2011"/>
      <c r="U84" s="2011"/>
      <c r="V84" s="2097" t="s">
        <v>2345</v>
      </c>
      <c r="W84" s="2097"/>
      <c r="X84" s="2097"/>
      <c r="Y84" s="2097"/>
      <c r="Z84" s="2097"/>
      <c r="AA84" s="2097"/>
      <c r="AB84" s="2098" t="s">
        <v>2369</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2368</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2367</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2374</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2366</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2378</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2377</v>
      </c>
      <c r="C94" s="2067"/>
      <c r="D94" s="2067"/>
      <c r="E94" s="2067"/>
      <c r="F94" s="2067"/>
      <c r="G94" s="2067"/>
      <c r="H94" s="2067"/>
      <c r="I94" s="2067"/>
      <c r="J94" s="2067"/>
      <c r="K94" s="2067"/>
      <c r="L94" s="2067"/>
      <c r="M94" s="2067"/>
      <c r="N94" s="2067"/>
      <c r="O94" s="2067"/>
      <c r="P94" s="2067"/>
      <c r="Q94" s="2101"/>
      <c r="R94" s="2068" t="s">
        <v>2188</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2376</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2375</v>
      </c>
      <c r="AK96" s="2090"/>
      <c r="AL96" s="2090"/>
      <c r="AM96" s="2090"/>
      <c r="AN96" s="2090"/>
      <c r="AO96" s="2090"/>
      <c r="AP96" s="2090"/>
      <c r="AQ96" s="2090"/>
      <c r="AR96" s="2090"/>
      <c r="AS96" s="2090"/>
      <c r="AT96" s="2090"/>
      <c r="AU96" s="2090"/>
      <c r="AV96" s="2090"/>
      <c r="AW96" s="2090"/>
      <c r="AX96" s="2090"/>
      <c r="AY96" s="2093" t="s">
        <v>545</v>
      </c>
      <c r="AZ96" s="2093"/>
      <c r="BA96" s="2093"/>
      <c r="BB96" s="2094"/>
      <c r="BC96" s="1190"/>
      <c r="BD96" s="1190"/>
      <c r="BE96" s="1194"/>
      <c r="BQ96" s="1256" t="str">
        <f>Application!M243&amp;IF(TRIM(Application!AA249)&lt;&gt;""," ("&amp;Application!AA249&amp;")","")</f>
        <v>Las Palmas Foundation</v>
      </c>
      <c r="BR96" s="1259">
        <f>Application!AH246</f>
        <v>1E-3</v>
      </c>
      <c r="CM96" s="1188"/>
      <c r="CN96" s="1188"/>
      <c r="CO96" s="1188"/>
      <c r="CP96" s="1188"/>
    </row>
    <row r="97" spans="1:94" ht="15.75" customHeight="1">
      <c r="A97" s="1190"/>
      <c r="B97" s="2010"/>
      <c r="C97" s="2011"/>
      <c r="D97" s="2011"/>
      <c r="E97" s="2011"/>
      <c r="F97" s="2011"/>
      <c r="G97" s="2011"/>
      <c r="H97" s="2011"/>
      <c r="I97" s="2011" t="s">
        <v>2370</v>
      </c>
      <c r="J97" s="2011"/>
      <c r="K97" s="2011"/>
      <c r="L97" s="2011"/>
      <c r="M97" s="2011"/>
      <c r="N97" s="2011"/>
      <c r="O97" s="2011" t="s">
        <v>2346</v>
      </c>
      <c r="P97" s="2011"/>
      <c r="Q97" s="2011"/>
      <c r="R97" s="2011"/>
      <c r="S97" s="2011"/>
      <c r="T97" s="2011"/>
      <c r="U97" s="2011"/>
      <c r="V97" s="2097" t="s">
        <v>2345</v>
      </c>
      <c r="W97" s="2097"/>
      <c r="X97" s="2097"/>
      <c r="Y97" s="2097"/>
      <c r="Z97" s="2097"/>
      <c r="AA97" s="2097"/>
      <c r="AB97" s="2098" t="s">
        <v>2369</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Elysian Califa, LLC (a To-be-formed LLC) (Capstone Equities, LLC / Elysian Housing, LLC)</v>
      </c>
      <c r="BR97" s="1259">
        <f>Application!AH254</f>
        <v>8.9999999999999993E-3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2368</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2367</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2374</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2366</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Aperto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2371</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2370</v>
      </c>
      <c r="J108" s="2011"/>
      <c r="K108" s="2011"/>
      <c r="L108" s="2011"/>
      <c r="M108" s="2011"/>
      <c r="N108" s="2011"/>
      <c r="O108" s="2011" t="s">
        <v>2346</v>
      </c>
      <c r="P108" s="2011"/>
      <c r="Q108" s="2011"/>
      <c r="R108" s="2011"/>
      <c r="S108" s="2011"/>
      <c r="T108" s="2011"/>
      <c r="U108" s="2011"/>
      <c r="V108" s="2097" t="s">
        <v>2345</v>
      </c>
      <c r="W108" s="2097"/>
      <c r="X108" s="2097"/>
      <c r="Y108" s="2097"/>
      <c r="Z108" s="2097"/>
      <c r="AA108" s="2097"/>
      <c r="AB108" s="2098" t="s">
        <v>2369</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2368</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2367</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2366</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2364</v>
      </c>
      <c r="C117" s="2117"/>
      <c r="D117" s="2117"/>
      <c r="E117" s="2117"/>
      <c r="F117" s="2117"/>
      <c r="G117" s="2117"/>
      <c r="H117" s="2117"/>
      <c r="I117" s="2117"/>
      <c r="J117" s="2117"/>
      <c r="K117" s="2117"/>
      <c r="L117" s="2117"/>
      <c r="M117" s="2117"/>
      <c r="N117" s="2117"/>
      <c r="O117" s="2117"/>
      <c r="P117" s="2117"/>
      <c r="Q117" s="2117"/>
      <c r="R117" s="2117"/>
      <c r="S117" s="2117"/>
      <c r="T117" s="2117"/>
      <c r="U117" s="2120" t="s">
        <v>545</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2364</v>
      </c>
      <c r="C121" s="2125"/>
      <c r="D121" s="2125"/>
      <c r="E121" s="2125"/>
      <c r="F121" s="2125"/>
      <c r="G121" s="2125"/>
      <c r="H121" s="2125"/>
      <c r="I121" s="2125"/>
      <c r="J121" s="2125"/>
      <c r="K121" s="2125"/>
      <c r="L121" s="2125"/>
      <c r="M121" s="2125"/>
      <c r="N121" s="2125"/>
      <c r="O121" s="2125"/>
      <c r="P121" s="2125"/>
      <c r="Q121" s="2125"/>
      <c r="R121" s="2125"/>
      <c r="S121" s="2125"/>
      <c r="T121" s="2125"/>
      <c r="U121" s="2128" t="s">
        <v>545</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2362</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2361</v>
      </c>
      <c r="J127" s="2011"/>
      <c r="K127" s="2011"/>
      <c r="L127" s="2011"/>
      <c r="M127" s="2011"/>
      <c r="N127" s="2011"/>
      <c r="O127" s="2108" t="s">
        <v>2360</v>
      </c>
      <c r="P127" s="2108"/>
      <c r="Q127" s="2108"/>
      <c r="R127" s="2108"/>
      <c r="S127" s="2108"/>
      <c r="T127" s="2108"/>
      <c r="U127" s="2109"/>
      <c r="V127" s="1190"/>
      <c r="W127" s="1190"/>
      <c r="X127" s="2076" t="s">
        <v>2330</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2344</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2343</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2358</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2346</v>
      </c>
      <c r="J134" s="2154"/>
      <c r="K134" s="2154"/>
      <c r="L134" s="2154"/>
      <c r="M134" s="2154"/>
      <c r="N134" s="2154"/>
      <c r="O134" s="2154"/>
      <c r="P134" s="2154" t="s">
        <v>2345</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2344</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2343</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2357</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545</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2356</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2355</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545</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2354</v>
      </c>
      <c r="C142" s="2141"/>
      <c r="D142" s="2141"/>
      <c r="E142" s="2141"/>
      <c r="F142" s="2141"/>
      <c r="G142" s="2141"/>
      <c r="H142" s="2141"/>
      <c r="I142" s="2141"/>
      <c r="J142" s="2141"/>
      <c r="K142" s="2141"/>
      <c r="L142" s="2141"/>
      <c r="M142" s="2141"/>
      <c r="N142" s="2141"/>
      <c r="O142" s="2141"/>
      <c r="P142" s="2141"/>
      <c r="Q142" s="2141"/>
      <c r="R142" s="2142" t="s">
        <v>2353</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249</v>
      </c>
      <c r="BD142" s="1190"/>
      <c r="BE142" s="1194"/>
    </row>
    <row r="143" spans="1:57" ht="15.75" customHeight="1">
      <c r="A143" s="1190"/>
      <c r="B143" s="2144" t="s">
        <v>2352</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2349</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2348</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2346</v>
      </c>
      <c r="J157" s="2154"/>
      <c r="K157" s="2154"/>
      <c r="L157" s="2154"/>
      <c r="M157" s="2154"/>
      <c r="N157" s="2154"/>
      <c r="O157" s="2154"/>
      <c r="P157" s="2154" t="s">
        <v>2347</v>
      </c>
      <c r="Q157" s="2154"/>
      <c r="R157" s="2154"/>
      <c r="S157" s="2154"/>
      <c r="T157" s="2154"/>
      <c r="U157" s="2155"/>
      <c r="V157" s="1190"/>
      <c r="W157" s="1190"/>
      <c r="X157" s="2152"/>
      <c r="Y157" s="2153"/>
      <c r="Z157" s="2153"/>
      <c r="AA157" s="2153"/>
      <c r="AB157" s="2153"/>
      <c r="AC157" s="2153"/>
      <c r="AD157" s="2153"/>
      <c r="AE157" s="2154" t="s">
        <v>2346</v>
      </c>
      <c r="AF157" s="2154"/>
      <c r="AG157" s="2154"/>
      <c r="AH157" s="2154"/>
      <c r="AI157" s="2154"/>
      <c r="AJ157" s="2154"/>
      <c r="AK157" s="2154"/>
      <c r="AL157" s="2154" t="s">
        <v>2345</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2344</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2344</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2343</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2342</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2327</v>
      </c>
      <c r="D163" s="2153"/>
      <c r="E163" s="2153"/>
      <c r="F163" s="2153"/>
      <c r="G163" s="2153"/>
      <c r="H163" s="2153"/>
      <c r="I163" s="2153"/>
      <c r="J163" s="2153"/>
      <c r="K163" s="2153"/>
      <c r="L163" s="2153"/>
      <c r="M163" s="2153"/>
      <c r="N163" s="2153"/>
      <c r="O163" s="2153"/>
      <c r="P163" s="2153"/>
      <c r="Q163" s="2153" t="s">
        <v>2341</v>
      </c>
      <c r="R163" s="2153"/>
      <c r="S163" s="2153"/>
      <c r="T163" s="2098" t="s">
        <v>2340</v>
      </c>
      <c r="U163" s="2098"/>
      <c r="V163" s="2098"/>
      <c r="W163" s="2098"/>
      <c r="X163" s="2098"/>
      <c r="Y163" s="2098"/>
      <c r="Z163" s="2098"/>
      <c r="AA163" s="2098"/>
      <c r="AB163" s="2153" t="s">
        <v>2339</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2338</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2337</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2336</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2335</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169</v>
      </c>
      <c r="D168" s="2157"/>
      <c r="E168" s="2157"/>
      <c r="F168" s="2164" t="s">
        <v>2316</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169</v>
      </c>
      <c r="D169" s="2157"/>
      <c r="E169" s="2157"/>
      <c r="F169" s="2164" t="s">
        <v>2316</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169</v>
      </c>
      <c r="D170" s="2166"/>
      <c r="E170" s="2166"/>
      <c r="F170" s="2167" t="s">
        <v>2316</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2334</v>
      </c>
      <c r="D172" s="2057"/>
      <c r="E172" s="2057"/>
      <c r="F172" s="2057"/>
      <c r="G172" s="2057"/>
      <c r="H172" s="2057"/>
      <c r="I172" s="2057"/>
      <c r="J172" s="2057"/>
      <c r="K172" s="2057"/>
      <c r="L172" s="2057"/>
      <c r="M172" s="2057"/>
      <c r="N172" s="2107"/>
      <c r="O172" s="1190"/>
      <c r="P172" s="2172" t="s">
        <v>2333</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2332</v>
      </c>
      <c r="D173" s="2153"/>
      <c r="E173" s="2153"/>
      <c r="F173" s="2153"/>
      <c r="G173" s="2153"/>
      <c r="H173" s="2153"/>
      <c r="I173" s="2153" t="s">
        <v>2331</v>
      </c>
      <c r="J173" s="2153"/>
      <c r="K173" s="2153"/>
      <c r="L173" s="2153"/>
      <c r="M173" s="2153"/>
      <c r="N173" s="2161"/>
      <c r="O173" s="1190"/>
      <c r="P173" s="2076" t="s">
        <v>2330</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2329</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2327</v>
      </c>
      <c r="D184" s="2057"/>
      <c r="E184" s="2057"/>
      <c r="F184" s="2057"/>
      <c r="G184" s="2057"/>
      <c r="H184" s="2057"/>
      <c r="I184" s="2057"/>
      <c r="J184" s="2057"/>
      <c r="K184" s="2057"/>
      <c r="L184" s="2057"/>
      <c r="M184" s="2057"/>
      <c r="N184" s="2057" t="s">
        <v>2328</v>
      </c>
      <c r="O184" s="2057"/>
      <c r="P184" s="2057"/>
      <c r="Q184" s="2057"/>
      <c r="R184" s="2057"/>
      <c r="S184" s="2057"/>
      <c r="T184" s="2057"/>
      <c r="U184" s="2008" t="s">
        <v>2327</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2326</v>
      </c>
      <c r="D185" s="2181"/>
      <c r="E185" s="2181"/>
      <c r="F185" s="2181"/>
      <c r="G185" s="2181"/>
      <c r="H185" s="2181"/>
      <c r="I185" s="2181"/>
      <c r="J185" s="2181"/>
      <c r="K185" s="2181"/>
      <c r="L185" s="2181"/>
      <c r="M185" s="2181"/>
      <c r="N185" s="2182">
        <f>'Sources and Uses Budget'!B105</f>
        <v>159358100</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2325</v>
      </c>
      <c r="D186" s="2181"/>
      <c r="E186" s="2181"/>
      <c r="F186" s="2181"/>
      <c r="G186" s="2181"/>
      <c r="H186" s="2181"/>
      <c r="I186" s="2181"/>
      <c r="J186" s="2181"/>
      <c r="K186" s="2181"/>
      <c r="L186" s="2181"/>
      <c r="M186" s="2181"/>
      <c r="N186" s="2182">
        <f>N185/J29</f>
        <v>504297.78481012658</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2324</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2323</v>
      </c>
      <c r="D188" s="2181"/>
      <c r="E188" s="2181"/>
      <c r="F188" s="2181"/>
      <c r="G188" s="2181"/>
      <c r="H188" s="2181"/>
      <c r="I188" s="2181"/>
      <c r="J188" s="2181"/>
      <c r="K188" s="2181"/>
      <c r="L188" s="2181"/>
      <c r="M188" s="2181"/>
      <c r="N188" s="2198">
        <f>SUM('Sources and Uses Budget'!B85:B86)</f>
        <v>1310000</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2322</v>
      </c>
      <c r="D189" s="2181"/>
      <c r="E189" s="2181"/>
      <c r="F189" s="2181"/>
      <c r="G189" s="2181"/>
      <c r="H189" s="2181"/>
      <c r="I189" s="2181"/>
      <c r="J189" s="2181"/>
      <c r="K189" s="2181"/>
      <c r="L189" s="2181"/>
      <c r="M189" s="2181"/>
      <c r="N189" s="2198">
        <f>'Sources and Uses Budget'!B8</f>
        <v>15000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2320</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2321</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2320</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2319</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2318</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299</v>
      </c>
      <c r="D192" s="2158"/>
      <c r="E192" s="2211" t="s">
        <v>2316</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2317</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299</v>
      </c>
      <c r="D193" s="2014"/>
      <c r="E193" s="2211" t="s">
        <v>2316</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299</v>
      </c>
      <c r="D194" s="2237"/>
      <c r="E194" s="2238" t="s">
        <v>2316</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2315</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2314</v>
      </c>
      <c r="D195" s="2220"/>
      <c r="E195" s="2220"/>
      <c r="F195" s="2220"/>
      <c r="G195" s="2220"/>
      <c r="H195" s="2220"/>
      <c r="I195" s="2220"/>
      <c r="J195" s="2220"/>
      <c r="K195" s="2220"/>
      <c r="L195" s="2220"/>
      <c r="M195" s="2220"/>
      <c r="N195" s="2221">
        <f>SUM(N187:T194)</f>
        <v>1325000</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2313</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2312</v>
      </c>
      <c r="D196" s="2230"/>
      <c r="E196" s="2230"/>
      <c r="F196" s="2230"/>
      <c r="G196" s="2230"/>
      <c r="H196" s="2230"/>
      <c r="I196" s="2230"/>
      <c r="J196" s="2230"/>
      <c r="K196" s="2230"/>
      <c r="L196" s="2230"/>
      <c r="M196" s="2230"/>
      <c r="N196" s="2231">
        <f>(N185-N195)/J29</f>
        <v>500104.74683544302</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2311</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2310</v>
      </c>
      <c r="D200" s="2256"/>
      <c r="E200" s="2256"/>
      <c r="F200" s="2256"/>
      <c r="G200" s="2256"/>
      <c r="H200" s="2256"/>
      <c r="I200" s="2256"/>
      <c r="J200" s="2256"/>
      <c r="K200" s="2256"/>
      <c r="L200" s="2256"/>
      <c r="M200" s="2256"/>
      <c r="N200" s="2256"/>
      <c r="O200" s="2257" t="s">
        <v>2309</v>
      </c>
      <c r="P200" s="2257"/>
      <c r="Q200" s="2257"/>
      <c r="R200" s="2257"/>
      <c r="S200" s="2257"/>
      <c r="T200" s="2257"/>
      <c r="U200" s="2257"/>
      <c r="V200" s="2257"/>
      <c r="W200" s="2257"/>
      <c r="X200" s="2257" t="s">
        <v>2308</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2307</v>
      </c>
      <c r="D201" s="2248"/>
      <c r="E201" s="2248"/>
      <c r="F201" s="2248"/>
      <c r="G201" s="2248"/>
      <c r="H201" s="2248"/>
      <c r="I201" s="2248"/>
      <c r="J201" s="2248"/>
      <c r="K201" s="2248"/>
      <c r="L201" s="2248"/>
      <c r="M201" s="2248"/>
      <c r="N201" s="2248"/>
      <c r="O201" s="2249" t="s">
        <v>2306</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854</v>
      </c>
      <c r="D202" s="2248"/>
      <c r="E202" s="2248"/>
      <c r="F202" s="2248"/>
      <c r="G202" s="2248"/>
      <c r="H202" s="2248"/>
      <c r="I202" s="2248"/>
      <c r="J202" s="2248"/>
      <c r="K202" s="2248"/>
      <c r="L202" s="2248"/>
      <c r="M202" s="2248"/>
      <c r="N202" s="2248"/>
      <c r="O202" s="2249" t="s">
        <v>2306</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2305</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2304</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2303</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2302</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2301</v>
      </c>
      <c r="D207" s="2263"/>
      <c r="E207" s="2263"/>
      <c r="F207" s="2264"/>
      <c r="G207" s="2268" t="s">
        <v>2300</v>
      </c>
      <c r="H207" s="2263"/>
      <c r="I207" s="2263"/>
      <c r="J207" s="2263"/>
      <c r="K207" s="2263"/>
      <c r="L207" s="2263"/>
      <c r="M207" s="2263"/>
      <c r="N207" s="2263"/>
      <c r="O207" s="2264"/>
      <c r="P207" s="2270" t="s">
        <v>2299</v>
      </c>
      <c r="Q207" s="2271"/>
      <c r="R207" s="2271"/>
      <c r="S207" s="2271"/>
      <c r="T207" s="2272"/>
      <c r="U207" s="2276" t="s">
        <v>2298</v>
      </c>
      <c r="V207" s="2277"/>
      <c r="W207" s="2277"/>
      <c r="X207" s="2278"/>
      <c r="Y207" s="2276" t="s">
        <v>2297</v>
      </c>
      <c r="Z207" s="2277"/>
      <c r="AA207" s="2277"/>
      <c r="AB207" s="2278"/>
      <c r="AC207" s="2276" t="s">
        <v>2296</v>
      </c>
      <c r="AD207" s="2277"/>
      <c r="AE207" s="2277"/>
      <c r="AF207" s="2278"/>
      <c r="AG207" s="2268" t="s">
        <v>2295</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1884</v>
      </c>
      <c r="H209" s="2289"/>
      <c r="I209" s="2289"/>
      <c r="J209" s="2289"/>
      <c r="K209" s="2289"/>
      <c r="L209" s="2289"/>
      <c r="M209" s="2289"/>
      <c r="N209" s="2289"/>
      <c r="O209" s="2289"/>
      <c r="P209" s="2290"/>
      <c r="Q209" s="2293"/>
      <c r="R209" s="2293"/>
      <c r="S209" s="2293"/>
      <c r="T209" s="2293"/>
      <c r="U209" s="2291" t="s">
        <v>1884</v>
      </c>
      <c r="V209" s="2291"/>
      <c r="W209" s="2291"/>
      <c r="X209" s="2291"/>
      <c r="Y209" s="2291" t="s">
        <v>1884</v>
      </c>
      <c r="Z209" s="2291"/>
      <c r="AA209" s="2291"/>
      <c r="AB209" s="2291"/>
      <c r="AC209" s="2292" t="s">
        <v>1884</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1884</v>
      </c>
      <c r="H210" s="2289"/>
      <c r="I210" s="2289"/>
      <c r="J210" s="2289"/>
      <c r="K210" s="2289"/>
      <c r="L210" s="2289"/>
      <c r="M210" s="2289"/>
      <c r="N210" s="2289"/>
      <c r="O210" s="2289"/>
      <c r="P210" s="2290"/>
      <c r="Q210" s="2290"/>
      <c r="R210" s="2290"/>
      <c r="S210" s="2290"/>
      <c r="T210" s="2290"/>
      <c r="U210" s="2291" t="s">
        <v>1884</v>
      </c>
      <c r="V210" s="2291"/>
      <c r="W210" s="2291"/>
      <c r="X210" s="2291"/>
      <c r="Y210" s="2291" t="s">
        <v>1884</v>
      </c>
      <c r="Z210" s="2291"/>
      <c r="AA210" s="2291"/>
      <c r="AB210" s="2291"/>
      <c r="AC210" s="2292" t="s">
        <v>1884</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1884</v>
      </c>
      <c r="H211" s="2289"/>
      <c r="I211" s="2289"/>
      <c r="J211" s="2289"/>
      <c r="K211" s="2289"/>
      <c r="L211" s="2289"/>
      <c r="M211" s="2289"/>
      <c r="N211" s="2289"/>
      <c r="O211" s="2289"/>
      <c r="P211" s="2290"/>
      <c r="Q211" s="2290"/>
      <c r="R211" s="2290"/>
      <c r="S211" s="2290"/>
      <c r="T211" s="2290"/>
      <c r="U211" s="2291" t="s">
        <v>1884</v>
      </c>
      <c r="V211" s="2291"/>
      <c r="W211" s="2291"/>
      <c r="X211" s="2291"/>
      <c r="Y211" s="2291" t="s">
        <v>1884</v>
      </c>
      <c r="Z211" s="2291"/>
      <c r="AA211" s="2291"/>
      <c r="AB211" s="2291"/>
      <c r="AC211" s="2292" t="s">
        <v>1884</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1884</v>
      </c>
      <c r="H212" s="2289"/>
      <c r="I212" s="2289"/>
      <c r="J212" s="2289"/>
      <c r="K212" s="2289"/>
      <c r="L212" s="2289"/>
      <c r="M212" s="2289"/>
      <c r="N212" s="2289"/>
      <c r="O212" s="2289"/>
      <c r="P212" s="2290"/>
      <c r="Q212" s="2290"/>
      <c r="R212" s="2290"/>
      <c r="S212" s="2290"/>
      <c r="T212" s="2290"/>
      <c r="U212" s="2291" t="s">
        <v>1884</v>
      </c>
      <c r="V212" s="2291"/>
      <c r="W212" s="2291"/>
      <c r="X212" s="2291"/>
      <c r="Y212" s="2291" t="s">
        <v>1884</v>
      </c>
      <c r="Z212" s="2291"/>
      <c r="AA212" s="2291"/>
      <c r="AB212" s="2291"/>
      <c r="AC212" s="2292" t="s">
        <v>1884</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1884</v>
      </c>
      <c r="H213" s="2289"/>
      <c r="I213" s="2289"/>
      <c r="J213" s="2289"/>
      <c r="K213" s="2289"/>
      <c r="L213" s="2289"/>
      <c r="M213" s="2289"/>
      <c r="N213" s="2289"/>
      <c r="O213" s="2289"/>
      <c r="P213" s="2290"/>
      <c r="Q213" s="2290"/>
      <c r="R213" s="2290"/>
      <c r="S213" s="2290"/>
      <c r="T213" s="2290"/>
      <c r="U213" s="2291" t="s">
        <v>1884</v>
      </c>
      <c r="V213" s="2291"/>
      <c r="W213" s="2291"/>
      <c r="X213" s="2291"/>
      <c r="Y213" s="2291" t="s">
        <v>1884</v>
      </c>
      <c r="Z213" s="2291"/>
      <c r="AA213" s="2291"/>
      <c r="AB213" s="2291"/>
      <c r="AC213" s="2292" t="s">
        <v>1884</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1884</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1884</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1884</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2294</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2292</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2291</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2290</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2289</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2287</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2285</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2284</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2283</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441</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2282</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2281</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7" workbookViewId="0">
      <selection activeCell="Y41" sqref="Y41:AH41"/>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157487100</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497</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805</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50"/>
      <c r="C18" s="1813" t="s">
        <v>960</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50"/>
      <c r="C19" s="1813" t="s">
        <v>960</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157487100</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Application!AJ1053</f>
        <v>337644387.5</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204733230</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10"/>
      <c r="B27" s="2347" t="s">
        <v>425</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204733230</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204733230</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368</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204733230</v>
      </c>
      <c r="Z38" s="2334"/>
      <c r="AA38" s="2334"/>
      <c r="AB38" s="2334"/>
      <c r="AC38" s="2334"/>
      <c r="AD38" s="2334">
        <f>IF(T24&gt;=(T23+Y23+AD23+AI23),AD28+AI28,0)</f>
        <v>0</v>
      </c>
      <c r="AE38" s="2334"/>
      <c r="AF38" s="2334"/>
      <c r="AG38" s="2334"/>
      <c r="AH38" s="2334"/>
    </row>
    <row r="39" spans="1:76" ht="12.95"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8189329</v>
      </c>
      <c r="Z40" s="2334"/>
      <c r="AA40" s="2334"/>
      <c r="AB40" s="2334"/>
      <c r="AC40" s="2334"/>
      <c r="AD40" s="2333">
        <f>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8189329</v>
      </c>
      <c r="Z41" s="2336"/>
      <c r="AA41" s="2336"/>
      <c r="AB41" s="2336"/>
      <c r="AC41" s="2336"/>
      <c r="AD41" s="2336"/>
      <c r="AE41" s="2336"/>
      <c r="AF41" s="2336"/>
      <c r="AG41" s="2336"/>
      <c r="AH41" s="233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586</v>
      </c>
      <c r="C46" s="404" t="s">
        <v>281</v>
      </c>
    </row>
    <row r="47" spans="1:76" ht="12.95" customHeight="1">
      <c r="D47" s="404" t="s">
        <v>282</v>
      </c>
      <c r="AB47" s="2350">
        <f>'Sources and Uses Budget'!B105-MAX(IF('Sources and Uses Budget'!B15="",0,'Sources and Uses Budget'!B15),IF(Application!AG394="",0,Application!AG394))</f>
        <v>159358100</v>
      </c>
      <c r="AC47" s="2351"/>
      <c r="AD47" s="2351"/>
      <c r="AE47" s="2351"/>
      <c r="AF47" s="2352"/>
    </row>
    <row r="48" spans="1:76" ht="12.95" customHeight="1">
      <c r="D48" s="404" t="s">
        <v>21</v>
      </c>
      <c r="AB48" s="2350">
        <f>Application!AO639-MAX(IF('Sources and Uses Budget'!B15="",0,'Sources and Uses Budget'!B15),IF(Application!AG394="",0,Application!AG394))</f>
        <v>84023808</v>
      </c>
      <c r="AC48" s="2351"/>
      <c r="AD48" s="2351"/>
      <c r="AE48" s="2351"/>
      <c r="AF48" s="2352"/>
    </row>
    <row r="49" spans="1:76" ht="12.95" customHeight="1">
      <c r="D49" s="404" t="s">
        <v>91</v>
      </c>
      <c r="AB49" s="2350">
        <f>AB47-AB48</f>
        <v>75334292</v>
      </c>
      <c r="AC49" s="2351"/>
      <c r="AD49" s="2351"/>
      <c r="AE49" s="2351"/>
      <c r="AF49" s="2352"/>
    </row>
    <row r="50" spans="1:76" ht="12.95" customHeight="1">
      <c r="D50" s="404" t="s">
        <v>681</v>
      </c>
      <c r="AA50" s="415"/>
      <c r="AB50" s="2377">
        <v>0.92</v>
      </c>
      <c r="AC50" s="2378"/>
      <c r="AD50" s="2378"/>
      <c r="AE50" s="2378"/>
      <c r="AF50" s="2379"/>
    </row>
    <row r="51" spans="1:76" s="417" customFormat="1" ht="12.95" customHeight="1">
      <c r="A51" s="402"/>
      <c r="B51" s="402"/>
      <c r="C51" s="402"/>
      <c r="D51" s="402"/>
      <c r="E51" s="2380" t="s">
        <v>2611</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0">
        <f>ROUND(IF(ISERROR((AB49/AB50)),0,(AB49/AB50)),0)</f>
        <v>81885100</v>
      </c>
      <c r="AC54" s="2351"/>
      <c r="AD54" s="2351"/>
      <c r="AE54" s="2351"/>
      <c r="AF54" s="2352"/>
    </row>
    <row r="55" spans="1:76" ht="12.95" customHeight="1">
      <c r="D55" s="404" t="s">
        <v>332</v>
      </c>
      <c r="AB55" s="2350">
        <f>(AB54/10)</f>
        <v>8188510</v>
      </c>
      <c r="AC55" s="2351"/>
      <c r="AD55" s="2351"/>
      <c r="AE55" s="2351"/>
      <c r="AF55" s="2352"/>
    </row>
    <row r="56" spans="1:76" ht="12.95" customHeight="1">
      <c r="D56" s="404" t="s">
        <v>756</v>
      </c>
      <c r="AB56" s="2350">
        <f>ROUND((IF((Y41&lt;AB55),Y41,AB55)),0)</f>
        <v>8188510</v>
      </c>
      <c r="AC56" s="2351"/>
      <c r="AD56" s="2351"/>
      <c r="AE56" s="2351"/>
      <c r="AF56" s="2352"/>
    </row>
    <row r="57" spans="1:76" ht="12.95" customHeight="1">
      <c r="D57" s="404" t="s">
        <v>755</v>
      </c>
      <c r="AB57" s="2350">
        <f>ROUND((10*AB56*AB50),0)</f>
        <v>75334292</v>
      </c>
      <c r="AC57" s="2351"/>
      <c r="AD57" s="2351"/>
      <c r="AE57" s="2351"/>
      <c r="AF57" s="2352"/>
    </row>
    <row r="58" spans="1:76" ht="12.95" customHeight="1">
      <c r="D58" s="404"/>
      <c r="AB58" s="423"/>
      <c r="AC58" s="423"/>
      <c r="AD58" s="423"/>
      <c r="AE58" s="423"/>
      <c r="AF58" s="423"/>
    </row>
    <row r="59" spans="1:76" ht="12.95" customHeight="1">
      <c r="D59" s="404" t="s">
        <v>754</v>
      </c>
      <c r="AB59" s="2373">
        <f>AB49-AB57</f>
        <v>0</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589</v>
      </c>
      <c r="C63" s="205" t="s">
        <v>1248</v>
      </c>
      <c r="Y63" s="2374" t="s">
        <v>984</v>
      </c>
      <c r="Z63" s="2374"/>
      <c r="AA63" s="2374"/>
      <c r="AB63" s="2374"/>
      <c r="AC63" s="2374"/>
      <c r="AD63" s="2374" t="s">
        <v>368</v>
      </c>
      <c r="AE63" s="2374"/>
      <c r="AF63" s="2374"/>
      <c r="AG63" s="2374"/>
      <c r="AH63" s="237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157487100</v>
      </c>
      <c r="Z64" s="2375"/>
      <c r="AA64" s="2375"/>
      <c r="AB64" s="2375"/>
      <c r="AC64" s="2376"/>
      <c r="AD64" s="2335">
        <f>IF(AND(OR(Application!D211="At-Risk",Application!D211="At-Risk and Special Needs"),Application!M358="yes"),AD28+AI28,0)</f>
        <v>0</v>
      </c>
      <c r="AE64" s="2375"/>
      <c r="AF64" s="2375"/>
      <c r="AG64" s="2375"/>
      <c r="AH64" s="2376"/>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System'!B13="Yes"),0.13,0))</f>
        <v>0</v>
      </c>
      <c r="AE67" s="2388"/>
      <c r="AF67" s="2388"/>
      <c r="AG67" s="2388"/>
      <c r="AH67" s="2388"/>
    </row>
    <row r="68" spans="1:36" ht="12.95" customHeight="1">
      <c r="C68" s="404"/>
      <c r="D68" s="205" t="s">
        <v>2224</v>
      </c>
      <c r="Y68" s="2334">
        <f>ROUND(Y64*Y67,0)</f>
        <v>47246130</v>
      </c>
      <c r="Z68" s="2389"/>
      <c r="AA68" s="2389"/>
      <c r="AB68" s="2389"/>
      <c r="AC68" s="2389"/>
      <c r="AD68" s="2334">
        <f>ROUND(AD64*AD67,0)</f>
        <v>0</v>
      </c>
      <c r="AE68" s="2389"/>
      <c r="AF68" s="2389"/>
      <c r="AG68" s="2389"/>
      <c r="AH68" s="2389"/>
    </row>
    <row r="69" spans="1:36" ht="12.95" customHeight="1">
      <c r="C69" s="404"/>
      <c r="D69" s="205" t="s">
        <v>2225</v>
      </c>
      <c r="Y69" s="2334">
        <f>IF(OR(Application!Z205="State Farmworker Credit",Application!Z205="$500M (Farmworker Housing)"),Y68+AD68,MIN(Y68+AD68,200000*(Application!G753+Application!O777)))</f>
        <v>47246130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77"/>
      <c r="AC72" s="2378"/>
      <c r="AD72" s="2378"/>
      <c r="AE72" s="2378"/>
      <c r="AF72" s="2379"/>
    </row>
    <row r="73" spans="1:36" ht="12.95"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3">
        <f>ROUND(IF(ISERROR((AB59/AB72)),0,(AB59/AB72)),0)</f>
        <v>0</v>
      </c>
      <c r="AC77" s="2383"/>
      <c r="AD77" s="2383"/>
      <c r="AE77" s="2383"/>
      <c r="AF77" s="2383"/>
    </row>
    <row r="78" spans="1:36" ht="12.95" customHeight="1">
      <c r="C78" s="404"/>
      <c r="D78" s="205" t="s">
        <v>1253</v>
      </c>
      <c r="AB78" s="2384">
        <f>ROUNDUP(MIN(Y69,AB77),0)</f>
        <v>0</v>
      </c>
      <c r="AC78" s="2385"/>
      <c r="AD78" s="2385"/>
      <c r="AE78" s="2385"/>
      <c r="AF78" s="2386"/>
    </row>
    <row r="79" spans="1:36" ht="12.95" customHeight="1">
      <c r="C79" s="404"/>
      <c r="D79" s="205" t="s">
        <v>1254</v>
      </c>
      <c r="AB79" s="2387">
        <f>AB78*AB72</f>
        <v>0</v>
      </c>
      <c r="AC79" s="2387"/>
      <c r="AD79" s="2387"/>
      <c r="AE79" s="2387"/>
      <c r="AF79" s="2387"/>
    </row>
    <row r="80" spans="1:36" ht="12.95" customHeight="1">
      <c r="C80" s="404"/>
      <c r="D80" s="404"/>
      <c r="AB80" s="425"/>
      <c r="AC80" s="425"/>
      <c r="AD80" s="425"/>
      <c r="AE80" s="425"/>
      <c r="AF80" s="425"/>
    </row>
    <row r="81" spans="1:78" ht="12.95" customHeight="1">
      <c r="D81" s="404" t="s">
        <v>754</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customHeight="1">
      <c r="A86" s="404"/>
      <c r="C86" s="205"/>
    </row>
    <row r="87" spans="1:78" ht="12.95" customHeight="1">
      <c r="D87" s="205"/>
      <c r="AB87" s="2339"/>
      <c r="AC87" s="2339"/>
      <c r="AD87" s="2339"/>
      <c r="AE87" s="2339"/>
      <c r="AF87" s="2339"/>
    </row>
    <row r="88" spans="1:78" ht="12.95"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N79" sqref="N7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21" t="s">
        <v>1300</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1305</v>
      </c>
      <c r="AF7" s="2462"/>
      <c r="AG7" s="2462"/>
      <c r="AH7" s="2462"/>
      <c r="AI7" s="2462"/>
      <c r="AJ7" s="2462"/>
      <c r="AK7" s="246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591</v>
      </c>
      <c r="C13" s="261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591</v>
      </c>
      <c r="C16" s="2615"/>
      <c r="D16" s="547"/>
      <c r="E16" s="2607" t="s">
        <v>1307</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591</v>
      </c>
      <c r="C22" s="2615"/>
      <c r="D22" s="547"/>
      <c r="E22" s="2625" t="s">
        <v>1310</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591</v>
      </c>
      <c r="C25" s="2615"/>
      <c r="D25" s="547"/>
      <c r="E25" s="2542" t="s">
        <v>2033</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591</v>
      </c>
      <c r="C28" s="2615"/>
      <c r="D28" s="547"/>
      <c r="E28" s="2644" t="s">
        <v>2248</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5" t="s">
        <v>591</v>
      </c>
      <c r="C33" s="2615"/>
      <c r="D33" s="547"/>
      <c r="E33" s="2625" t="s">
        <v>2250</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591</v>
      </c>
      <c r="C36" s="2615"/>
      <c r="D36" s="547"/>
      <c r="E36" s="2542" t="s">
        <v>2251</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591</v>
      </c>
      <c r="C40" s="2615"/>
      <c r="D40" s="547"/>
      <c r="E40" s="2542" t="s">
        <v>2249</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591</v>
      </c>
      <c r="C45" s="2615"/>
      <c r="D45" s="1142"/>
      <c r="E45" s="2542" t="s">
        <v>2008</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591</v>
      </c>
      <c r="C52" s="2615"/>
      <c r="D52" s="540"/>
      <c r="E52" s="2542" t="s">
        <v>2013</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591</v>
      </c>
      <c r="C56" s="2615"/>
      <c r="D56" s="540"/>
      <c r="E56" s="2641" t="s">
        <v>2014</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591</v>
      </c>
      <c r="C58" s="2615"/>
      <c r="D58" s="540"/>
      <c r="E58" s="2542" t="s">
        <v>2015</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1314</v>
      </c>
      <c r="AF65" s="2462"/>
      <c r="AG65" s="2462"/>
      <c r="AH65" s="2462"/>
      <c r="AI65" s="2462"/>
      <c r="AJ65" s="2462"/>
      <c r="AK65" s="246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591</v>
      </c>
      <c r="C68" s="2615"/>
      <c r="D68" s="547" t="s">
        <v>1315</v>
      </c>
      <c r="E68" s="2607" t="s">
        <v>2016</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10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10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1316</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545</v>
      </c>
      <c r="C74" s="261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545</v>
      </c>
      <c r="F75" s="261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591</v>
      </c>
      <c r="F76" s="263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591</v>
      </c>
      <c r="F77" s="263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591</v>
      </c>
      <c r="F79" s="261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545</v>
      </c>
      <c r="C81" s="2615"/>
      <c r="D81" s="547" t="s">
        <v>1320</v>
      </c>
      <c r="E81" s="2542" t="s">
        <v>1740</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1305</v>
      </c>
      <c r="AF87" s="2462"/>
      <c r="AG87" s="2462"/>
      <c r="AH87" s="2462"/>
      <c r="AI87" s="2462"/>
      <c r="AJ87" s="2462"/>
      <c r="AK87" s="246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591</v>
      </c>
      <c r="C90" s="2615"/>
      <c r="D90" s="547" t="s">
        <v>1315</v>
      </c>
      <c r="E90" s="2607" t="s">
        <v>1325</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0.6</v>
      </c>
      <c r="F93" s="2604"/>
      <c r="G93" s="2604"/>
      <c r="H93" s="260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v>
      </c>
      <c r="F94" s="2409"/>
      <c r="G94" s="2409"/>
      <c r="H94" s="240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0</v>
      </c>
      <c r="F95" s="2620"/>
      <c r="G95" s="2620"/>
      <c r="H95" s="262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545</v>
      </c>
      <c r="C98" s="2615"/>
      <c r="D98" s="547" t="s">
        <v>1317</v>
      </c>
      <c r="E98" s="2607" t="s">
        <v>1725</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0.6</v>
      </c>
      <c r="F103" s="2604"/>
      <c r="G103" s="2604"/>
      <c r="H103" s="260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0.16560509554140126</v>
      </c>
      <c r="F104" s="2604"/>
      <c r="G104" s="2604"/>
      <c r="H104" s="260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3.8216560509554139E-2</v>
      </c>
      <c r="F105" s="2604"/>
      <c r="G105" s="2604"/>
      <c r="H105" s="260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1314</v>
      </c>
      <c r="AF112" s="2462"/>
      <c r="AG112" s="2462"/>
      <c r="AH112" s="2462"/>
      <c r="AI112" s="2462"/>
      <c r="AJ112" s="2462"/>
      <c r="AK112" s="2462"/>
      <c r="AL112" s="540"/>
      <c r="AM112" s="540"/>
      <c r="AN112" s="535"/>
      <c r="AO112" s="536" t="str">
        <f>Application!B718</f>
        <v>1 Bedroom</v>
      </c>
      <c r="AQ112" s="536">
        <f>Application!O718</f>
        <v>822</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1674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1957</v>
      </c>
    </row>
    <row r="115" spans="1:52" s="536" customFormat="1" ht="12.75" customHeight="1">
      <c r="A115" s="540"/>
      <c r="B115" s="2615" t="s">
        <v>545</v>
      </c>
      <c r="C115" s="2615"/>
      <c r="D115" s="547" t="s">
        <v>1315</v>
      </c>
      <c r="E115" s="2607" t="s">
        <v>1857</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2 Bedrooms</v>
      </c>
      <c r="AQ115" s="536">
        <f>Application!O721</f>
        <v>983</v>
      </c>
      <c r="AU115" s="536" t="s">
        <v>1840</v>
      </c>
      <c r="AV115" s="595" t="s">
        <v>1841</v>
      </c>
      <c r="AW115" s="536" t="s">
        <v>1842</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2 Bedrooms</v>
      </c>
      <c r="AQ116" s="536">
        <f>Application!O722</f>
        <v>1665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2 Bedrooms</v>
      </c>
      <c r="AQ117" s="536">
        <f>Application!O723</f>
        <v>2005</v>
      </c>
      <c r="AU117" s="856" t="str">
        <f>J124</f>
        <v>1-bedroom</v>
      </c>
      <c r="AV117" s="536">
        <f t="array" ref="AV117">SUM(IF(Application!B718:F752="1 Bedroom",Application!G718:J752))</f>
        <v>142</v>
      </c>
      <c r="AW117" s="1011">
        <f>AV117/AV122</f>
        <v>0.45222929936305734</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3 Bedrooms</v>
      </c>
      <c r="AQ118" s="536">
        <f>Application!O724</f>
        <v>1132</v>
      </c>
      <c r="AU118" s="856" t="str">
        <f>O124</f>
        <v>2-bedroom</v>
      </c>
      <c r="AV118" s="536">
        <f t="array" ref="AV118">SUM(IF(Application!B718:F752="2 Bedrooms",Application!G718:J752))</f>
        <v>82</v>
      </c>
      <c r="AW118" s="1011">
        <f>AV118/AV122</f>
        <v>0.26114649681528662</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3 Bedrooms</v>
      </c>
      <c r="AQ119" s="536">
        <f>Application!O725</f>
        <v>1921</v>
      </c>
      <c r="AU119" s="856" t="str">
        <f>T124</f>
        <v>3-bedroom</v>
      </c>
      <c r="AV119" s="536">
        <f t="array" ref="AV119">SUM(IF(Application!B718:F752="3 Bedrooms",Application!G718:J752))</f>
        <v>90</v>
      </c>
      <c r="AW119" s="1011">
        <f>AV119/AV122</f>
        <v>0.28662420382165604</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3 Bedrooms</v>
      </c>
      <c r="AQ120" s="536">
        <f>Application!O726</f>
        <v>3102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314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1588</v>
      </c>
      <c r="F124" s="2604"/>
      <c r="G124" s="2604"/>
      <c r="H124" s="2604"/>
      <c r="I124" s="577"/>
      <c r="J124" s="2604" t="s">
        <v>1631</v>
      </c>
      <c r="K124" s="2604"/>
      <c r="L124" s="2604"/>
      <c r="M124" s="2604"/>
      <c r="N124" s="577"/>
      <c r="O124" s="2604" t="s">
        <v>1632</v>
      </c>
      <c r="P124" s="2604"/>
      <c r="Q124" s="2604"/>
      <c r="R124" s="2604"/>
      <c r="S124" s="577"/>
      <c r="T124" s="2604" t="s">
        <v>1334</v>
      </c>
      <c r="U124" s="2604"/>
      <c r="V124" s="2604"/>
      <c r="W124" s="2604"/>
      <c r="X124" s="577"/>
      <c r="Y124" s="2604" t="s">
        <v>1633</v>
      </c>
      <c r="Z124" s="2604"/>
      <c r="AA124" s="2604"/>
      <c r="AB124" s="2604"/>
      <c r="AC124" s="577"/>
      <c r="AD124" s="2604" t="s">
        <v>1634</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c r="F127" s="2606"/>
      <c r="G127" s="2606"/>
      <c r="H127" s="2606"/>
      <c r="I127" s="864"/>
      <c r="J127" s="2606">
        <v>2740</v>
      </c>
      <c r="K127" s="2606"/>
      <c r="L127" s="2606"/>
      <c r="M127" s="2606"/>
      <c r="N127" s="864"/>
      <c r="O127" s="2606">
        <v>3426</v>
      </c>
      <c r="P127" s="2606"/>
      <c r="Q127" s="2606"/>
      <c r="R127" s="2606"/>
      <c r="S127" s="864"/>
      <c r="T127" s="2606">
        <v>4558</v>
      </c>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0</v>
      </c>
      <c r="F130" s="2614"/>
      <c r="G130" s="2614"/>
      <c r="H130" s="2614"/>
      <c r="I130" s="864"/>
      <c r="J130" s="2614">
        <f>Application!EC670</f>
        <v>1473.8591549295775</v>
      </c>
      <c r="K130" s="2614"/>
      <c r="L130" s="2614"/>
      <c r="M130" s="2614"/>
      <c r="N130" s="864"/>
      <c r="O130" s="2614">
        <f>Application!EH670</f>
        <v>1938.5609756097563</v>
      </c>
      <c r="P130" s="2614"/>
      <c r="Q130" s="2614"/>
      <c r="R130" s="2614"/>
      <c r="S130" s="868"/>
      <c r="T130" s="2614">
        <f>Application!EM670</f>
        <v>2821.911111111111</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t="e">
        <f>(E127-E130)/E127</f>
        <v>#DIV/0!</v>
      </c>
      <c r="F133" s="2409"/>
      <c r="G133" s="2409"/>
      <c r="H133" s="2410"/>
      <c r="I133" s="577"/>
      <c r="J133" s="2408">
        <f>(J127-J130)/J127</f>
        <v>0.46209519893081114</v>
      </c>
      <c r="K133" s="2409"/>
      <c r="L133" s="2409"/>
      <c r="M133" s="2410"/>
      <c r="N133" s="577"/>
      <c r="O133" s="2408">
        <f>(O127-O130)/O127</f>
        <v>0.43416200361653351</v>
      </c>
      <c r="P133" s="2409"/>
      <c r="Q133" s="2409"/>
      <c r="R133" s="2410"/>
      <c r="S133" s="577"/>
      <c r="T133" s="2408">
        <f>(T127-T130)/T127</f>
        <v>0.38088830383696554</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t="e">
        <f>IF(((E133-0.1)*AW116)&gt;0,((E133-0.1)*AW116),0)</f>
        <v>#DIV/0!</v>
      </c>
      <c r="F136" s="2617"/>
      <c r="G136" s="2617"/>
      <c r="H136" s="2618"/>
      <c r="I136" s="577"/>
      <c r="J136" s="2616">
        <f>IF(((J133-0.1)*AW117)&gt;0,((J133-0.1)*AW117),0)</f>
        <v>0.16375005811520757</v>
      </c>
      <c r="K136" s="2617"/>
      <c r="L136" s="2617"/>
      <c r="M136" s="2618"/>
      <c r="N136" s="577"/>
      <c r="O136" s="2616">
        <f>IF(((O133-0.1)*AW118)&gt;0,((O133-0.1)*AW118),0)</f>
        <v>8.7265236613234862E-2</v>
      </c>
      <c r="P136" s="2617"/>
      <c r="Q136" s="2617"/>
      <c r="R136" s="2618"/>
      <c r="S136" s="577"/>
      <c r="T136" s="2616">
        <f>IF(((T133-0.1)*AW119)&gt;0,((T133-0.1)*AW119),0)</f>
        <v>8.0509386450085652E-2</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0.33</v>
      </c>
      <c r="F138" s="2409"/>
      <c r="G138" s="2409"/>
      <c r="H138" s="241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2" t="s">
        <v>1314</v>
      </c>
      <c r="AF146" s="2462"/>
      <c r="AG146" s="2462"/>
      <c r="AH146" s="2462"/>
      <c r="AI146" s="2462"/>
      <c r="AJ146" s="2462"/>
      <c r="AK146" s="246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1338</v>
      </c>
      <c r="AG148" s="2522"/>
      <c r="AH148" s="2522"/>
      <c r="AI148" s="2522"/>
      <c r="AJ148" s="2522"/>
      <c r="AK148" s="2522"/>
      <c r="AL148" s="252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2661</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3" t="s">
        <v>1341</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4" t="s">
        <v>591</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3" t="s">
        <v>1343</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2475</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2476</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2474</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591</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1352</v>
      </c>
      <c r="AG168" s="2522"/>
      <c r="AH168" s="2522"/>
      <c r="AI168" s="2522"/>
      <c r="AJ168" s="2522"/>
      <c r="AK168" s="2522"/>
      <c r="AL168" s="252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1350</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591</v>
      </c>
      <c r="AG172" s="2394"/>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3" t="s">
        <v>1343</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4" t="str">
        <f>Application!AA335</f>
        <v>Aperto Property Management</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1314</v>
      </c>
      <c r="AF186" s="2462"/>
      <c r="AG186" s="2462"/>
      <c r="AH186" s="2462"/>
      <c r="AI186" s="2462"/>
      <c r="AJ186" s="2462"/>
      <c r="AK186" s="246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1" t="s">
        <v>1041</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1363</v>
      </c>
      <c r="AG188" s="2522"/>
      <c r="AH188" s="2522"/>
      <c r="AI188" s="2522"/>
      <c r="AJ188" s="2522"/>
      <c r="AK188" s="2522"/>
      <c r="AL188" s="2522"/>
      <c r="AN188" s="597"/>
      <c r="AP188" s="550" t="s">
        <v>1043</v>
      </c>
      <c r="AQ188" s="550">
        <v>10</v>
      </c>
    </row>
    <row r="189" spans="1:73" s="550" customFormat="1" ht="12.75" customHeight="1">
      <c r="A189" s="536"/>
      <c r="B189" s="2393" t="s">
        <v>1726</v>
      </c>
      <c r="C189" s="2393"/>
      <c r="D189" s="2393"/>
      <c r="E189" s="2393"/>
      <c r="F189" s="2393"/>
      <c r="G189" s="2393"/>
      <c r="H189" s="2393"/>
      <c r="I189" s="2393"/>
      <c r="J189" s="2393"/>
      <c r="K189" s="2393"/>
      <c r="L189" s="2393"/>
      <c r="M189" s="2393"/>
      <c r="N189" s="2393"/>
      <c r="O189" s="2393"/>
      <c r="P189" s="2393"/>
      <c r="Q189" s="2393"/>
      <c r="R189" s="2393"/>
      <c r="S189" s="2393"/>
      <c r="T189" s="2592" t="s">
        <v>591</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9">
        <f>IF(AK84&gt;0,VLOOKUP($B$188,AP185:AQ191,2,FALSE),0)</f>
        <v>10</v>
      </c>
      <c r="AL191" s="2430"/>
      <c r="AM191" s="243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1372</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2717</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v>20000000</v>
      </c>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1627</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0</v>
      </c>
      <c r="AE209" s="2573"/>
      <c r="AF209" s="2573"/>
      <c r="AG209" s="2573"/>
      <c r="AH209" s="2573"/>
      <c r="AI209" s="2573"/>
      <c r="AJ209" s="2573"/>
      <c r="AK209" s="610"/>
    </row>
    <row r="210" spans="1:37">
      <c r="A210" s="605"/>
      <c r="B210" s="2447" t="s">
        <v>1590</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9">
        <f>SUM(AD199:AJ209)-AD210</f>
        <v>20000000</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1607</v>
      </c>
      <c r="J222" s="2598"/>
      <c r="K222" s="2598"/>
      <c r="L222" s="536"/>
      <c r="M222" s="536"/>
      <c r="N222" s="536"/>
      <c r="O222" s="536"/>
      <c r="P222" s="536"/>
      <c r="Q222" s="536"/>
      <c r="R222" s="536"/>
      <c r="S222" s="536"/>
      <c r="T222" s="2413" t="s">
        <v>1601</v>
      </c>
      <c r="U222" s="2413"/>
      <c r="V222" s="2413"/>
      <c r="W222" s="2413"/>
      <c r="X222" s="2413"/>
      <c r="Y222" s="2413"/>
      <c r="Z222" s="849"/>
      <c r="AA222" s="489"/>
      <c r="AB222" s="2595" t="s">
        <v>1602</v>
      </c>
      <c r="AC222" s="2595"/>
      <c r="AD222" s="2595"/>
      <c r="AE222" s="2595"/>
      <c r="AF222" s="2595"/>
      <c r="AG222" s="2595"/>
      <c r="AH222" s="827"/>
      <c r="AI222" s="827"/>
      <c r="AJ222" s="827"/>
      <c r="AK222" s="610"/>
    </row>
    <row r="223" spans="1:37">
      <c r="A223" s="605"/>
      <c r="B223" s="2596" t="s">
        <v>1587</v>
      </c>
      <c r="C223" s="2596"/>
      <c r="D223" s="2596"/>
      <c r="E223" s="2596"/>
      <c r="F223" s="2596"/>
      <c r="G223" s="2596"/>
      <c r="I223" s="2597" t="s">
        <v>1608</v>
      </c>
      <c r="J223" s="2597"/>
      <c r="K223" s="2597"/>
      <c r="L223" s="1008"/>
      <c r="N223" s="2448" t="s">
        <v>1603</v>
      </c>
      <c r="O223" s="2448"/>
      <c r="P223" s="2448"/>
      <c r="Q223" s="2448"/>
      <c r="R223" s="2448"/>
      <c r="T223" s="2448" t="s">
        <v>1604</v>
      </c>
      <c r="U223" s="2448"/>
      <c r="V223" s="2448"/>
      <c r="W223" s="2448"/>
      <c r="X223" s="2448"/>
      <c r="Y223" s="2448"/>
      <c r="Z223" s="850"/>
      <c r="AA223" s="489"/>
      <c r="AB223" s="2463" t="s">
        <v>1605</v>
      </c>
      <c r="AC223" s="2463"/>
      <c r="AD223" s="2463"/>
      <c r="AE223" s="2463"/>
      <c r="AF223" s="2463"/>
      <c r="AG223" s="2463"/>
      <c r="AH223" s="827"/>
      <c r="AI223" s="827"/>
      <c r="AJ223" s="827"/>
      <c r="AK223" s="610"/>
    </row>
    <row r="224" spans="1:37">
      <c r="A224" s="605"/>
      <c r="B224" s="2464" t="s">
        <v>1184</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1184</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1184</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1184</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1184</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1184</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1184</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1184</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1184</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1184</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0</v>
      </c>
      <c r="AC250" s="2412"/>
      <c r="AD250" s="2412"/>
      <c r="AE250" s="2412"/>
      <c r="AF250" s="2412"/>
      <c r="AG250" s="241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0</v>
      </c>
      <c r="AC252" s="2584"/>
      <c r="AD252" s="2584"/>
      <c r="AE252" s="2584"/>
      <c r="AF252" s="2584"/>
      <c r="AG252" s="258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0</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0</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20000000</v>
      </c>
      <c r="AH268" s="2426"/>
      <c r="AI268" s="2426"/>
      <c r="AJ268" s="2426"/>
      <c r="AK268" s="242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159358100</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0.25</v>
      </c>
      <c r="AH270" s="2572"/>
      <c r="AI270" s="2572"/>
      <c r="AJ270" s="2572"/>
      <c r="AK270" s="257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1">
        <f>IFERROR(IF(AG270=0,0,IF((AG270*100)&gt;8,8,(AG270*100))),0)</f>
        <v>8</v>
      </c>
      <c r="AL273" s="2561"/>
      <c r="AM273" s="256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3" t="s">
        <v>545</v>
      </c>
      <c r="D278" s="2443"/>
      <c r="E278" s="547"/>
      <c r="F278" s="2395" t="s">
        <v>2024</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1363</v>
      </c>
      <c r="AH278" s="2570"/>
      <c r="AI278" s="2570"/>
      <c r="AJ278" s="2570"/>
      <c r="AK278" s="550"/>
      <c r="AL278" s="550"/>
      <c r="AM278" s="550"/>
      <c r="AO278" s="550"/>
    </row>
    <row r="279" spans="1:52" ht="13.7"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1">
        <f>IF($C$278="yes",10,0)</f>
        <v>10</v>
      </c>
      <c r="AL285" s="2561"/>
      <c r="AM285" s="256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1382</v>
      </c>
      <c r="B292" s="1638"/>
      <c r="C292" s="2394" t="s">
        <v>545</v>
      </c>
      <c r="D292" s="2443"/>
      <c r="E292" s="547"/>
      <c r="F292" s="2563" t="s">
        <v>1383</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2017</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1" t="s">
        <v>2025</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1384</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1385</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1386</v>
      </c>
      <c r="B302" s="1638"/>
      <c r="C302" s="2443" t="s">
        <v>591</v>
      </c>
      <c r="D302" s="2443"/>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5" t="s">
        <v>2019</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1389</v>
      </c>
      <c r="B310" s="1638"/>
      <c r="C310" s="2443" t="s">
        <v>591</v>
      </c>
      <c r="D310" s="244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1" t="s">
        <v>2026</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1184</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1184</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4" t="s">
        <v>1184</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4" t="s">
        <v>1184</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8" t="s">
        <v>1392</v>
      </c>
      <c r="B333" s="1638"/>
      <c r="C333" s="2443" t="s">
        <v>591</v>
      </c>
      <c r="D333" s="2443"/>
      <c r="E333" s="547"/>
      <c r="F333" s="2542" t="s">
        <v>2027</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9">
        <f>IF(NOT(OR(Application!M355="Yes",Application!M356="Yes")),0,AP295)</f>
        <v>10</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2" t="s">
        <v>1314</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1454</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6"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2092</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2207</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1455</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3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1456</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7</v>
      </c>
      <c r="AS359" s="539" t="s">
        <v>1457</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581</v>
      </c>
      <c r="AP361" s="696">
        <f>IF(C407="Yes",5,0)</f>
        <v>0</v>
      </c>
      <c r="AS361" s="539" t="s">
        <v>1878</v>
      </c>
    </row>
    <row r="362" spans="1:46" s="550" customFormat="1" ht="12.75" customHeight="1">
      <c r="A362" s="603"/>
      <c r="B362" s="611"/>
      <c r="C362" s="2532" t="s">
        <v>2231</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3</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763</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584</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6"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226</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8" t="s">
        <v>1458</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456</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461</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9">
        <f>Application!DU802-U374</f>
        <v>576</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1">
        <f>IF(AP375&gt;0,AP375,0)</f>
        <v>0</v>
      </c>
      <c r="AR375" s="2441"/>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2" t="s">
        <v>1460</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591</v>
      </c>
      <c r="D381" s="244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1462</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2" t="s">
        <v>1463</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591</v>
      </c>
      <c r="D389" s="244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1462</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2" t="s">
        <v>1465</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545</v>
      </c>
      <c r="D397" s="244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1467</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591</v>
      </c>
      <c r="D399" s="244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1462</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2" t="s">
        <v>1471</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591</v>
      </c>
      <c r="D407" s="244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1462</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545</v>
      </c>
      <c r="D409" s="244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1474</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591</v>
      </c>
      <c r="D412" s="2443"/>
      <c r="E412" s="715" t="s">
        <v>1475</v>
      </c>
      <c r="F412" s="2432" t="s">
        <v>1476</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1462</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2" t="s">
        <v>1478</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591</v>
      </c>
      <c r="D421" s="244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1462</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591</v>
      </c>
      <c r="D423" s="244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1474</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2" t="s">
        <v>1482</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6"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591</v>
      </c>
      <c r="D430" s="244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1462</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432" t="s">
        <v>1485</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591</v>
      </c>
      <c r="D442" s="244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1462</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2" t="s">
        <v>1488</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591</v>
      </c>
      <c r="D449" s="244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1462</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591</v>
      </c>
      <c r="D453" s="2559"/>
      <c r="E453" s="715" t="s">
        <v>1497</v>
      </c>
      <c r="F453" s="2432" t="s">
        <v>1498</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1462</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850000000000001"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591</v>
      </c>
      <c r="D457" s="2443"/>
      <c r="E457" s="715" t="s">
        <v>1503</v>
      </c>
      <c r="F457" s="2432" t="s">
        <v>1504</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1462</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2" t="s">
        <v>1507</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591</v>
      </c>
      <c r="D466" s="244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1462</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4" t="s">
        <v>1511</v>
      </c>
      <c r="AF472" s="2444"/>
      <c r="AG472" s="2444"/>
      <c r="AH472" s="2444"/>
      <c r="AI472" s="2444"/>
      <c r="AJ472" s="2444"/>
      <c r="AK472" s="244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1" t="s">
        <v>591</v>
      </c>
      <c r="D478" s="2452"/>
      <c r="E478" s="761" t="s">
        <v>507</v>
      </c>
      <c r="F478" s="2529" t="s">
        <v>1517</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7" t="s">
        <v>591</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8" t="s">
        <v>545</v>
      </c>
      <c r="D482" s="2459"/>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7" t="s">
        <v>591</v>
      </c>
      <c r="W485" s="2437"/>
      <c r="X485" s="243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7" t="s">
        <v>591</v>
      </c>
      <c r="W487" s="2437"/>
      <c r="X487" s="243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7" t="s">
        <v>591</v>
      </c>
      <c r="W492" s="2437"/>
      <c r="X492" s="243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6"/>
      <c r="E495" s="245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7" t="s">
        <v>591</v>
      </c>
      <c r="W496" s="2437"/>
      <c r="X496" s="243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7" t="s">
        <v>591</v>
      </c>
      <c r="W498" s="2437"/>
      <c r="X498" s="243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591</v>
      </c>
      <c r="D501" s="2452"/>
      <c r="E501" s="761" t="s">
        <v>507</v>
      </c>
      <c r="F501" s="2529" t="s">
        <v>1517</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591</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591</v>
      </c>
      <c r="D505" s="2452"/>
      <c r="E505" s="761" t="s">
        <v>757</v>
      </c>
      <c r="F505" s="2453" t="s">
        <v>1539</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591</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591</v>
      </c>
      <c r="D510" s="245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591</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591</v>
      </c>
      <c r="D515" s="252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591</v>
      </c>
      <c r="D519" s="2524"/>
      <c r="F519" s="795" t="s">
        <v>1547</v>
      </c>
      <c r="G519" s="2433" t="s">
        <v>1548</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591</v>
      </c>
      <c r="D523" s="252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591</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1560</v>
      </c>
      <c r="AF538" s="2462"/>
      <c r="AG538" s="2462"/>
      <c r="AH538" s="2462"/>
      <c r="AI538" s="2462"/>
      <c r="AJ538" s="2462"/>
      <c r="AK538" s="246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545</v>
      </c>
      <c r="D541" s="2443"/>
      <c r="E541" s="551"/>
      <c r="F541" s="2465" t="s">
        <v>1561</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545</v>
      </c>
      <c r="D544" s="244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1563</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1564</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192939650</v>
      </c>
      <c r="AQ550" s="2420"/>
      <c r="AR550" s="242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157487100</v>
      </c>
      <c r="AG551" s="2426"/>
      <c r="AH551" s="2426"/>
      <c r="AI551" s="2426"/>
      <c r="AJ551" s="242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337644387.5</v>
      </c>
      <c r="AG552" s="2427"/>
      <c r="AH552" s="2427"/>
      <c r="AI552" s="2427"/>
      <c r="AJ552" s="2427"/>
      <c r="AK552" s="595"/>
      <c r="AL552" s="595"/>
      <c r="AM552" s="595"/>
      <c r="AN552" s="597"/>
      <c r="AP552" s="2420">
        <f>Application!AJ1045</f>
        <v>5788189.5</v>
      </c>
      <c r="AQ552" s="2420"/>
      <c r="AR552" s="24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1.06</v>
      </c>
      <c r="AG553" s="2428"/>
      <c r="AH553" s="2428"/>
      <c r="AI553" s="2428"/>
      <c r="AJ553" s="2428"/>
      <c r="AK553" s="595"/>
      <c r="AL553" s="595"/>
      <c r="AM553" s="595"/>
      <c r="AN553" s="597"/>
      <c r="AP553" s="2416">
        <f>Application!AJ1049</f>
        <v>61740688</v>
      </c>
      <c r="AQ553" s="2416"/>
      <c r="AR553" s="2416"/>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0.35</v>
      </c>
      <c r="AQ554" s="2435"/>
      <c r="AR554" s="2435"/>
      <c r="AS554" s="550" t="s">
        <v>2171</v>
      </c>
    </row>
    <row r="555" spans="1:49" s="550" customFormat="1" ht="12.75" customHeight="1">
      <c r="A555" s="624"/>
      <c r="B555" s="2502" t="s">
        <v>2031</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270115510</v>
      </c>
      <c r="AQ556" s="2436"/>
      <c r="AR556" s="2436"/>
      <c r="AS556" s="550" t="s">
        <v>2173</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337644387.5</v>
      </c>
      <c r="AQ557" s="2420"/>
      <c r="AR557" s="24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1">
        <f>IFERROR(IF(AND(C541="N/A",C544="N/A"),0,IF(AF553=0,0,IF((AF553*100)&gt;12,12,(AF553*100)))),0)</f>
        <v>12</v>
      </c>
      <c r="AL559" s="2511"/>
      <c r="AM559" s="2512"/>
      <c r="AN559" s="597"/>
      <c r="AP559" s="2405">
        <f>AP556+(AP550*AP554)</f>
        <v>337644387.5</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1314</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2022</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1338</v>
      </c>
      <c r="AG578" s="2522"/>
      <c r="AH578" s="2522"/>
      <c r="AI578" s="2522"/>
      <c r="AJ578" s="2522"/>
      <c r="AK578" s="2522"/>
      <c r="AL578" s="252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1396</v>
      </c>
      <c r="AG585" s="2522"/>
      <c r="AH585" s="2522"/>
      <c r="AI585" s="2522"/>
      <c r="AJ585" s="2522"/>
      <c r="AK585" s="2522"/>
      <c r="AL585" s="252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1378</v>
      </c>
      <c r="AG591" s="2522"/>
      <c r="AH591" s="2522"/>
      <c r="AI591" s="2522"/>
      <c r="AJ591" s="2522"/>
      <c r="AK591" s="2522"/>
      <c r="AL591" s="252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1399</v>
      </c>
      <c r="AG597" s="2522"/>
      <c r="AH597" s="2522"/>
      <c r="AI597" s="2522"/>
      <c r="AJ597" s="2522"/>
      <c r="AK597" s="2522"/>
      <c r="AL597" s="252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8" t="s">
        <v>1184</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1352</v>
      </c>
      <c r="AG603" s="2522"/>
      <c r="AH603" s="2522"/>
      <c r="AI603" s="2522"/>
      <c r="AJ603" s="2522"/>
      <c r="AK603" s="2522"/>
      <c r="AL603" s="252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6" t="s">
        <v>687</v>
      </c>
      <c r="I606" s="2446"/>
      <c r="J606" s="936"/>
      <c r="K606" s="936"/>
      <c r="L606" s="936"/>
      <c r="N606" s="22"/>
      <c r="O606" s="22"/>
      <c r="P606" s="22"/>
      <c r="Q606" s="1151" t="s">
        <v>2176</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7" t="s">
        <v>591</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4" t="s">
        <v>591</v>
      </c>
      <c r="C616" s="2394"/>
      <c r="D616" s="642"/>
      <c r="E616" s="2422" t="s">
        <v>1403</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9">
        <f>VLOOKUP($H$606,$AO$586:$AP$591,2,FALSE)+IF(R606=AO594,0,VLOOKUP($I$614,$AO$613:$AP$615,2,FALSE))</f>
        <v>7</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6" t="s">
        <v>1694</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1352</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4" t="s">
        <v>591</v>
      </c>
      <c r="Y634" s="2394"/>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1408</v>
      </c>
      <c r="AG636" s="2522"/>
      <c r="AH636" s="2522"/>
      <c r="AI636" s="2522"/>
      <c r="AJ636" s="2522"/>
      <c r="AK636" s="2522"/>
      <c r="AL636" s="2522"/>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6" t="s">
        <v>687</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9">
        <f>VLOOKUP($H$638,$AO$605:$AP$607,2,FALSE)</f>
        <v>3</v>
      </c>
      <c r="AK640" s="243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2" t="s">
        <v>2097</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1352</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1408</v>
      </c>
      <c r="AG647" s="2522"/>
      <c r="AH647" s="2522"/>
      <c r="AI647" s="2522"/>
      <c r="AJ647" s="2522"/>
      <c r="AK647" s="2522"/>
      <c r="AL647" s="252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6" t="s">
        <v>591</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9">
        <f>VLOOKUP(H650,AT605:AU607,2,FALSE)</f>
        <v>0</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2" t="s">
        <v>1418</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1378</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2" t="s">
        <v>1419</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1399</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2" t="s">
        <v>1420</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1352</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591</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2" t="s">
        <v>1421</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1399</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2" t="s">
        <v>1422</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1352</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2" t="s">
        <v>1423</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1408</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2" t="s">
        <v>1424</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1425</v>
      </c>
      <c r="AG681" s="2522"/>
      <c r="AH681" s="2522"/>
      <c r="AI681" s="2522"/>
      <c r="AJ681" s="2522"/>
      <c r="AK681" s="2522"/>
      <c r="AL681" s="2522"/>
      <c r="AM681" s="596"/>
      <c r="AN681" s="597"/>
      <c r="AO681" s="611" t="s">
        <v>687</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6" t="s">
        <v>509</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9">
        <f>VLOOKUP($H$685,$AO$633:$AP$640,2,FALSE)</f>
        <v>4</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314</v>
      </c>
    </row>
    <row r="691" spans="1:51" s="550" customFormat="1" ht="12.75" customHeight="1">
      <c r="A691" s="679"/>
      <c r="B691" s="536"/>
      <c r="C691" s="948"/>
      <c r="D691" s="663" t="s">
        <v>687</v>
      </c>
      <c r="E691" s="2392" t="s">
        <v>2189</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1352</v>
      </c>
      <c r="AG691" s="2522"/>
      <c r="AH691" s="2522"/>
      <c r="AI691" s="2522"/>
      <c r="AJ691" s="2522"/>
      <c r="AK691" s="2522"/>
      <c r="AL691" s="2522"/>
      <c r="AN691" s="597"/>
      <c r="AW691" s="22" t="s">
        <v>2184</v>
      </c>
      <c r="AX691" s="550">
        <f>Application!DE753</f>
        <v>90</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2" t="s">
        <v>2133</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1352</v>
      </c>
      <c r="AG694" s="2522"/>
      <c r="AH694" s="2522"/>
      <c r="AI694" s="2522"/>
      <c r="AJ694" s="2522"/>
      <c r="AK694" s="2522"/>
      <c r="AL694" s="2522"/>
      <c r="AN694" s="597"/>
      <c r="AW694" s="22" t="s">
        <v>2187</v>
      </c>
      <c r="AX694" s="550">
        <f>AX691+AX692+AX693</f>
        <v>90</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2188</v>
      </c>
      <c r="AX695" s="550">
        <f>IFERROR(AX694/AX690,0)</f>
        <v>0.28662420382165604</v>
      </c>
      <c r="AY695" s="550">
        <f>IFERROR(AX694/(AX690-AX689),0)</f>
        <v>0.28662420382165604</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2" t="s">
        <v>2134</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1408</v>
      </c>
      <c r="AG699" s="2522"/>
      <c r="AH699" s="2522"/>
      <c r="AI699" s="2522"/>
      <c r="AJ699" s="2522"/>
      <c r="AK699" s="2522"/>
      <c r="AL699" s="2522"/>
      <c r="AN699" s="597"/>
      <c r="AO699" s="611" t="s">
        <v>509</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2" t="s">
        <v>1693</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6" t="s">
        <v>687</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9">
        <f>VLOOKUP($H$709,$AO$703:$AP$706,2,FALSE)</f>
        <v>3</v>
      </c>
      <c r="AK711" s="243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1352</v>
      </c>
      <c r="AG715" s="2522"/>
      <c r="AH715" s="2522"/>
      <c r="AI715" s="2522"/>
      <c r="AJ715" s="2522"/>
      <c r="AK715" s="2522"/>
      <c r="AL715" s="2522"/>
      <c r="AM715" s="550"/>
      <c r="AN715" s="684"/>
      <c r="AP715" s="570" t="s">
        <v>1432</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1408</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446" t="s">
        <v>591</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2" t="s">
        <v>1696</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1352</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2" t="s">
        <v>1439</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1408</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6" t="s">
        <v>591</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2" t="s">
        <v>1442</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1352</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2" t="s">
        <v>1443</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1408</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6" t="s">
        <v>687</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9">
        <f>VLOOKUP($H$751,$AO$680:$AP$682,2,FALSE)</f>
        <v>3</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2" t="s">
        <v>1445</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1408</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2" t="s">
        <v>1446</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1425</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6" t="s">
        <v>687</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2" t="s">
        <v>1692</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1408</v>
      </c>
      <c r="AG769" s="2522"/>
      <c r="AH769" s="2522"/>
      <c r="AI769" s="2522"/>
      <c r="AJ769" s="2522"/>
      <c r="AK769" s="2522"/>
      <c r="AL769" s="2522"/>
      <c r="AM769" s="613"/>
      <c r="AN769" s="684"/>
      <c r="AO769" s="550" t="s">
        <v>591</v>
      </c>
      <c r="AP769" s="673">
        <v>0</v>
      </c>
    </row>
    <row r="770" spans="1:81" s="570" customFormat="1" ht="13.7"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1352</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6" t="s">
        <v>591</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2" t="s">
        <v>2032</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1352</v>
      </c>
      <c r="AG785" s="2522"/>
      <c r="AH785" s="2522"/>
      <c r="AI785" s="2522"/>
      <c r="AJ785" s="2522"/>
      <c r="AK785" s="2522"/>
      <c r="AL785" s="2522"/>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6" t="s">
        <v>545</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9">
        <f>VLOOKUP($H$790,$AO$784:$AP$785,2,FALSE)</f>
        <v>3</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1568</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1569</v>
      </c>
      <c r="U802" s="2517"/>
      <c r="V802" s="2517"/>
      <c r="W802" s="2517"/>
      <c r="X802" s="2517"/>
      <c r="Y802" s="2518"/>
      <c r="Z802" s="2516" t="s">
        <v>1570</v>
      </c>
      <c r="AA802" s="2517"/>
      <c r="AB802" s="2517"/>
      <c r="AC802" s="2517"/>
      <c r="AD802" s="2517"/>
      <c r="AE802" s="2518"/>
      <c r="AF802" s="2516" t="s">
        <v>1571</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757</v>
      </c>
      <c r="B804" s="2473" t="s">
        <v>1304</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1541</v>
      </c>
      <c r="B805" s="2473" t="s">
        <v>1313</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1550</v>
      </c>
      <c r="B806" s="2473" t="s">
        <v>1323</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1572</v>
      </c>
      <c r="B807" s="2473" t="s">
        <v>1333</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1573</v>
      </c>
      <c r="B808" s="2473" t="s">
        <v>1574</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1575</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1576</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1361</v>
      </c>
      <c r="B811" s="2473" t="s">
        <v>1577</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1370</v>
      </c>
      <c r="B812" s="2473" t="s">
        <v>1371</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589</v>
      </c>
      <c r="B813" s="2473" t="s">
        <v>1578</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3" t="s">
        <v>1579</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3" t="s">
        <v>1381</v>
      </c>
      <c r="C815" s="2473"/>
      <c r="D815" s="2473"/>
      <c r="E815" s="2473"/>
      <c r="F815" s="2473"/>
      <c r="G815" s="2473"/>
      <c r="H815" s="2473"/>
      <c r="I815" s="2473"/>
      <c r="J815" s="2473"/>
      <c r="K815" s="2473"/>
      <c r="L815" s="2473"/>
      <c r="M815" s="2473"/>
      <c r="N815" s="2473"/>
      <c r="O815" s="2473"/>
      <c r="P815" s="2473"/>
      <c r="Q815" s="2473"/>
      <c r="R815" s="2473"/>
      <c r="S815" s="2474"/>
      <c r="T815" s="2475">
        <f>AK338</f>
        <v>10</v>
      </c>
      <c r="U815" s="2475"/>
      <c r="V815" s="2475"/>
      <c r="W815" s="2475"/>
      <c r="X815" s="2475"/>
      <c r="Y815" s="2475"/>
      <c r="Z815" s="2484">
        <v>10</v>
      </c>
      <c r="AA815" s="2485"/>
      <c r="AB815" s="2485"/>
      <c r="AC815" s="2485"/>
      <c r="AD815" s="2485"/>
      <c r="AE815" s="2486"/>
      <c r="AF815" s="2484">
        <f>IF(T815&gt;Z815,Z815,T815)</f>
        <v>10</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1">
        <f>AK338</f>
        <v>10</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3" t="s">
        <v>845</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3" t="s">
        <v>1559</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3" t="s">
        <v>1581</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1582</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1583</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9" t="s">
        <v>1584</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120</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Jessica Chuidian-Ingersoll</cp:lastModifiedBy>
  <cp:lastPrinted>2024-12-09T20:28:29Z</cp:lastPrinted>
  <dcterms:created xsi:type="dcterms:W3CDTF">2007-12-27T18:26:28Z</dcterms:created>
  <dcterms:modified xsi:type="dcterms:W3CDTF">2025-09-08T20:02:23Z</dcterms:modified>
</cp:coreProperties>
</file>